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5 Inserting a New Item - Example 2 Do The Edit\"/>
    </mc:Choice>
  </mc:AlternateContent>
  <xr:revisionPtr revIDLastSave="0" documentId="13_ncr:1_{682EFF5F-54ED-4827-AA77-1124A2EEBAC3}" xr6:coauthVersionLast="40" xr6:coauthVersionMax="40" xr10:uidLastSave="{00000000-0000-0000-0000-000000000000}"/>
  <bookViews>
    <workbookView xWindow="0" yWindow="0" windowWidth="28800" windowHeight="13212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2" l="1"/>
  <c r="B44" i="2" l="1"/>
  <c r="B43" i="2"/>
  <c r="E29" i="2" l="1"/>
  <c r="D29" i="2"/>
  <c r="C29" i="2"/>
  <c r="E27" i="2"/>
  <c r="D27" i="2"/>
  <c r="C27" i="2"/>
  <c r="E24" i="2"/>
  <c r="D24" i="2"/>
  <c r="D6" i="2" s="1"/>
  <c r="C24" i="2"/>
  <c r="B84" i="2"/>
  <c r="B83" i="2"/>
  <c r="E25" i="2" l="1"/>
  <c r="E6" i="2"/>
  <c r="C7" i="2"/>
  <c r="C25" i="2"/>
  <c r="C28" i="2" s="1"/>
  <c r="C30" i="2" s="1"/>
  <c r="C6" i="2"/>
  <c r="D25" i="2"/>
  <c r="D28" i="2" s="1"/>
  <c r="E80" i="2"/>
  <c r="F79" i="2" s="1"/>
  <c r="D30" i="2" l="1"/>
  <c r="D7" i="2"/>
  <c r="F87" i="2"/>
  <c r="A7" i="1"/>
  <c r="J17" i="2" l="1"/>
  <c r="E13" i="2"/>
  <c r="D12" i="2" l="1"/>
  <c r="E12" i="2"/>
  <c r="O17" i="2" l="1"/>
  <c r="L17" i="2"/>
  <c r="K17" i="2"/>
  <c r="F17" i="2"/>
  <c r="D55" i="2"/>
  <c r="D54" i="2"/>
  <c r="D44" i="2" s="1"/>
  <c r="D49" i="2"/>
  <c r="D43" i="2" s="1"/>
  <c r="E54" i="2"/>
  <c r="E44" i="2" s="1"/>
  <c r="E55" i="2"/>
  <c r="E49" i="2"/>
  <c r="E43" i="2" s="1"/>
  <c r="E26" i="2"/>
  <c r="E28" i="2" s="1"/>
  <c r="D45" i="2" l="1"/>
  <c r="E30" i="2"/>
  <c r="E7" i="2"/>
  <c r="E45" i="2"/>
  <c r="F90" i="2"/>
  <c r="F23" i="2"/>
  <c r="F34" i="2" l="1"/>
  <c r="F69" i="2" s="1"/>
  <c r="F70" i="2" s="1"/>
  <c r="F84" i="2" s="1"/>
  <c r="F24" i="2"/>
  <c r="F25" i="2" s="1"/>
  <c r="F49" i="2"/>
  <c r="F43" i="2" s="1"/>
  <c r="F54" i="2"/>
  <c r="F44" i="2" s="1"/>
  <c r="F45" i="2" l="1"/>
  <c r="G90" i="2"/>
  <c r="G100" i="2" s="1"/>
  <c r="H90" i="2"/>
  <c r="I90" i="2"/>
  <c r="I100" i="2" s="1"/>
  <c r="J90" i="2"/>
  <c r="J100" i="2" s="1"/>
  <c r="K90" i="2"/>
  <c r="K100" i="2" s="1"/>
  <c r="L90" i="2"/>
  <c r="L100" i="2" s="1"/>
  <c r="M90" i="2"/>
  <c r="M100" i="2" s="1"/>
  <c r="N90" i="2"/>
  <c r="N100" i="2" s="1"/>
  <c r="O90" i="2"/>
  <c r="O100" i="2" s="1"/>
  <c r="H100" i="2"/>
  <c r="E97" i="2"/>
  <c r="E101" i="2"/>
  <c r="E95" i="2"/>
  <c r="F93" i="2" s="1"/>
  <c r="B90" i="2"/>
  <c r="B100" i="2" s="1"/>
  <c r="F99" i="2" l="1"/>
  <c r="F101" i="2" s="1"/>
  <c r="F55" i="2" s="1"/>
  <c r="F74" i="2" s="1"/>
  <c r="E118" i="2"/>
  <c r="E119" i="2" s="1"/>
  <c r="E41" i="2"/>
  <c r="F38" i="2" s="1"/>
  <c r="E56" i="2"/>
  <c r="F104" i="2" l="1"/>
  <c r="G99" i="2"/>
  <c r="G101" i="2" s="1"/>
  <c r="G55" i="2" s="1"/>
  <c r="G74" i="2" s="1"/>
  <c r="D56" i="2"/>
  <c r="D115" i="2"/>
  <c r="E10" i="2"/>
  <c r="D10" i="2"/>
  <c r="D114" i="2"/>
  <c r="E36" i="2"/>
  <c r="F33" i="2" s="1"/>
  <c r="E115" i="2"/>
  <c r="F35" i="2" l="1"/>
  <c r="F65" i="2" s="1"/>
  <c r="G104" i="2"/>
  <c r="H99" i="2"/>
  <c r="H101" i="2" s="1"/>
  <c r="I99" i="2" s="1"/>
  <c r="I101" i="2" s="1"/>
  <c r="I104" i="2" s="1"/>
  <c r="E114" i="2"/>
  <c r="F36" i="2" l="1"/>
  <c r="F50" i="2"/>
  <c r="H55" i="2"/>
  <c r="H74" i="2" s="1"/>
  <c r="H104" i="2"/>
  <c r="J99" i="2"/>
  <c r="J101" i="2" s="1"/>
  <c r="I55" i="2"/>
  <c r="I74" i="2" l="1"/>
  <c r="J55" i="2"/>
  <c r="J74" i="2" s="1"/>
  <c r="K99" i="2"/>
  <c r="K101" i="2" s="1"/>
  <c r="K104" i="2" s="1"/>
  <c r="J104" i="2"/>
  <c r="L99" i="2" l="1"/>
  <c r="L101" i="2" s="1"/>
  <c r="L104" i="2" s="1"/>
  <c r="K55" i="2"/>
  <c r="K74" i="2" s="1"/>
  <c r="L55" i="2" l="1"/>
  <c r="L74" i="2" s="1"/>
  <c r="M99" i="2"/>
  <c r="M101" i="2" s="1"/>
  <c r="N99" i="2" l="1"/>
  <c r="N101" i="2" s="1"/>
  <c r="N104" i="2" s="1"/>
  <c r="M55" i="2"/>
  <c r="M74" i="2" s="1"/>
  <c r="M104" i="2"/>
  <c r="N55" i="2" l="1"/>
  <c r="N74" i="2" s="1"/>
  <c r="O99" i="2"/>
  <c r="O101" i="2" s="1"/>
  <c r="O55" i="2" s="1"/>
  <c r="O74" i="2" l="1"/>
  <c r="O104" i="2"/>
  <c r="E5" i="2" l="1"/>
  <c r="D5" i="2"/>
  <c r="D11" i="2"/>
  <c r="E59" i="2"/>
  <c r="D108" i="2" l="1"/>
  <c r="E108" i="2"/>
  <c r="C108" i="2"/>
  <c r="F109" i="2"/>
  <c r="G23" i="2"/>
  <c r="E11" i="2"/>
  <c r="D59" i="2"/>
  <c r="D51" i="2"/>
  <c r="E51" i="2"/>
  <c r="E61" i="2" s="1"/>
  <c r="G34" i="2" l="1"/>
  <c r="G69" i="2" s="1"/>
  <c r="G70" i="2" s="1"/>
  <c r="G84" i="2" s="1"/>
  <c r="G24" i="2"/>
  <c r="G25" i="2"/>
  <c r="D61" i="2"/>
  <c r="F110" i="2"/>
  <c r="F108" i="2"/>
  <c r="C111" i="2"/>
  <c r="F66" i="2"/>
  <c r="G49" i="2"/>
  <c r="G43" i="2" s="1"/>
  <c r="G54" i="2"/>
  <c r="G44" i="2" s="1"/>
  <c r="H23" i="2"/>
  <c r="G45" i="2" l="1"/>
  <c r="H34" i="2"/>
  <c r="H69" i="2" s="1"/>
  <c r="H24" i="2"/>
  <c r="H25" i="2"/>
  <c r="H70" i="2"/>
  <c r="H84" i="2" s="1"/>
  <c r="G33" i="2"/>
  <c r="F114" i="2"/>
  <c r="G66" i="2"/>
  <c r="E14" i="2"/>
  <c r="E111" i="2"/>
  <c r="G108" i="2"/>
  <c r="D111" i="2"/>
  <c r="D14" i="2"/>
  <c r="F115" i="2"/>
  <c r="I23" i="2"/>
  <c r="H49" i="2"/>
  <c r="H43" i="2" s="1"/>
  <c r="H54" i="2"/>
  <c r="H44" i="2" s="1"/>
  <c r="H45" i="2" l="1"/>
  <c r="G35" i="2"/>
  <c r="G65" i="2" s="1"/>
  <c r="I34" i="2"/>
  <c r="I69" i="2" s="1"/>
  <c r="I70" i="2" s="1"/>
  <c r="I84" i="2" s="1"/>
  <c r="I24" i="2"/>
  <c r="I25" i="2" s="1"/>
  <c r="G114" i="2"/>
  <c r="H108" i="2"/>
  <c r="I54" i="2"/>
  <c r="I44" i="2" s="1"/>
  <c r="I49" i="2"/>
  <c r="I43" i="2" s="1"/>
  <c r="I45" i="2" s="1"/>
  <c r="J23" i="2"/>
  <c r="J24" i="2" s="1"/>
  <c r="J25" i="2" s="1"/>
  <c r="G36" i="2" l="1"/>
  <c r="G50" i="2" s="1"/>
  <c r="G109" i="2"/>
  <c r="G110" i="2" s="1"/>
  <c r="H33" i="2"/>
  <c r="H66" i="2"/>
  <c r="H114" i="2"/>
  <c r="K23" i="2"/>
  <c r="J34" i="2"/>
  <c r="J69" i="2" s="1"/>
  <c r="I108" i="2"/>
  <c r="I66" i="2"/>
  <c r="G115" i="2"/>
  <c r="J54" i="2"/>
  <c r="J44" i="2" s="1"/>
  <c r="J49" i="2"/>
  <c r="J43" i="2" s="1"/>
  <c r="K34" i="2" l="1"/>
  <c r="K69" i="2" s="1"/>
  <c r="K24" i="2"/>
  <c r="K25" i="2" s="1"/>
  <c r="J45" i="2"/>
  <c r="H35" i="2"/>
  <c r="H36" i="2" s="1"/>
  <c r="I33" i="2" s="1"/>
  <c r="J70" i="2"/>
  <c r="J84" i="2" s="1"/>
  <c r="K70" i="2"/>
  <c r="K84" i="2" s="1"/>
  <c r="I114" i="2"/>
  <c r="L23" i="2"/>
  <c r="K49" i="2"/>
  <c r="K43" i="2" s="1"/>
  <c r="K54" i="2"/>
  <c r="K44" i="2" s="1"/>
  <c r="J108" i="2"/>
  <c r="K45" i="2" l="1"/>
  <c r="L34" i="2"/>
  <c r="L69" i="2" s="1"/>
  <c r="L70" i="2" s="1"/>
  <c r="L84" i="2" s="1"/>
  <c r="L24" i="2"/>
  <c r="L25" i="2" s="1"/>
  <c r="L108" i="2" s="1"/>
  <c r="H109" i="2"/>
  <c r="H110" i="2" s="1"/>
  <c r="H65" i="2"/>
  <c r="I35" i="2"/>
  <c r="I65" i="2" s="1"/>
  <c r="H50" i="2"/>
  <c r="H115" i="2" s="1"/>
  <c r="J66" i="2"/>
  <c r="L54" i="2"/>
  <c r="L44" i="2" s="1"/>
  <c r="J114" i="2"/>
  <c r="M23" i="2"/>
  <c r="L49" i="2"/>
  <c r="L43" i="2" s="1"/>
  <c r="K108" i="2"/>
  <c r="L45" i="2" l="1"/>
  <c r="I109" i="2"/>
  <c r="I110" i="2" s="1"/>
  <c r="I36" i="2"/>
  <c r="I50" i="2" s="1"/>
  <c r="M34" i="2"/>
  <c r="M69" i="2" s="1"/>
  <c r="M70" i="2" s="1"/>
  <c r="M84" i="2" s="1"/>
  <c r="M24" i="2"/>
  <c r="M25" i="2" s="1"/>
  <c r="M108" i="2" s="1"/>
  <c r="L114" i="2"/>
  <c r="K66" i="2"/>
  <c r="J33" i="2"/>
  <c r="M49" i="2"/>
  <c r="M43" i="2" s="1"/>
  <c r="M54" i="2"/>
  <c r="M44" i="2" s="1"/>
  <c r="N23" i="2"/>
  <c r="K114" i="2"/>
  <c r="I115" i="2"/>
  <c r="M45" i="2" l="1"/>
  <c r="N34" i="2"/>
  <c r="N69" i="2" s="1"/>
  <c r="N70" i="2" s="1"/>
  <c r="N84" i="2" s="1"/>
  <c r="N24" i="2"/>
  <c r="N25" i="2" s="1"/>
  <c r="J35" i="2"/>
  <c r="J65" i="2" s="1"/>
  <c r="L66" i="2"/>
  <c r="N49" i="2"/>
  <c r="N43" i="2" s="1"/>
  <c r="M114" i="2"/>
  <c r="O23" i="2"/>
  <c r="N54" i="2"/>
  <c r="N44" i="2" s="1"/>
  <c r="E2" i="2"/>
  <c r="A1" i="6"/>
  <c r="N45" i="2" l="1"/>
  <c r="O34" i="2"/>
  <c r="O69" i="2" s="1"/>
  <c r="O24" i="2"/>
  <c r="O25" i="2" s="1"/>
  <c r="J109" i="2"/>
  <c r="J110" i="2" s="1"/>
  <c r="J36" i="2"/>
  <c r="K33" i="2" s="1"/>
  <c r="O70" i="2"/>
  <c r="O84" i="2" s="1"/>
  <c r="O49" i="2"/>
  <c r="O43" i="2" s="1"/>
  <c r="N108" i="2"/>
  <c r="N66" i="2"/>
  <c r="M66" i="2"/>
  <c r="O54" i="2"/>
  <c r="O44" i="2" s="1"/>
  <c r="J50" i="2"/>
  <c r="J115" i="2" s="1"/>
  <c r="D2" i="2"/>
  <c r="C2" i="2" s="1"/>
  <c r="K35" i="2" l="1"/>
  <c r="K65" i="2" s="1"/>
  <c r="O45" i="2"/>
  <c r="O114" i="2"/>
  <c r="N114" i="2"/>
  <c r="K109" i="2"/>
  <c r="K110" i="2" s="1"/>
  <c r="O108" i="2"/>
  <c r="F2" i="2"/>
  <c r="G2" i="2" s="1"/>
  <c r="H2" i="2" s="1"/>
  <c r="I2" i="2" s="1"/>
  <c r="J2" i="2" s="1"/>
  <c r="K2" i="2" s="1"/>
  <c r="L2" i="2" s="1"/>
  <c r="M2" i="2" s="1"/>
  <c r="N2" i="2" s="1"/>
  <c r="O2" i="2" s="1"/>
  <c r="K36" i="2" l="1"/>
  <c r="K50" i="2" s="1"/>
  <c r="K115" i="2" s="1"/>
  <c r="O66" i="2"/>
  <c r="L33" i="2" l="1"/>
  <c r="L35" i="2"/>
  <c r="L65" i="2" s="1"/>
  <c r="L36" i="2"/>
  <c r="M33" i="2" s="1"/>
  <c r="L109" i="2" l="1"/>
  <c r="L110" i="2" s="1"/>
  <c r="M35" i="2"/>
  <c r="M65" i="2" s="1"/>
  <c r="L50" i="2"/>
  <c r="L115" i="2" s="1"/>
  <c r="M36" i="2" l="1"/>
  <c r="M50" i="2" s="1"/>
  <c r="M115" i="2" s="1"/>
  <c r="M109" i="2"/>
  <c r="M110" i="2" s="1"/>
  <c r="N33" i="2" l="1"/>
  <c r="N35" i="2" s="1"/>
  <c r="N65" i="2" l="1"/>
  <c r="N109" i="2"/>
  <c r="N110" i="2" s="1"/>
  <c r="N36" i="2"/>
  <c r="N50" i="2" s="1"/>
  <c r="N115" i="2" s="1"/>
  <c r="O33" i="2"/>
  <c r="O35" i="2" l="1"/>
  <c r="O65" i="2" s="1"/>
  <c r="O109" i="2" l="1"/>
  <c r="O110" i="2" s="1"/>
  <c r="O36" i="2"/>
  <c r="O50" i="2" s="1"/>
  <c r="O115" i="2" s="1"/>
  <c r="I122" i="2" l="1"/>
  <c r="I27" i="2"/>
  <c r="F58" i="2"/>
  <c r="M79" i="2"/>
  <c r="M87" i="2"/>
  <c r="J27" i="2"/>
  <c r="J122" i="2"/>
  <c r="N87" i="2"/>
  <c r="N79" i="2"/>
  <c r="L122" i="2"/>
  <c r="L27" i="2"/>
  <c r="J87" i="2"/>
  <c r="J79" i="2"/>
  <c r="O79" i="2"/>
  <c r="O87" i="2"/>
  <c r="O75" i="2"/>
  <c r="O85" i="2"/>
  <c r="F73" i="2"/>
  <c r="G111" i="2"/>
  <c r="M58" i="2"/>
  <c r="N121" i="2"/>
  <c r="N123" i="2"/>
  <c r="L103" i="2"/>
  <c r="N111" i="2"/>
  <c r="M61" i="2"/>
  <c r="H29" i="2"/>
  <c r="I29" i="2"/>
  <c r="F29" i="2"/>
  <c r="O121" i="2"/>
  <c r="O123" i="2"/>
  <c r="G75" i="2"/>
  <c r="G85" i="2"/>
  <c r="I121" i="2"/>
  <c r="I123" i="2"/>
  <c r="H120" i="2"/>
  <c r="M122" i="2"/>
  <c r="M27" i="2"/>
  <c r="N122" i="2"/>
  <c r="N27" i="2"/>
  <c r="J103" i="2"/>
  <c r="M120" i="2"/>
  <c r="J59" i="2"/>
  <c r="L120" i="2"/>
  <c r="N103" i="2"/>
  <c r="L121" i="2"/>
  <c r="L119" i="2"/>
  <c r="L123" i="2"/>
  <c r="H79" i="2"/>
  <c r="H87" i="2"/>
  <c r="L85" i="2"/>
  <c r="L75" i="2"/>
  <c r="M94" i="2"/>
  <c r="O27" i="2"/>
  <c r="O122" i="2"/>
  <c r="N94" i="2"/>
  <c r="O103" i="2"/>
  <c r="J111" i="2"/>
  <c r="K120" i="2"/>
  <c r="O73" i="2"/>
  <c r="J120" i="2"/>
  <c r="H111" i="2"/>
  <c r="H58" i="2"/>
  <c r="J58" i="2"/>
  <c r="L58" i="2"/>
  <c r="I79" i="2"/>
  <c r="I87" i="2"/>
  <c r="K73" i="2"/>
  <c r="M103" i="2"/>
  <c r="L118" i="2"/>
  <c r="G29" i="2"/>
  <c r="O29" i="2"/>
  <c r="I103" i="2"/>
  <c r="I94" i="2"/>
  <c r="J29" i="2"/>
  <c r="J94" i="2"/>
  <c r="K29" i="2"/>
  <c r="H85" i="2"/>
  <c r="H40" i="2"/>
  <c r="H72" i="2"/>
  <c r="H75" i="2"/>
  <c r="G58" i="2"/>
  <c r="H121" i="2"/>
  <c r="H118" i="2"/>
  <c r="H119" i="2"/>
  <c r="H123" i="2"/>
  <c r="L94" i="2"/>
  <c r="N58" i="2"/>
  <c r="F120" i="2"/>
  <c r="F75" i="2"/>
  <c r="F85" i="2"/>
  <c r="H73" i="2"/>
  <c r="G121" i="2"/>
  <c r="G123" i="2"/>
  <c r="M73" i="2"/>
  <c r="I111" i="2"/>
  <c r="I73" i="2"/>
  <c r="O94" i="2"/>
  <c r="O91" i="2"/>
  <c r="O97" i="2"/>
  <c r="G87" i="2"/>
  <c r="G79" i="2"/>
  <c r="I75" i="2"/>
  <c r="I85" i="2"/>
  <c r="I120" i="2"/>
  <c r="I118" i="2"/>
  <c r="I119" i="2"/>
  <c r="M29" i="2"/>
  <c r="K27" i="2"/>
  <c r="K103" i="2"/>
  <c r="K122" i="2"/>
  <c r="F123" i="2"/>
  <c r="F118" i="2"/>
  <c r="F119" i="2"/>
  <c r="F121" i="2"/>
  <c r="J73" i="2"/>
  <c r="J53" i="2"/>
  <c r="J56" i="2"/>
  <c r="G59" i="2"/>
  <c r="K53" i="2"/>
  <c r="K56" i="2"/>
  <c r="K59" i="2"/>
  <c r="H53" i="2"/>
  <c r="H56" i="2"/>
  <c r="H59" i="2"/>
  <c r="M121" i="2"/>
  <c r="M118" i="2"/>
  <c r="M119" i="2"/>
  <c r="M123" i="2"/>
  <c r="F122" i="2"/>
  <c r="F103" i="2"/>
  <c r="F27" i="2"/>
  <c r="G122" i="2"/>
  <c r="G103" i="2"/>
  <c r="G27" i="2"/>
  <c r="H122" i="2"/>
  <c r="H103" i="2"/>
  <c r="H27" i="2"/>
  <c r="G56" i="2"/>
  <c r="G53" i="2"/>
  <c r="G73" i="2"/>
  <c r="I61" i="2"/>
  <c r="O119" i="2"/>
  <c r="O118" i="2"/>
  <c r="O120" i="2"/>
  <c r="L111" i="2"/>
  <c r="M53" i="2"/>
  <c r="M56" i="2"/>
  <c r="M59" i="2"/>
  <c r="J51" i="2"/>
  <c r="J61" i="2"/>
  <c r="K85" i="2"/>
  <c r="K72" i="2"/>
  <c r="K75" i="2"/>
  <c r="M85" i="2"/>
  <c r="M72" i="2"/>
  <c r="M75" i="2"/>
  <c r="J48" i="2"/>
  <c r="K79" i="2"/>
  <c r="K87" i="2"/>
  <c r="N73" i="2"/>
  <c r="N119" i="2"/>
  <c r="N118" i="2"/>
  <c r="N120" i="2"/>
  <c r="F72" i="2"/>
  <c r="L40" i="2"/>
  <c r="L72" i="2"/>
  <c r="L79" i="2"/>
  <c r="L87" i="2"/>
  <c r="L59" i="2"/>
  <c r="G120" i="2"/>
  <c r="G118" i="2"/>
  <c r="G119" i="2"/>
  <c r="K40" i="2"/>
  <c r="K111" i="2"/>
  <c r="O61" i="2"/>
  <c r="K94" i="2"/>
  <c r="O51" i="2"/>
  <c r="N29" i="2"/>
  <c r="F61" i="2"/>
  <c r="I58" i="2"/>
  <c r="K58" i="2"/>
  <c r="I77" i="2"/>
  <c r="I80" i="2"/>
  <c r="I48" i="2"/>
  <c r="I51" i="2"/>
  <c r="G61" i="2"/>
  <c r="K48" i="2"/>
  <c r="K51" i="2"/>
  <c r="K61" i="2"/>
  <c r="J77" i="2"/>
  <c r="J80" i="2"/>
  <c r="J85" i="2"/>
  <c r="J75" i="2"/>
  <c r="K121" i="2"/>
  <c r="K118" i="2"/>
  <c r="K119" i="2"/>
  <c r="K123" i="2"/>
  <c r="J121" i="2"/>
  <c r="J118" i="2"/>
  <c r="J119" i="2"/>
  <c r="J123" i="2"/>
  <c r="L56" i="2"/>
  <c r="L53" i="2"/>
  <c r="L73" i="2"/>
  <c r="H61" i="2"/>
  <c r="N53" i="2"/>
  <c r="N56" i="2"/>
  <c r="N59" i="2"/>
  <c r="F77" i="2"/>
  <c r="F80" i="2"/>
  <c r="F48" i="2"/>
  <c r="F51" i="2"/>
  <c r="O88" i="2"/>
  <c r="G94" i="2"/>
  <c r="H94" i="2"/>
  <c r="O111" i="2"/>
  <c r="F53" i="2"/>
  <c r="F56" i="2"/>
  <c r="F59" i="2"/>
  <c r="I40" i="2"/>
  <c r="I72" i="2"/>
  <c r="F40" i="2"/>
  <c r="F111" i="2"/>
  <c r="N85" i="2"/>
  <c r="N40" i="2"/>
  <c r="N72" i="2"/>
  <c r="N75" i="2"/>
  <c r="K77" i="2"/>
  <c r="K80" i="2"/>
  <c r="O48" i="2"/>
  <c r="N38" i="2"/>
  <c r="N41" i="2"/>
  <c r="O38" i="2"/>
  <c r="O41" i="2"/>
  <c r="O58" i="2"/>
  <c r="I53" i="2"/>
  <c r="I56" i="2"/>
  <c r="I59" i="2"/>
  <c r="G40" i="2"/>
  <c r="G72" i="2"/>
  <c r="L38" i="2"/>
  <c r="L41" i="2"/>
  <c r="M38" i="2"/>
  <c r="M41" i="2"/>
  <c r="M111" i="2"/>
  <c r="M40" i="2"/>
  <c r="O77" i="2"/>
  <c r="O80" i="2"/>
  <c r="L80" i="2"/>
  <c r="L48" i="2"/>
  <c r="L51" i="2"/>
  <c r="L61" i="2"/>
  <c r="O40" i="2"/>
  <c r="O72" i="2"/>
  <c r="M77" i="2"/>
  <c r="M80" i="2"/>
  <c r="M48" i="2"/>
  <c r="M51" i="2"/>
  <c r="O53" i="2"/>
  <c r="O56" i="2"/>
  <c r="O59" i="2"/>
  <c r="H38" i="2"/>
  <c r="H41" i="2"/>
  <c r="I38" i="2"/>
  <c r="I41" i="2"/>
  <c r="J38" i="2"/>
  <c r="J41" i="2"/>
  <c r="K38" i="2"/>
  <c r="K41" i="2"/>
  <c r="O26" i="2"/>
  <c r="O28" i="2"/>
  <c r="O30" i="2"/>
  <c r="O39" i="2"/>
  <c r="O64" i="2"/>
  <c r="O67" i="2"/>
  <c r="O83" i="2"/>
  <c r="O86" i="2"/>
  <c r="L29" i="2"/>
  <c r="N77" i="2"/>
  <c r="N80" i="2"/>
  <c r="N48" i="2"/>
  <c r="N51" i="2"/>
  <c r="N61" i="2"/>
  <c r="K93" i="2"/>
  <c r="K95" i="2"/>
  <c r="L93" i="2"/>
  <c r="L95" i="2"/>
  <c r="M93" i="2"/>
  <c r="M95" i="2"/>
  <c r="N93" i="2"/>
  <c r="N95" i="2"/>
  <c r="O93" i="2"/>
  <c r="O95" i="2"/>
  <c r="L77" i="2"/>
  <c r="J40" i="2"/>
  <c r="J72" i="2"/>
  <c r="F41" i="2"/>
  <c r="G38" i="2"/>
  <c r="G41" i="2"/>
  <c r="H83" i="2"/>
  <c r="H86" i="2"/>
  <c r="H88" i="2"/>
  <c r="H91" i="2"/>
  <c r="H97" i="2"/>
  <c r="I105" i="2"/>
  <c r="I26" i="2"/>
  <c r="I28" i="2"/>
  <c r="I30" i="2"/>
  <c r="I39" i="2"/>
  <c r="I64" i="2"/>
  <c r="I67" i="2"/>
  <c r="I83" i="2"/>
  <c r="I86" i="2"/>
  <c r="I88" i="2"/>
  <c r="I91" i="2"/>
  <c r="I97" i="2"/>
  <c r="J105" i="2"/>
  <c r="J26" i="2"/>
  <c r="J28" i="2"/>
  <c r="J30" i="2"/>
  <c r="J39" i="2"/>
  <c r="J64" i="2"/>
  <c r="J67" i="2"/>
  <c r="J83" i="2"/>
  <c r="J86" i="2"/>
  <c r="J88" i="2"/>
  <c r="J91" i="2"/>
  <c r="J97" i="2"/>
  <c r="K105" i="2"/>
  <c r="K26" i="2"/>
  <c r="K28" i="2"/>
  <c r="K30" i="2"/>
  <c r="K39" i="2"/>
  <c r="K64" i="2"/>
  <c r="K67" i="2"/>
  <c r="K83" i="2"/>
  <c r="K86" i="2"/>
  <c r="K88" i="2"/>
  <c r="K91" i="2"/>
  <c r="K97" i="2"/>
  <c r="L105" i="2"/>
  <c r="L26" i="2"/>
  <c r="L28" i="2"/>
  <c r="L30" i="2"/>
  <c r="L39" i="2"/>
  <c r="L64" i="2"/>
  <c r="L67" i="2"/>
  <c r="L83" i="2"/>
  <c r="L86" i="2"/>
  <c r="L88" i="2"/>
  <c r="L91" i="2"/>
  <c r="L97" i="2"/>
  <c r="M105" i="2"/>
  <c r="M26" i="2"/>
  <c r="M28" i="2"/>
  <c r="M30" i="2"/>
  <c r="M39" i="2"/>
  <c r="M64" i="2"/>
  <c r="M67" i="2"/>
  <c r="M83" i="2"/>
  <c r="M86" i="2"/>
  <c r="M88" i="2"/>
  <c r="M91" i="2"/>
  <c r="M97" i="2"/>
  <c r="N105" i="2"/>
  <c r="N26" i="2"/>
  <c r="N28" i="2"/>
  <c r="N30" i="2"/>
  <c r="N39" i="2"/>
  <c r="N64" i="2"/>
  <c r="N67" i="2"/>
  <c r="N83" i="2"/>
  <c r="N86" i="2"/>
  <c r="N88" i="2"/>
  <c r="N91" i="2"/>
  <c r="N97" i="2"/>
  <c r="O105" i="2"/>
  <c r="G77" i="2"/>
  <c r="G80" i="2"/>
  <c r="G48" i="2"/>
  <c r="G51" i="2"/>
  <c r="H28" i="2"/>
  <c r="H30" i="2"/>
  <c r="H39" i="2"/>
  <c r="H64" i="2"/>
  <c r="H67" i="2"/>
  <c r="H77" i="2"/>
  <c r="H80" i="2"/>
  <c r="H48" i="2"/>
  <c r="H51" i="2"/>
  <c r="F94" i="2"/>
  <c r="F95" i="2"/>
  <c r="G93" i="2"/>
  <c r="G95" i="2"/>
  <c r="H93" i="2"/>
  <c r="H95" i="2"/>
  <c r="I93" i="2"/>
  <c r="I95" i="2"/>
  <c r="J93" i="2"/>
  <c r="J95" i="2"/>
  <c r="F105" i="2"/>
  <c r="F26" i="2"/>
  <c r="F28" i="2"/>
  <c r="F30" i="2"/>
  <c r="F39" i="2"/>
  <c r="F64" i="2"/>
  <c r="F67" i="2"/>
  <c r="F83" i="2"/>
  <c r="F86" i="2"/>
  <c r="F88" i="2"/>
  <c r="F91" i="2"/>
  <c r="F97" i="2"/>
  <c r="G105" i="2"/>
  <c r="G26" i="2"/>
  <c r="G28" i="2"/>
  <c r="G30" i="2"/>
  <c r="G39" i="2"/>
  <c r="G64" i="2"/>
  <c r="G67" i="2"/>
  <c r="G83" i="2"/>
  <c r="G86" i="2"/>
  <c r="G88" i="2"/>
  <c r="G91" i="2"/>
  <c r="G97" i="2"/>
  <c r="H105" i="2"/>
  <c r="H26" i="2"/>
</calcChain>
</file>

<file path=xl/sharedStrings.xml><?xml version="1.0" encoding="utf-8"?>
<sst xmlns="http://schemas.openxmlformats.org/spreadsheetml/2006/main" count="143" uniqueCount="115">
  <si>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</si>
  <si>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</si>
  <si>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</si>
  <si>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</si>
  <si>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</si>
  <si>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</si>
  <si>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</si>
  <si>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</si>
  <si>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</si>
  <si>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</si>
  <si>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</si>
  <si>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</si>
  <si>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</si>
  <si>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</si>
  <si>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</si>
  <si>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</si>
  <si>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</si>
  <si>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</si>
  <si>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</si>
  <si>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</si>
  <si>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</si>
  <si>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</si>
  <si>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</si>
  <si>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</si>
  <si>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</si>
  <si>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</si>
  <si>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</si>
  <si>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</si>
  <si>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</si>
  <si>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</si>
  <si>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</si>
  <si>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</si>
  <si>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</si>
  <si>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</si>
  <si>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</si>
  <si>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</si>
  <si>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</si>
  <si>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</si>
  <si>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</si>
  <si>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</si>
  <si>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</si>
  <si>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</si>
  <si>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</si>
  <si>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</si>
  <si>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</si>
  <si>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</si>
  <si>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</si>
  <si>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</si>
  <si>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</si>
  <si>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</si>
  <si>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</si>
  <si>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</si>
  <si>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</si>
  <si>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</si>
  <si>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</si>
  <si>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</si>
  <si>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</si>
  <si>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</si>
  <si>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</si>
  <si>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</si>
  <si>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</si>
  <si>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</si>
  <si>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Capex % revenues</t>
  </si>
  <si>
    <t>Long term debt issuance / (repayment)</t>
  </si>
  <si>
    <t xml:space="preserve">Dividend payout </t>
  </si>
  <si>
    <t>Beginning long term assets</t>
  </si>
  <si>
    <t>Capex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</si>
  <si>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</si>
  <si>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</si>
  <si>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</si>
  <si>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</si>
  <si>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</si>
  <si>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</si>
  <si>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</si>
  <si>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</si>
  <si>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</si>
  <si>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</si>
  <si>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</si>
  <si>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</si>
  <si>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Long term debt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</si>
  <si>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</si>
  <si>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</si>
  <si>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</si>
  <si>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</si>
  <si>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</si>
  <si>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</si>
  <si>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</si>
  <si>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Beginning long term debt</t>
  </si>
  <si>
    <t>Ending long term debt</t>
  </si>
  <si>
    <t>Interest on revolver</t>
  </si>
  <si>
    <t>Interest on long term debt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</si>
  <si>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</si>
  <si>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</si>
  <si>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</si>
  <si>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</si>
  <si>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</si>
  <si>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</si>
  <si>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</si>
  <si>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</si>
  <si>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</si>
  <si>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</si>
  <si>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</si>
  <si>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</si>
  <si>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</si>
  <si>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</si>
  <si>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</si>
  <si>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</si>
  <si>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</si>
  <si>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</si>
  <si>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</si>
  <si>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</si>
  <si>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Instructions</t>
  </si>
  <si>
    <t>Edit the model to include the following items:</t>
  </si>
  <si>
    <t>Editing to introduce new variables</t>
  </si>
  <si>
    <t>10 year long term debt tranche 2 with issuance of 700.0 in year 2016 and interest rate of 4.5%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</si>
</sst>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4" fontId="4" fillId="5" borderId="0" xfId="50" applyNumberFormat="1" applyFill="1">
      <alignment horizontal="left" vertical="center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163760</xdr:colOff>
      <xdr:row>0</xdr:row>
      <xdr:rowOff>468637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3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76" t="s">
        <v>11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3">
      <c r="A7" s="76" t="str">
        <f ca="1">"© "&amp;YEAR(TODAY())&amp;" Financial Edge Training "</f>
        <v xml:space="preserve">© 2019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77"/>
      <c r="H9" s="77"/>
      <c r="I9" s="77"/>
      <c r="J9" s="77"/>
      <c r="K9" s="28"/>
    </row>
    <row r="10" spans="1:14" s="23" customFormat="1" ht="15" customHeight="1" x14ac:dyDescent="0.3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1" t="s">
        <v>101</v>
      </c>
      <c r="O5" s="81"/>
      <c r="P5" s="81"/>
      <c r="Q5" s="81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2">
        <v>42004</v>
      </c>
      <c r="O6" s="82"/>
      <c r="P6" s="82"/>
      <c r="Q6" s="82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1"/>
      <c r="O7" s="81"/>
      <c r="P7" s="81"/>
      <c r="Q7" s="81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1" t="s">
        <v>9</v>
      </c>
      <c r="O8" s="81"/>
      <c r="P8" s="81"/>
      <c r="Q8" s="81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1" t="s">
        <v>10</v>
      </c>
      <c r="O9" s="81"/>
      <c r="P9" s="81"/>
      <c r="Q9" s="81"/>
      <c r="R9" s="45"/>
    </row>
    <row r="10" spans="1:18" s="2" customFormat="1" ht="15" customHeight="1" x14ac:dyDescent="0.3">
      <c r="A10" s="44"/>
      <c r="B10" s="8" t="s">
        <v>1</v>
      </c>
      <c r="C10" s="44" t="s">
        <v>113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3">
        <v>1</v>
      </c>
      <c r="O10" s="83"/>
      <c r="P10" s="83"/>
      <c r="Q10" s="83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80" t="s">
        <v>19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14</v>
      </c>
      <c r="P13" s="79"/>
      <c r="Q13" s="79"/>
      <c r="R13" s="62"/>
    </row>
    <row r="14" spans="1:18" s="2" customFormat="1" ht="15" customHeight="1" x14ac:dyDescent="0.3">
      <c r="A14" s="60"/>
      <c r="B14" s="78" t="s">
        <v>45</v>
      </c>
      <c r="C14" s="78"/>
      <c r="D14" s="78" t="s">
        <v>24</v>
      </c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59"/>
      <c r="C17" s="59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8"/>
      <c r="C18" s="59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5" thickBot="1" x14ac:dyDescent="0.35">
      <c r="A19" s="48"/>
      <c r="B19" s="47"/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ht="22.5" customHeight="1" x14ac:dyDescent="0.3">
      <c r="A21" s="59"/>
      <c r="B21" s="71" t="s">
        <v>111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5"/>
      <c r="N21" s="59"/>
      <c r="O21" s="59"/>
      <c r="P21" s="59"/>
      <c r="Q21" s="59"/>
      <c r="R21" s="59"/>
    </row>
    <row r="22" spans="1:18" x14ac:dyDescent="0.3">
      <c r="A22" s="59"/>
      <c r="B22" s="59" t="s">
        <v>112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35"/>
      <c r="N22" s="59"/>
      <c r="O22" s="59"/>
      <c r="P22" s="59"/>
      <c r="Q22" s="59"/>
      <c r="R22" s="59"/>
    </row>
    <row r="23" spans="1:18" x14ac:dyDescent="0.3">
      <c r="A23" s="59"/>
      <c r="B23" s="8" t="s">
        <v>1</v>
      </c>
      <c r="C23" s="59" t="s">
        <v>114</v>
      </c>
      <c r="D23" s="59"/>
      <c r="E23" s="59"/>
      <c r="F23" s="59"/>
      <c r="G23" s="59"/>
      <c r="H23" s="59"/>
      <c r="I23" s="59"/>
      <c r="J23" s="59"/>
      <c r="K23" s="59"/>
      <c r="L23" s="59"/>
      <c r="M23" s="32"/>
      <c r="N23" s="59"/>
      <c r="O23" s="59"/>
      <c r="P23" s="59"/>
      <c r="Q23" s="59"/>
      <c r="R23" s="59"/>
    </row>
    <row r="24" spans="1:18" x14ac:dyDescent="0.3">
      <c r="A24" s="59"/>
      <c r="B24" s="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32"/>
      <c r="N24" s="59"/>
      <c r="O24" s="59"/>
      <c r="P24" s="59"/>
      <c r="Q24" s="59"/>
      <c r="R24" s="59"/>
    </row>
    <row r="25" spans="1:18" ht="15" thickBot="1" x14ac:dyDescent="0.3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2"/>
      <c r="N25" s="61"/>
      <c r="O25" s="61"/>
      <c r="P25" s="61"/>
      <c r="Q25" s="61"/>
      <c r="R25" s="61"/>
    </row>
  </sheetData>
  <mergeCells count="18"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L4:P4"/>
    <mergeCell ref="B4:I4"/>
    <mergeCell ref="B13:L13"/>
    <mergeCell ref="D16:L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0" width="11" customWidth="1"/>
    <col min="11" max="12" width="9.218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">
        <v>101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</row>
    <row r="5" spans="1:15" ht="15" customHeight="1" x14ac:dyDescent="0.3">
      <c r="B5" s="16" t="s">
        <v>25</v>
      </c>
      <c r="D5" s="66">
        <f>D23/C23-1</f>
        <v>3.1959421642975938E-2</v>
      </c>
      <c r="E5" s="66">
        <f>E23/D23-1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C24*-1/C23</f>
        <v>0.86309334472834454</v>
      </c>
      <c r="D6" s="66">
        <f>D24*-1/D23</f>
        <v>0.85563651614997704</v>
      </c>
      <c r="E6" s="66">
        <f>E24*-1/E23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C29*-1/C28</f>
        <v>0.36223824585794046</v>
      </c>
      <c r="D7" s="66">
        <f>D29*-1/D28</f>
        <v>0.4260968854006883</v>
      </c>
      <c r="E7" s="66">
        <f>E29*-1/E28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</row>
    <row r="10" spans="1:15" ht="15" customHeight="1" x14ac:dyDescent="0.3">
      <c r="B10" s="16" t="s">
        <v>105</v>
      </c>
      <c r="D10" s="66">
        <f>D49/D23</f>
        <v>0.22126255587778429</v>
      </c>
      <c r="E10" s="66">
        <f>E49/E23</f>
        <v>0.22399843080206949</v>
      </c>
      <c r="F10" s="67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106</v>
      </c>
      <c r="D11" s="66">
        <f>D54/D23</f>
        <v>0.2534714344848919</v>
      </c>
      <c r="E11" s="66">
        <f>E54/E23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62</v>
      </c>
      <c r="D12" s="66">
        <f>274.114/D23</f>
        <v>3.748510620898609E-2</v>
      </c>
      <c r="E12" s="66">
        <f>280.779/E23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16" t="s">
        <v>67</v>
      </c>
      <c r="D13" s="66"/>
      <c r="E13" s="66">
        <f>383.996/D50</f>
        <v>6.5675110396050687E-2</v>
      </c>
      <c r="F13" s="68">
        <v>6.6000000000000003E-2</v>
      </c>
      <c r="G13" s="68">
        <v>6.6000000000000003E-2</v>
      </c>
      <c r="H13" s="68">
        <v>6.6000000000000003E-2</v>
      </c>
      <c r="I13" s="68">
        <v>6.6000000000000003E-2</v>
      </c>
      <c r="J13" s="68">
        <v>6.6000000000000003E-2</v>
      </c>
      <c r="K13" s="68">
        <v>6.6000000000000003E-2</v>
      </c>
      <c r="L13" s="68">
        <v>6.6000000000000003E-2</v>
      </c>
      <c r="M13" s="68">
        <v>6.6000000000000003E-2</v>
      </c>
      <c r="N13" s="68">
        <v>6.6000000000000003E-2</v>
      </c>
      <c r="O13" s="68">
        <v>6.6000000000000003E-2</v>
      </c>
    </row>
    <row r="14" spans="1:15" ht="15" customHeight="1" x14ac:dyDescent="0.3">
      <c r="B14" s="16" t="s">
        <v>64</v>
      </c>
      <c r="D14" s="66">
        <f>216.855/D30</f>
        <v>0.39509931458180753</v>
      </c>
      <c r="E14" s="66">
        <f>156.129/E30</f>
        <v>0.24168014674581853</v>
      </c>
      <c r="F14" s="68">
        <v>0.32</v>
      </c>
      <c r="G14" s="68">
        <v>0.32</v>
      </c>
      <c r="H14" s="68">
        <v>0.32</v>
      </c>
      <c r="I14" s="68">
        <v>0.32</v>
      </c>
      <c r="J14" s="68">
        <v>0.32</v>
      </c>
      <c r="K14" s="68">
        <v>0.32</v>
      </c>
      <c r="L14" s="68">
        <v>0.32</v>
      </c>
      <c r="M14" s="68">
        <v>0.32</v>
      </c>
      <c r="N14" s="68">
        <v>0.32</v>
      </c>
      <c r="O14" s="68">
        <v>0.32</v>
      </c>
    </row>
    <row r="15" spans="1:15" ht="15" customHeight="1" x14ac:dyDescent="0.3">
      <c r="A15" s="64"/>
    </row>
    <row r="16" spans="1:15" ht="15" customHeight="1" x14ac:dyDescent="0.3">
      <c r="A16" s="15" t="s">
        <v>56</v>
      </c>
    </row>
    <row r="17" spans="1:15" ht="15" customHeight="1" x14ac:dyDescent="0.3">
      <c r="B17" s="16" t="s">
        <v>63</v>
      </c>
      <c r="D17" s="66"/>
      <c r="E17" s="66"/>
      <c r="F17" s="69">
        <f>-(626.788+28.72)</f>
        <v>-655.50800000000004</v>
      </c>
      <c r="G17" s="69">
        <v>-21.841999999999999</v>
      </c>
      <c r="H17" s="69">
        <v>-91.188999999999993</v>
      </c>
      <c r="I17" s="69">
        <v>-105.428</v>
      </c>
      <c r="J17" s="69">
        <f>-1441.236*(75+500)/1525</f>
        <v>-543.41685245901647</v>
      </c>
      <c r="K17" s="69">
        <f>-1441.236*(50+50)/1525</f>
        <v>-94.507278688524593</v>
      </c>
      <c r="L17" s="69">
        <f>-1441.236*350/1525</f>
        <v>-330.77547540983608</v>
      </c>
      <c r="M17" s="69">
        <v>0</v>
      </c>
      <c r="N17" s="69">
        <v>0</v>
      </c>
      <c r="O17" s="69">
        <f>-1441.236*500/1525</f>
        <v>-472.53639344262297</v>
      </c>
    </row>
    <row r="18" spans="1:15" ht="15" customHeight="1" x14ac:dyDescent="0.3">
      <c r="B18" s="16" t="s">
        <v>78</v>
      </c>
      <c r="F18" s="68">
        <v>0.02</v>
      </c>
      <c r="G18" s="68">
        <v>0.02</v>
      </c>
      <c r="H18" s="68">
        <v>0.02</v>
      </c>
      <c r="I18" s="68">
        <v>0.02</v>
      </c>
      <c r="J18" s="68">
        <v>0.02</v>
      </c>
      <c r="K18" s="68">
        <v>0.02</v>
      </c>
      <c r="L18" s="68">
        <v>0.02</v>
      </c>
      <c r="M18" s="68">
        <v>0.02</v>
      </c>
      <c r="N18" s="68">
        <v>0.02</v>
      </c>
      <c r="O18" s="68">
        <v>0.02</v>
      </c>
    </row>
    <row r="19" spans="1:15" ht="15" customHeight="1" x14ac:dyDescent="0.3">
      <c r="B19" s="16" t="s">
        <v>79</v>
      </c>
      <c r="F19" s="68">
        <v>0.04</v>
      </c>
      <c r="G19" s="68">
        <v>0.04</v>
      </c>
      <c r="H19" s="68">
        <v>0.04</v>
      </c>
      <c r="I19" s="68">
        <v>0.04</v>
      </c>
      <c r="J19" s="68">
        <v>0.04</v>
      </c>
      <c r="K19" s="68">
        <v>0.04</v>
      </c>
      <c r="L19" s="68">
        <v>0.04</v>
      </c>
      <c r="M19" s="68">
        <v>0.04</v>
      </c>
      <c r="N19" s="68">
        <v>0.04</v>
      </c>
      <c r="O19" s="68">
        <v>0.04</v>
      </c>
    </row>
    <row r="20" spans="1:15" ht="15" customHeight="1" x14ac:dyDescent="0.3">
      <c r="B20" s="16" t="s">
        <v>77</v>
      </c>
      <c r="F20" s="68">
        <v>5.0000000000000001E-3</v>
      </c>
      <c r="G20" s="68">
        <v>5.0000000000000001E-3</v>
      </c>
      <c r="H20" s="68">
        <v>5.0000000000000001E-3</v>
      </c>
      <c r="I20" s="68">
        <v>5.0000000000000001E-3</v>
      </c>
      <c r="J20" s="68">
        <v>5.0000000000000001E-3</v>
      </c>
      <c r="K20" s="68">
        <v>5.0000000000000001E-3</v>
      </c>
      <c r="L20" s="68">
        <v>5.0000000000000001E-3</v>
      </c>
      <c r="M20" s="68">
        <v>5.0000000000000001E-3</v>
      </c>
      <c r="N20" s="68">
        <v>5.0000000000000001E-3</v>
      </c>
      <c r="O20" s="68">
        <v>5.0000000000000001E-3</v>
      </c>
    </row>
    <row r="21" spans="1:15" ht="15" customHeight="1" x14ac:dyDescent="0.3">
      <c r="A21" s="64"/>
    </row>
    <row r="22" spans="1:15" ht="15" customHeight="1" x14ac:dyDescent="0.3">
      <c r="A22" s="15" t="s">
        <v>27</v>
      </c>
    </row>
    <row r="23" spans="1:15" ht="15" customHeight="1" x14ac:dyDescent="0.3">
      <c r="B23" s="16" t="s">
        <v>28</v>
      </c>
      <c r="C23" s="65">
        <v>7086.1419999999998</v>
      </c>
      <c r="D23" s="65">
        <v>7312.6109999999999</v>
      </c>
      <c r="E23" s="65">
        <v>7652.317</v>
      </c>
      <c r="F23">
        <f t="shared" ref="F23:O23" si="1">E23*(1+F5)</f>
        <v>8800.1645499999995</v>
      </c>
      <c r="G23">
        <f t="shared" si="1"/>
        <v>9328.1744230000004</v>
      </c>
      <c r="H23">
        <f t="shared" si="1"/>
        <v>9887.8648883800015</v>
      </c>
      <c r="I23">
        <f t="shared" si="1"/>
        <v>10481.136781682802</v>
      </c>
      <c r="J23">
        <f t="shared" si="1"/>
        <v>11110.004988583771</v>
      </c>
      <c r="K23">
        <f t="shared" si="1"/>
        <v>11665.50523801296</v>
      </c>
      <c r="L23">
        <f t="shared" si="1"/>
        <v>12248.780499913608</v>
      </c>
      <c r="M23">
        <f t="shared" si="1"/>
        <v>12799.97562240972</v>
      </c>
      <c r="N23">
        <f t="shared" si="1"/>
        <v>13311.97464730611</v>
      </c>
      <c r="O23">
        <f t="shared" si="1"/>
        <v>13844.453633198355</v>
      </c>
    </row>
    <row r="24" spans="1:15" ht="15" customHeight="1" x14ac:dyDescent="0.3">
      <c r="B24" s="16" t="s">
        <v>29</v>
      </c>
      <c r="C24" s="65">
        <f>(2435.993+3680.009)*-1</f>
        <v>-6116.0020000000004</v>
      </c>
      <c r="D24" s="65">
        <f>(2524.006+3732.931)*-1</f>
        <v>-6256.9369999999999</v>
      </c>
      <c r="E24" s="65">
        <f>(2574.685+3920.019)*-1</f>
        <v>-6494.7039999999997</v>
      </c>
      <c r="F24">
        <f>F6*F23*-1</f>
        <v>-7480.1398674999991</v>
      </c>
      <c r="G24">
        <f t="shared" ref="G24:O24" si="2">G6*G23*-1</f>
        <v>-7928.9482595500003</v>
      </c>
      <c r="H24">
        <f t="shared" si="2"/>
        <v>-8404.6851551230011</v>
      </c>
      <c r="I24">
        <f t="shared" si="2"/>
        <v>-8908.9662644303826</v>
      </c>
      <c r="J24">
        <f t="shared" si="2"/>
        <v>-9443.5042402962044</v>
      </c>
      <c r="K24">
        <f t="shared" si="2"/>
        <v>-9915.6794523110166</v>
      </c>
      <c r="L24">
        <f t="shared" si="2"/>
        <v>-10411.463424926567</v>
      </c>
      <c r="M24">
        <f t="shared" si="2"/>
        <v>-10879.979279048262</v>
      </c>
      <c r="N24">
        <f t="shared" si="2"/>
        <v>-11315.178450210193</v>
      </c>
      <c r="O24">
        <f t="shared" si="2"/>
        <v>-11767.785588218601</v>
      </c>
    </row>
    <row r="25" spans="1:15" ht="15" customHeight="1" x14ac:dyDescent="0.3">
      <c r="B25" s="16" t="s">
        <v>51</v>
      </c>
      <c r="C25">
        <f>SUM(C23:C24)</f>
        <v>970.13999999999942</v>
      </c>
      <c r="D25">
        <f t="shared" ref="D25:E25" si="3">SUM(D23:D24)</f>
        <v>1055.674</v>
      </c>
      <c r="E25">
        <f t="shared" si="3"/>
        <v>1157.6130000000003</v>
      </c>
      <c r="F25">
        <f t="shared" ref="F25" si="4">SUM(F23:F24)</f>
        <v>1320.0246825000004</v>
      </c>
      <c r="G25">
        <f t="shared" ref="G25" si="5">SUM(G23:G24)</f>
        <v>1399.2261634500001</v>
      </c>
      <c r="H25">
        <f t="shared" ref="H25" si="6">SUM(H23:H24)</f>
        <v>1483.1797332570004</v>
      </c>
      <c r="I25">
        <f t="shared" ref="I25" si="7">SUM(I23:I24)</f>
        <v>1572.1705172524198</v>
      </c>
      <c r="J25">
        <f t="shared" ref="J25" si="8">SUM(J23:J24)</f>
        <v>1666.5007482875662</v>
      </c>
      <c r="K25">
        <f t="shared" ref="K25" si="9">SUM(K23:K24)</f>
        <v>1749.8257857019435</v>
      </c>
      <c r="L25">
        <f t="shared" ref="L25" si="10">SUM(L23:L24)</f>
        <v>1837.3170749870405</v>
      </c>
      <c r="M25">
        <f t="shared" ref="M25" si="11">SUM(M23:M24)</f>
        <v>1919.9963433614575</v>
      </c>
      <c r="N25">
        <f t="shared" ref="N25" si="12">SUM(N23:N24)</f>
        <v>1996.7961970959168</v>
      </c>
      <c r="O25">
        <f t="shared" ref="O25" si="13">SUM(O23:O24)</f>
        <v>2076.6680449797532</v>
      </c>
    </row>
    <row r="26" spans="1:15" ht="15" customHeight="1" x14ac:dyDescent="0.3">
      <c r="B26" s="16" t="s">
        <v>52</v>
      </c>
      <c r="C26" s="65">
        <v>18.91</v>
      </c>
      <c r="D26" s="65">
        <v>10.071999999999999</v>
      </c>
      <c r="E26" s="65">
        <f>11.672+0.455</f>
        <v>12.127000000000001</v>
      </c>
      <c r="F26">
        <f ca="1">IF(switch=1,F105,0)</f>
        <v>6.6743446932162191</v>
      </c>
      <c r="G26">
        <f t="shared" ref="G26:O26" ca="1" si="14">IF(switch=1,G105,0)</f>
        <v>7.7284752076697352</v>
      </c>
      <c r="H26">
        <f t="shared" ca="1" si="14"/>
        <v>10.887774812702121</v>
      </c>
      <c r="I26">
        <f t="shared" ca="1" si="14"/>
        <v>13.921046144572106</v>
      </c>
      <c r="J26">
        <f t="shared" ca="1" si="14"/>
        <v>15.930784573930724</v>
      </c>
      <c r="K26">
        <f t="shared" ca="1" si="14"/>
        <v>18.076473992932829</v>
      </c>
      <c r="L26">
        <f t="shared" ca="1" si="14"/>
        <v>20.861692330933984</v>
      </c>
      <c r="M26">
        <f t="shared" ca="1" si="14"/>
        <v>23.996714465309623</v>
      </c>
      <c r="N26">
        <f t="shared" ca="1" si="14"/>
        <v>28.057640182155136</v>
      </c>
      <c r="O26">
        <f t="shared" ca="1" si="14"/>
        <v>31.04933038242271</v>
      </c>
    </row>
    <row r="27" spans="1:15" ht="15" customHeight="1" x14ac:dyDescent="0.3">
      <c r="B27" s="16" t="s">
        <v>53</v>
      </c>
      <c r="C27" s="65">
        <f>(138.14+6.463)*-1</f>
        <v>-144.60299999999998</v>
      </c>
      <c r="D27" s="65">
        <f>(102.132+7.247)*-1</f>
        <v>-109.379</v>
      </c>
      <c r="E27" s="65">
        <f>109.659*-1</f>
        <v>-109.65900000000001</v>
      </c>
      <c r="F27">
        <f t="shared" ref="F27:O27" ca="1" si="15">IF(switch=1,F103+F104,0)*-1</f>
        <v>-81.010990000000007</v>
      </c>
      <c r="G27">
        <f t="shared" ca="1" si="15"/>
        <v>-65.950959999999995</v>
      </c>
      <c r="H27">
        <f t="shared" ca="1" si="15"/>
        <v>-63.690339999999999</v>
      </c>
      <c r="I27">
        <f t="shared" ca="1" si="15"/>
        <v>-59.757999999999996</v>
      </c>
      <c r="J27">
        <f t="shared" ca="1" si="15"/>
        <v>-46.781102950819665</v>
      </c>
      <c r="K27">
        <f t="shared" ca="1" si="15"/>
        <v>-34.022620327868843</v>
      </c>
      <c r="L27">
        <f t="shared" ca="1" si="15"/>
        <v>-25.516965245901631</v>
      </c>
      <c r="M27">
        <f t="shared" ca="1" si="15"/>
        <v>-18.901455737704911</v>
      </c>
      <c r="N27">
        <f t="shared" ca="1" si="15"/>
        <v>-18.901455737704911</v>
      </c>
      <c r="O27">
        <f t="shared" ca="1" si="15"/>
        <v>-9.4507278688524554</v>
      </c>
    </row>
    <row r="28" spans="1:15" ht="15" customHeight="1" x14ac:dyDescent="0.3">
      <c r="B28" s="16" t="s">
        <v>54</v>
      </c>
      <c r="C28">
        <f>SUM(C25:C27)</f>
        <v>844.44699999999943</v>
      </c>
      <c r="D28">
        <f t="shared" ref="D28:E28" si="16">SUM(D25:D27)</f>
        <v>956.36699999999985</v>
      </c>
      <c r="E28">
        <f t="shared" si="16"/>
        <v>1060.0810000000001</v>
      </c>
      <c r="F28">
        <f t="shared" ref="F28" ca="1" si="17">SUM(F25:F27)</f>
        <v>1245.6880371932166</v>
      </c>
      <c r="G28">
        <f t="shared" ref="G28" ca="1" si="18">SUM(G25:G27)</f>
        <v>1341.00367865767</v>
      </c>
      <c r="H28">
        <f t="shared" ref="H28" ca="1" si="19">SUM(H25:H27)</f>
        <v>1430.3771680697025</v>
      </c>
      <c r="I28">
        <f t="shared" ref="I28" ca="1" si="20">SUM(I25:I27)</f>
        <v>1526.3335633969918</v>
      </c>
      <c r="J28">
        <f t="shared" ref="J28" ca="1" si="21">SUM(J25:J27)</f>
        <v>1635.6504299106773</v>
      </c>
      <c r="K28">
        <f t="shared" ref="K28" ca="1" si="22">SUM(K25:K27)</f>
        <v>1733.8796393670073</v>
      </c>
      <c r="L28">
        <f t="shared" ref="L28" ca="1" si="23">SUM(L25:L27)</f>
        <v>1832.6618020720728</v>
      </c>
      <c r="M28">
        <f t="shared" ref="M28" ca="1" si="24">SUM(M25:M27)</f>
        <v>1925.0916020890622</v>
      </c>
      <c r="N28">
        <f t="shared" ref="N28" ca="1" si="25">SUM(N25:N27)</f>
        <v>2005.952381540367</v>
      </c>
      <c r="O28">
        <f t="shared" ref="O28" ca="1" si="26">SUM(O25:O27)</f>
        <v>2098.2666474933235</v>
      </c>
    </row>
    <row r="29" spans="1:15" ht="15" customHeight="1" x14ac:dyDescent="0.3">
      <c r="B29" s="16" t="s">
        <v>30</v>
      </c>
      <c r="C29" s="65">
        <f>305.891*-1</f>
        <v>-305.89100000000002</v>
      </c>
      <c r="D29" s="65">
        <f>407.505*-1</f>
        <v>-407.505</v>
      </c>
      <c r="E29" s="65">
        <f>414.066*-1</f>
        <v>-414.06599999999997</v>
      </c>
      <c r="F29">
        <f ca="1">F7*F28*-1</f>
        <v>-448.44769338955797</v>
      </c>
      <c r="G29">
        <f t="shared" ref="G29:O29" ca="1" si="27">G7*G28*-1</f>
        <v>-482.76132431676115</v>
      </c>
      <c r="H29">
        <f t="shared" ca="1" si="27"/>
        <v>-514.93578050509291</v>
      </c>
      <c r="I29">
        <f t="shared" ca="1" si="27"/>
        <v>-549.4800828229171</v>
      </c>
      <c r="J29">
        <f t="shared" ca="1" si="27"/>
        <v>-588.83415476784376</v>
      </c>
      <c r="K29">
        <f t="shared" ca="1" si="27"/>
        <v>-624.19667017212259</v>
      </c>
      <c r="L29">
        <f t="shared" ca="1" si="27"/>
        <v>-659.75824874594616</v>
      </c>
      <c r="M29">
        <f t="shared" ca="1" si="27"/>
        <v>-693.03297675206238</v>
      </c>
      <c r="N29">
        <f t="shared" ca="1" si="27"/>
        <v>-722.14285735453211</v>
      </c>
      <c r="O29">
        <f t="shared" ca="1" si="27"/>
        <v>-755.37599309759639</v>
      </c>
    </row>
    <row r="30" spans="1:15" ht="15" customHeight="1" x14ac:dyDescent="0.3">
      <c r="B30" s="16" t="s">
        <v>31</v>
      </c>
      <c r="C30">
        <f>SUM(C28:C29)</f>
        <v>538.55599999999936</v>
      </c>
      <c r="D30">
        <f t="shared" ref="D30:E30" si="28">SUM(D28:D29)</f>
        <v>548.86199999999985</v>
      </c>
      <c r="E30">
        <f t="shared" si="28"/>
        <v>646.0150000000001</v>
      </c>
      <c r="F30">
        <f t="shared" ref="F30" ca="1" si="29">SUM(F28:F29)</f>
        <v>797.24034380365856</v>
      </c>
      <c r="G30">
        <f t="shared" ref="G30" ca="1" si="30">SUM(G28:G29)</f>
        <v>858.24235434090883</v>
      </c>
      <c r="H30">
        <f t="shared" ref="H30" ca="1" si="31">SUM(H28:H29)</f>
        <v>915.44138756460961</v>
      </c>
      <c r="I30">
        <f t="shared" ref="I30" ca="1" si="32">SUM(I28:I29)</f>
        <v>976.85348057407475</v>
      </c>
      <c r="J30">
        <f t="shared" ref="J30" ca="1" si="33">SUM(J28:J29)</f>
        <v>1046.8162751428335</v>
      </c>
      <c r="K30">
        <f t="shared" ref="K30" ca="1" si="34">SUM(K28:K29)</f>
        <v>1109.6829691948847</v>
      </c>
      <c r="L30">
        <f t="shared" ref="L30" ca="1" si="35">SUM(L28:L29)</f>
        <v>1172.9035533261267</v>
      </c>
      <c r="M30">
        <f t="shared" ref="M30" ca="1" si="36">SUM(M28:M29)</f>
        <v>1232.0586253369997</v>
      </c>
      <c r="N30">
        <f t="shared" ref="N30" ca="1" si="37">SUM(N28:N29)</f>
        <v>1283.809524185835</v>
      </c>
      <c r="O30">
        <f t="shared" ref="O30" ca="1" si="38">SUM(O28:O29)</f>
        <v>1342.8906543957271</v>
      </c>
    </row>
    <row r="32" spans="1:15" ht="15" customHeight="1" x14ac:dyDescent="0.3">
      <c r="A32" s="15" t="s">
        <v>110</v>
      </c>
    </row>
    <row r="33" spans="1:15" ht="15" customHeight="1" x14ac:dyDescent="0.3">
      <c r="B33" s="16" t="s">
        <v>65</v>
      </c>
      <c r="F33">
        <f>E36</f>
        <v>6426.6030000000001</v>
      </c>
      <c r="G33">
        <f t="shared" ref="G33:O33" si="39">F36</f>
        <v>6328.0532903500007</v>
      </c>
      <c r="H33">
        <f t="shared" si="39"/>
        <v>6255.5442268379011</v>
      </c>
      <c r="I33">
        <f t="shared" si="39"/>
        <v>6208.529308736659</v>
      </c>
      <c r="J33">
        <f t="shared" si="39"/>
        <v>6186.5684352823037</v>
      </c>
      <c r="K33">
        <f t="shared" si="39"/>
        <v>6189.3251031312711</v>
      </c>
      <c r="L33">
        <f t="shared" si="39"/>
        <v>6212.4533401310864</v>
      </c>
      <c r="M33">
        <f t="shared" si="39"/>
        <v>6255.6362981792381</v>
      </c>
      <c r="N33">
        <f t="shared" si="39"/>
        <v>6316.3634005285685</v>
      </c>
      <c r="O33">
        <f t="shared" si="39"/>
        <v>6392.0264780440084</v>
      </c>
    </row>
    <row r="34" spans="1:15" ht="15" customHeight="1" x14ac:dyDescent="0.3">
      <c r="B34" s="16" t="s">
        <v>66</v>
      </c>
      <c r="F34">
        <f t="shared" ref="F34:O34" si="40">F12*F23</f>
        <v>325.60608834999999</v>
      </c>
      <c r="G34">
        <f t="shared" si="40"/>
        <v>345.14245365099998</v>
      </c>
      <c r="H34">
        <f t="shared" si="40"/>
        <v>365.85100087006003</v>
      </c>
      <c r="I34">
        <f t="shared" si="40"/>
        <v>387.80206092226365</v>
      </c>
      <c r="J34">
        <f t="shared" si="40"/>
        <v>411.07018457759949</v>
      </c>
      <c r="K34">
        <f t="shared" si="40"/>
        <v>431.62369380647948</v>
      </c>
      <c r="L34">
        <f t="shared" si="40"/>
        <v>453.20487849680347</v>
      </c>
      <c r="M34">
        <f t="shared" si="40"/>
        <v>473.59909802915962</v>
      </c>
      <c r="N34">
        <f t="shared" si="40"/>
        <v>492.54306195032603</v>
      </c>
      <c r="O34">
        <f t="shared" si="40"/>
        <v>512.24478442833913</v>
      </c>
    </row>
    <row r="35" spans="1:15" ht="15" customHeight="1" x14ac:dyDescent="0.3">
      <c r="B35" s="16" t="s">
        <v>68</v>
      </c>
      <c r="F35">
        <f>F13*F33*-1</f>
        <v>-424.155798</v>
      </c>
      <c r="G35">
        <f t="shared" ref="G35:O35" si="41">G13*G33*-1</f>
        <v>-417.65151716310004</v>
      </c>
      <c r="H35">
        <f t="shared" si="41"/>
        <v>-412.86591897130148</v>
      </c>
      <c r="I35">
        <f t="shared" si="41"/>
        <v>-409.76293437661951</v>
      </c>
      <c r="J35">
        <f t="shared" si="41"/>
        <v>-408.31351672863207</v>
      </c>
      <c r="K35">
        <f t="shared" si="41"/>
        <v>-408.49545680666392</v>
      </c>
      <c r="L35">
        <f t="shared" si="41"/>
        <v>-410.02192044865171</v>
      </c>
      <c r="M35">
        <f t="shared" si="41"/>
        <v>-412.87199567982975</v>
      </c>
      <c r="N35">
        <f t="shared" si="41"/>
        <v>-416.87998443488556</v>
      </c>
      <c r="O35">
        <f t="shared" si="41"/>
        <v>-421.87374755090457</v>
      </c>
    </row>
    <row r="36" spans="1:15" ht="15" customHeight="1" x14ac:dyDescent="0.3">
      <c r="B36" s="16" t="s">
        <v>69</v>
      </c>
      <c r="E36">
        <f>E50</f>
        <v>6426.6030000000001</v>
      </c>
      <c r="F36">
        <f>SUM(F33:F35)</f>
        <v>6328.0532903500007</v>
      </c>
      <c r="G36">
        <f t="shared" ref="G36:O36" si="42">SUM(G33:G35)</f>
        <v>6255.5442268379011</v>
      </c>
      <c r="H36">
        <f t="shared" si="42"/>
        <v>6208.529308736659</v>
      </c>
      <c r="I36">
        <f t="shared" si="42"/>
        <v>6186.5684352823037</v>
      </c>
      <c r="J36">
        <f t="shared" si="42"/>
        <v>6189.3251031312711</v>
      </c>
      <c r="K36">
        <f t="shared" si="42"/>
        <v>6212.4533401310864</v>
      </c>
      <c r="L36">
        <f t="shared" si="42"/>
        <v>6255.6362981792381</v>
      </c>
      <c r="M36">
        <f t="shared" si="42"/>
        <v>6316.3634005285685</v>
      </c>
      <c r="N36">
        <f t="shared" si="42"/>
        <v>6392.0264780440084</v>
      </c>
      <c r="O36">
        <f t="shared" si="42"/>
        <v>6482.397514921443</v>
      </c>
    </row>
    <row r="38" spans="1:15" ht="15" customHeight="1" x14ac:dyDescent="0.3">
      <c r="B38" s="16" t="s">
        <v>70</v>
      </c>
      <c r="F38">
        <f>E41</f>
        <v>4928.7780000000002</v>
      </c>
      <c r="G38">
        <f t="shared" ref="G38:O38" ca="1" si="43">F41</f>
        <v>5470.9014337864874</v>
      </c>
      <c r="H38">
        <f t="shared" ca="1" si="43"/>
        <v>6054.5062347383055</v>
      </c>
      <c r="I38">
        <f t="shared" ca="1" si="43"/>
        <v>6677.0063782822399</v>
      </c>
      <c r="J38">
        <f t="shared" ca="1" si="43"/>
        <v>7341.2667450726103</v>
      </c>
      <c r="K38">
        <f t="shared" ca="1" si="43"/>
        <v>8053.1018121697361</v>
      </c>
      <c r="L38">
        <f t="shared" ca="1" si="43"/>
        <v>8807.6862312222565</v>
      </c>
      <c r="M38">
        <f t="shared" ca="1" si="43"/>
        <v>9605.2606474840231</v>
      </c>
      <c r="N38">
        <f t="shared" ca="1" si="43"/>
        <v>10443.060512713184</v>
      </c>
      <c r="O38">
        <f t="shared" ca="1" si="43"/>
        <v>11316.050989159552</v>
      </c>
    </row>
    <row r="39" spans="1:15" ht="15" customHeight="1" x14ac:dyDescent="0.3">
      <c r="B39" s="16" t="s">
        <v>31</v>
      </c>
      <c r="F39">
        <f t="shared" ref="F39:O39" ca="1" si="44">F30</f>
        <v>797.24034380365856</v>
      </c>
      <c r="G39">
        <f t="shared" ca="1" si="44"/>
        <v>858.24235434090883</v>
      </c>
      <c r="H39">
        <f t="shared" ca="1" si="44"/>
        <v>915.44138756460961</v>
      </c>
      <c r="I39">
        <f t="shared" ca="1" si="44"/>
        <v>976.85348057407475</v>
      </c>
      <c r="J39">
        <f t="shared" ca="1" si="44"/>
        <v>1046.8162751428335</v>
      </c>
      <c r="K39">
        <f t="shared" ca="1" si="44"/>
        <v>1109.6829691948847</v>
      </c>
      <c r="L39">
        <f t="shared" ca="1" si="44"/>
        <v>1172.9035533261267</v>
      </c>
      <c r="M39">
        <f t="shared" ca="1" si="44"/>
        <v>1232.0586253369997</v>
      </c>
      <c r="N39">
        <f t="shared" ca="1" si="44"/>
        <v>1283.809524185835</v>
      </c>
      <c r="O39">
        <f t="shared" ca="1" si="44"/>
        <v>1342.8906543957271</v>
      </c>
    </row>
    <row r="40" spans="1:15" ht="15" customHeight="1" x14ac:dyDescent="0.3">
      <c r="B40" s="16" t="s">
        <v>71</v>
      </c>
      <c r="F40">
        <f ca="1">F14*F30*-1</f>
        <v>-255.11691001717074</v>
      </c>
      <c r="G40">
        <f t="shared" ref="G40:O40" ca="1" si="45">G14*G30*-1</f>
        <v>-274.63755338909084</v>
      </c>
      <c r="H40">
        <f t="shared" ca="1" si="45"/>
        <v>-292.94124402067507</v>
      </c>
      <c r="I40">
        <f t="shared" ca="1" si="45"/>
        <v>-312.59311378370393</v>
      </c>
      <c r="J40">
        <f t="shared" ca="1" si="45"/>
        <v>-334.98120804570675</v>
      </c>
      <c r="K40">
        <f t="shared" ca="1" si="45"/>
        <v>-355.09855014236308</v>
      </c>
      <c r="L40">
        <f t="shared" ca="1" si="45"/>
        <v>-375.32913706436057</v>
      </c>
      <c r="M40">
        <f t="shared" ca="1" si="45"/>
        <v>-394.25876010783992</v>
      </c>
      <c r="N40">
        <f t="shared" ca="1" si="45"/>
        <v>-410.81904773946724</v>
      </c>
      <c r="O40">
        <f t="shared" ca="1" si="45"/>
        <v>-429.72500940663269</v>
      </c>
    </row>
    <row r="41" spans="1:15" ht="15" customHeight="1" x14ac:dyDescent="0.3">
      <c r="B41" s="16" t="s">
        <v>72</v>
      </c>
      <c r="E41">
        <f>E58</f>
        <v>4928.7780000000002</v>
      </c>
      <c r="F41">
        <f ca="1">SUM(F38:F40)</f>
        <v>5470.9014337864874</v>
      </c>
      <c r="G41">
        <f t="shared" ref="G41:O41" ca="1" si="46">SUM(G38:G40)</f>
        <v>6054.5062347383055</v>
      </c>
      <c r="H41">
        <f t="shared" ca="1" si="46"/>
        <v>6677.0063782822399</v>
      </c>
      <c r="I41">
        <f t="shared" ca="1" si="46"/>
        <v>7341.2667450726103</v>
      </c>
      <c r="J41">
        <f t="shared" ca="1" si="46"/>
        <v>8053.1018121697361</v>
      </c>
      <c r="K41">
        <f t="shared" ca="1" si="46"/>
        <v>8807.6862312222565</v>
      </c>
      <c r="L41">
        <f t="shared" ca="1" si="46"/>
        <v>9605.2606474840231</v>
      </c>
      <c r="M41">
        <f t="shared" ca="1" si="46"/>
        <v>10443.060512713184</v>
      </c>
      <c r="N41">
        <f t="shared" ca="1" si="46"/>
        <v>11316.050989159552</v>
      </c>
      <c r="O41">
        <f t="shared" ca="1" si="46"/>
        <v>12229.216634148646</v>
      </c>
    </row>
    <row r="43" spans="1:15" ht="15" customHeight="1" x14ac:dyDescent="0.3">
      <c r="B43" s="16" t="str">
        <f>B49</f>
        <v>Operating current assets</v>
      </c>
      <c r="D43">
        <f t="shared" ref="D43:O43" si="47">D49</f>
        <v>1618.0070000000001</v>
      </c>
      <c r="E43">
        <f t="shared" si="47"/>
        <v>1714.107</v>
      </c>
      <c r="F43">
        <f t="shared" si="47"/>
        <v>1962.4366946499999</v>
      </c>
      <c r="G43">
        <f t="shared" si="47"/>
        <v>2080.182896329</v>
      </c>
      <c r="H43">
        <f t="shared" si="47"/>
        <v>2204.9938701087403</v>
      </c>
      <c r="I43">
        <f t="shared" si="47"/>
        <v>2337.293502315265</v>
      </c>
      <c r="J43">
        <f t="shared" si="47"/>
        <v>2477.5311124541809</v>
      </c>
      <c r="K43">
        <f t="shared" si="47"/>
        <v>2601.4076680768903</v>
      </c>
      <c r="L43">
        <f t="shared" si="47"/>
        <v>2731.4780514807344</v>
      </c>
      <c r="M43">
        <f t="shared" si="47"/>
        <v>2854.3945637973675</v>
      </c>
      <c r="N43">
        <f t="shared" si="47"/>
        <v>2968.5703463492623</v>
      </c>
      <c r="O43">
        <f t="shared" si="47"/>
        <v>3087.3131602032331</v>
      </c>
    </row>
    <row r="44" spans="1:15" ht="15" customHeight="1" x14ac:dyDescent="0.3">
      <c r="B44" s="16" t="str">
        <f>B54</f>
        <v>Operating current liabilities</v>
      </c>
      <c r="D44">
        <f>D54*-1</f>
        <v>-1853.538</v>
      </c>
      <c r="E44">
        <f t="shared" ref="E44:O44" si="48">E54*-1</f>
        <v>-2199.0129999999999</v>
      </c>
      <c r="F44">
        <f t="shared" si="48"/>
        <v>-2376.0444284999999</v>
      </c>
      <c r="G44">
        <f t="shared" si="48"/>
        <v>-2518.6070942100005</v>
      </c>
      <c r="H44">
        <f t="shared" si="48"/>
        <v>-2669.7235198626004</v>
      </c>
      <c r="I44">
        <f t="shared" si="48"/>
        <v>-2829.9069310543568</v>
      </c>
      <c r="J44">
        <f t="shared" si="48"/>
        <v>-2999.7013469176181</v>
      </c>
      <c r="K44">
        <f t="shared" si="48"/>
        <v>-3149.6864142634995</v>
      </c>
      <c r="L44">
        <f t="shared" si="48"/>
        <v>-3307.1707349766743</v>
      </c>
      <c r="M44">
        <f t="shared" si="48"/>
        <v>-3455.9934180506248</v>
      </c>
      <c r="N44">
        <f t="shared" si="48"/>
        <v>-3594.2331547726499</v>
      </c>
      <c r="O44">
        <f t="shared" si="48"/>
        <v>-3738.0024809635561</v>
      </c>
    </row>
    <row r="45" spans="1:15" ht="15" customHeight="1" x14ac:dyDescent="0.3">
      <c r="B45" s="16" t="s">
        <v>73</v>
      </c>
      <c r="D45">
        <f>SUM(D43:D44)</f>
        <v>-235.53099999999995</v>
      </c>
      <c r="E45">
        <f t="shared" ref="E45:O45" si="49">SUM(E43:E44)</f>
        <v>-484.90599999999995</v>
      </c>
      <c r="F45">
        <f t="shared" si="49"/>
        <v>-413.60773384999993</v>
      </c>
      <c r="G45">
        <f t="shared" si="49"/>
        <v>-438.42419788100051</v>
      </c>
      <c r="H45">
        <f t="shared" si="49"/>
        <v>-464.72964975386003</v>
      </c>
      <c r="I45">
        <f t="shared" si="49"/>
        <v>-492.61342873909189</v>
      </c>
      <c r="J45">
        <f t="shared" si="49"/>
        <v>-522.17023446343728</v>
      </c>
      <c r="K45">
        <f t="shared" si="49"/>
        <v>-548.27874618660917</v>
      </c>
      <c r="L45">
        <f t="shared" si="49"/>
        <v>-575.69268349593995</v>
      </c>
      <c r="M45">
        <f t="shared" si="49"/>
        <v>-601.59885425325729</v>
      </c>
      <c r="N45">
        <f t="shared" si="49"/>
        <v>-625.66280842338756</v>
      </c>
      <c r="O45">
        <f t="shared" si="49"/>
        <v>-650.68932076032297</v>
      </c>
    </row>
    <row r="47" spans="1:15" ht="15" customHeight="1" x14ac:dyDescent="0.3">
      <c r="A47" s="15" t="s">
        <v>32</v>
      </c>
    </row>
    <row r="48" spans="1:15" ht="15" customHeight="1" x14ac:dyDescent="0.3">
      <c r="B48" s="16" t="s">
        <v>33</v>
      </c>
      <c r="D48" s="65">
        <v>617.995</v>
      </c>
      <c r="E48" s="65">
        <v>1453.587</v>
      </c>
      <c r="F48">
        <f ca="1">F80</f>
        <v>1216.1508772864879</v>
      </c>
      <c r="G48">
        <f t="shared" ref="G48:O48" ca="1" si="50">G80</f>
        <v>1875.2392057814066</v>
      </c>
      <c r="H48">
        <f t="shared" ca="1" si="50"/>
        <v>2479.870719299442</v>
      </c>
      <c r="I48">
        <f t="shared" ca="1" si="50"/>
        <v>3088.5477385294007</v>
      </c>
      <c r="J48">
        <f t="shared" ca="1" si="50"/>
        <v>3283.766091042889</v>
      </c>
      <c r="K48">
        <f t="shared" ca="1" si="50"/>
        <v>3946.8235061302421</v>
      </c>
      <c r="L48">
        <f t="shared" ca="1" si="50"/>
        <v>4397.8534262433514</v>
      </c>
      <c r="M48">
        <f t="shared" ca="1" si="50"/>
        <v>5200.8323598804982</v>
      </c>
      <c r="N48">
        <f t="shared" ca="1" si="50"/>
        <v>6022.2237129815558</v>
      </c>
      <c r="O48">
        <f t="shared" ca="1" si="50"/>
        <v>6397.5084399875277</v>
      </c>
    </row>
    <row r="49" spans="1:15" ht="15" customHeight="1" x14ac:dyDescent="0.3">
      <c r="B49" s="16" t="s">
        <v>103</v>
      </c>
      <c r="D49" s="65">
        <f>680.296+698.95+238.761</f>
        <v>1618.0070000000001</v>
      </c>
      <c r="E49" s="65">
        <f>754.306+728.404+231.397</f>
        <v>1714.107</v>
      </c>
      <c r="F49">
        <f t="shared" ref="F49:O49" si="51">F10*F23</f>
        <v>1962.4366946499999</v>
      </c>
      <c r="G49">
        <f t="shared" si="51"/>
        <v>2080.182896329</v>
      </c>
      <c r="H49">
        <f t="shared" si="51"/>
        <v>2204.9938701087403</v>
      </c>
      <c r="I49">
        <f t="shared" si="51"/>
        <v>2337.293502315265</v>
      </c>
      <c r="J49">
        <f t="shared" si="51"/>
        <v>2477.5311124541809</v>
      </c>
      <c r="K49">
        <f t="shared" si="51"/>
        <v>2601.4076680768903</v>
      </c>
      <c r="L49">
        <f t="shared" si="51"/>
        <v>2731.4780514807344</v>
      </c>
      <c r="M49">
        <f t="shared" si="51"/>
        <v>2854.3945637973675</v>
      </c>
      <c r="N49">
        <f t="shared" si="51"/>
        <v>2968.5703463492623</v>
      </c>
      <c r="O49">
        <f t="shared" si="51"/>
        <v>3087.3131602032331</v>
      </c>
    </row>
    <row r="50" spans="1:15" ht="15" customHeight="1" x14ac:dyDescent="0.3">
      <c r="B50" s="16" t="s">
        <v>34</v>
      </c>
      <c r="D50" s="65">
        <v>5846.9030000000002</v>
      </c>
      <c r="E50" s="65">
        <v>6426.6030000000001</v>
      </c>
      <c r="F50">
        <f>F36</f>
        <v>6328.0532903500007</v>
      </c>
      <c r="G50">
        <f t="shared" ref="G50:O50" si="52">G36</f>
        <v>6255.5442268379011</v>
      </c>
      <c r="H50">
        <f t="shared" si="52"/>
        <v>6208.529308736659</v>
      </c>
      <c r="I50">
        <f t="shared" si="52"/>
        <v>6186.5684352823037</v>
      </c>
      <c r="J50">
        <f t="shared" si="52"/>
        <v>6189.3251031312711</v>
      </c>
      <c r="K50">
        <f t="shared" si="52"/>
        <v>6212.4533401310864</v>
      </c>
      <c r="L50">
        <f t="shared" si="52"/>
        <v>6255.6362981792381</v>
      </c>
      <c r="M50">
        <f t="shared" si="52"/>
        <v>6316.3634005285685</v>
      </c>
      <c r="N50">
        <f t="shared" si="52"/>
        <v>6392.0264780440084</v>
      </c>
      <c r="O50">
        <f t="shared" si="52"/>
        <v>6482.397514921443</v>
      </c>
    </row>
    <row r="51" spans="1:15" ht="15" customHeight="1" x14ac:dyDescent="0.3">
      <c r="B51" s="16" t="s">
        <v>35</v>
      </c>
      <c r="D51">
        <f>SUM(D48:D50)</f>
        <v>8082.9050000000007</v>
      </c>
      <c r="E51">
        <f>SUM(E48:E50)</f>
        <v>9594.2970000000005</v>
      </c>
      <c r="F51">
        <f ca="1">SUM(F48:F50)</f>
        <v>9506.6408622864874</v>
      </c>
      <c r="G51">
        <f t="shared" ref="G51:J51" ca="1" si="53">SUM(G48:G50)</f>
        <v>10210.966328948307</v>
      </c>
      <c r="H51">
        <f t="shared" ca="1" si="53"/>
        <v>10893.393898144841</v>
      </c>
      <c r="I51">
        <f t="shared" ca="1" si="53"/>
        <v>11612.409676126968</v>
      </c>
      <c r="J51">
        <f t="shared" ca="1" si="53"/>
        <v>11950.622306628342</v>
      </c>
      <c r="K51">
        <f t="shared" ref="K51:O51" ca="1" si="54">SUM(K48:K50)</f>
        <v>12760.68451433822</v>
      </c>
      <c r="L51">
        <f t="shared" ca="1" si="54"/>
        <v>13384.967775903324</v>
      </c>
      <c r="M51">
        <f t="shared" ca="1" si="54"/>
        <v>14371.590324206434</v>
      </c>
      <c r="N51">
        <f t="shared" ca="1" si="54"/>
        <v>15382.820537374826</v>
      </c>
      <c r="O51">
        <f t="shared" ca="1" si="54"/>
        <v>15967.219115112202</v>
      </c>
    </row>
    <row r="53" spans="1:15" ht="15" customHeight="1" x14ac:dyDescent="0.3">
      <c r="B53" s="16" t="s">
        <v>55</v>
      </c>
      <c r="D53" s="65">
        <v>44.920999999999999</v>
      </c>
      <c r="E53" s="65">
        <v>151.303</v>
      </c>
      <c r="F53">
        <f ca="1">F95</f>
        <v>0</v>
      </c>
      <c r="G53">
        <f t="shared" ref="G53:O53" ca="1" si="55">G95</f>
        <v>0</v>
      </c>
      <c r="H53">
        <f t="shared" ca="1" si="55"/>
        <v>0</v>
      </c>
      <c r="I53">
        <f t="shared" ca="1" si="55"/>
        <v>0</v>
      </c>
      <c r="J53">
        <f t="shared" ca="1" si="55"/>
        <v>0</v>
      </c>
      <c r="K53">
        <f t="shared" ca="1" si="55"/>
        <v>0</v>
      </c>
      <c r="L53">
        <f t="shared" ca="1" si="55"/>
        <v>0</v>
      </c>
      <c r="M53">
        <f t="shared" ca="1" si="55"/>
        <v>0</v>
      </c>
      <c r="N53">
        <f t="shared" ca="1" si="55"/>
        <v>0</v>
      </c>
      <c r="O53">
        <f t="shared" ca="1" si="55"/>
        <v>0</v>
      </c>
    </row>
    <row r="54" spans="1:15" ht="15" customHeight="1" x14ac:dyDescent="0.3">
      <c r="B54" s="16" t="s">
        <v>104</v>
      </c>
      <c r="D54" s="65">
        <f>681.151+9.477+123.688+523.05+76.399+268.078+97.544+74.151</f>
        <v>1853.538</v>
      </c>
      <c r="E54" s="65">
        <f>744.272+42.603+187.719+636.055+138.475+266.896+99.223+83.77</f>
        <v>2199.0129999999999</v>
      </c>
      <c r="F54">
        <f t="shared" ref="F54:O54" si="56">F11*F23</f>
        <v>2376.0444284999999</v>
      </c>
      <c r="G54">
        <f t="shared" si="56"/>
        <v>2518.6070942100005</v>
      </c>
      <c r="H54">
        <f t="shared" si="56"/>
        <v>2669.7235198626004</v>
      </c>
      <c r="I54">
        <f t="shared" si="56"/>
        <v>2829.9069310543568</v>
      </c>
      <c r="J54">
        <f t="shared" si="56"/>
        <v>2999.7013469176181</v>
      </c>
      <c r="K54">
        <f t="shared" si="56"/>
        <v>3149.6864142634995</v>
      </c>
      <c r="L54">
        <f t="shared" si="56"/>
        <v>3307.1707349766743</v>
      </c>
      <c r="M54">
        <f t="shared" si="56"/>
        <v>3455.9934180506248</v>
      </c>
      <c r="N54">
        <f t="shared" si="56"/>
        <v>3594.2331547726499</v>
      </c>
      <c r="O54">
        <f t="shared" si="56"/>
        <v>3738.0024809635561</v>
      </c>
    </row>
    <row r="55" spans="1:15" ht="15" customHeight="1" x14ac:dyDescent="0.3">
      <c r="B55" s="16" t="s">
        <v>102</v>
      </c>
      <c r="D55" s="65">
        <f>318.1+1716.41</f>
        <v>2034.5100000000002</v>
      </c>
      <c r="E55" s="65">
        <f>626.788+1688.415</f>
        <v>2315.203</v>
      </c>
      <c r="F55">
        <f>F101</f>
        <v>1659.6949999999999</v>
      </c>
      <c r="G55">
        <f t="shared" ref="G55:O55" si="57">G101</f>
        <v>1637.8529999999998</v>
      </c>
      <c r="H55">
        <f t="shared" si="57"/>
        <v>1546.6639999999998</v>
      </c>
      <c r="I55">
        <f t="shared" si="57"/>
        <v>1441.2359999999999</v>
      </c>
      <c r="J55">
        <f t="shared" si="57"/>
        <v>897.81914754098341</v>
      </c>
      <c r="K55">
        <f t="shared" si="57"/>
        <v>803.31186885245882</v>
      </c>
      <c r="L55">
        <f t="shared" si="57"/>
        <v>472.53639344262274</v>
      </c>
      <c r="M55">
        <f t="shared" si="57"/>
        <v>472.53639344262274</v>
      </c>
      <c r="N55">
        <f t="shared" si="57"/>
        <v>472.53639344262274</v>
      </c>
      <c r="O55">
        <f t="shared" si="57"/>
        <v>0</v>
      </c>
    </row>
    <row r="56" spans="1:15" ht="15" customHeight="1" x14ac:dyDescent="0.3">
      <c r="B56" s="16" t="s">
        <v>36</v>
      </c>
      <c r="D56">
        <f>SUM(D53:D55)</f>
        <v>3932.9690000000001</v>
      </c>
      <c r="E56">
        <f>SUM(E53:E55)</f>
        <v>4665.5190000000002</v>
      </c>
      <c r="F56">
        <f ca="1">SUM(F53:F55)</f>
        <v>4035.7394285</v>
      </c>
      <c r="G56">
        <f t="shared" ref="G56:O56" ca="1" si="58">SUM(G53:G55)</f>
        <v>4156.4600942100005</v>
      </c>
      <c r="H56">
        <f t="shared" ca="1" si="58"/>
        <v>4216.3875198626001</v>
      </c>
      <c r="I56">
        <f t="shared" ca="1" si="58"/>
        <v>4271.1429310543572</v>
      </c>
      <c r="J56">
        <f t="shared" ca="1" si="58"/>
        <v>3897.5204944586017</v>
      </c>
      <c r="K56">
        <f t="shared" ca="1" si="58"/>
        <v>3952.9982831159582</v>
      </c>
      <c r="L56">
        <f t="shared" ca="1" si="58"/>
        <v>3779.7071284192971</v>
      </c>
      <c r="M56">
        <f t="shared" ca="1" si="58"/>
        <v>3928.5298114932475</v>
      </c>
      <c r="N56">
        <f t="shared" ca="1" si="58"/>
        <v>4066.7695482152726</v>
      </c>
      <c r="O56">
        <f t="shared" ca="1" si="58"/>
        <v>3738.0024809635561</v>
      </c>
    </row>
    <row r="58" spans="1:15" ht="15" customHeight="1" x14ac:dyDescent="0.3">
      <c r="B58" s="16" t="s">
        <v>37</v>
      </c>
      <c r="D58" s="65">
        <v>4149.9359999999997</v>
      </c>
      <c r="E58" s="65">
        <v>4928.7780000000002</v>
      </c>
      <c r="F58">
        <f ca="1">F41</f>
        <v>5470.9014337864874</v>
      </c>
      <c r="G58">
        <f t="shared" ref="G58:O58" ca="1" si="59">G41</f>
        <v>6054.5062347383055</v>
      </c>
      <c r="H58">
        <f t="shared" ca="1" si="59"/>
        <v>6677.0063782822399</v>
      </c>
      <c r="I58">
        <f t="shared" ca="1" si="59"/>
        <v>7341.2667450726103</v>
      </c>
      <c r="J58">
        <f t="shared" ca="1" si="59"/>
        <v>8053.1018121697361</v>
      </c>
      <c r="K58">
        <f t="shared" ca="1" si="59"/>
        <v>8807.6862312222565</v>
      </c>
      <c r="L58">
        <f t="shared" ca="1" si="59"/>
        <v>9605.2606474840231</v>
      </c>
      <c r="M58">
        <f t="shared" ca="1" si="59"/>
        <v>10443.060512713184</v>
      </c>
      <c r="N58">
        <f t="shared" ca="1" si="59"/>
        <v>11316.050989159552</v>
      </c>
      <c r="O58">
        <f t="shared" ca="1" si="59"/>
        <v>12229.216634148646</v>
      </c>
    </row>
    <row r="59" spans="1:15" ht="15" customHeight="1" x14ac:dyDescent="0.3">
      <c r="B59" s="16" t="s">
        <v>38</v>
      </c>
      <c r="D59">
        <f>D56+D58</f>
        <v>8082.9049999999997</v>
      </c>
      <c r="E59">
        <f>E56+E58</f>
        <v>9594.2970000000005</v>
      </c>
      <c r="F59">
        <f ca="1">F56+F58</f>
        <v>9506.6408622864874</v>
      </c>
      <c r="G59">
        <f t="shared" ref="G59:J59" ca="1" si="60">G56+G58</f>
        <v>10210.966328948307</v>
      </c>
      <c r="H59">
        <f t="shared" ca="1" si="60"/>
        <v>10893.393898144841</v>
      </c>
      <c r="I59">
        <f t="shared" ca="1" si="60"/>
        <v>11612.409676126968</v>
      </c>
      <c r="J59">
        <f t="shared" ca="1" si="60"/>
        <v>11950.622306628338</v>
      </c>
      <c r="K59">
        <f t="shared" ref="K59:O59" ca="1" si="61">K56+K58</f>
        <v>12760.684514338214</v>
      </c>
      <c r="L59">
        <f t="shared" ca="1" si="61"/>
        <v>13384.96777590332</v>
      </c>
      <c r="M59">
        <f t="shared" ca="1" si="61"/>
        <v>14371.590324206431</v>
      </c>
      <c r="N59">
        <f t="shared" ca="1" si="61"/>
        <v>15382.820537374824</v>
      </c>
      <c r="O59">
        <f t="shared" ca="1" si="61"/>
        <v>15967.219115112202</v>
      </c>
    </row>
    <row r="61" spans="1:15" ht="15" customHeight="1" x14ac:dyDescent="0.3">
      <c r="B61" s="16" t="s">
        <v>39</v>
      </c>
      <c r="D61">
        <f>D51-D59</f>
        <v>0</v>
      </c>
      <c r="E61">
        <f t="shared" ref="E61:O61" si="62">E51-E59</f>
        <v>0</v>
      </c>
      <c r="F61">
        <f t="shared" ca="1" si="62"/>
        <v>0</v>
      </c>
      <c r="G61">
        <f t="shared" ca="1" si="62"/>
        <v>0</v>
      </c>
      <c r="H61">
        <f t="shared" ca="1" si="62"/>
        <v>0</v>
      </c>
      <c r="I61">
        <f t="shared" ca="1" si="62"/>
        <v>0</v>
      </c>
      <c r="J61">
        <f t="shared" ca="1" si="62"/>
        <v>0</v>
      </c>
      <c r="K61">
        <f t="shared" ca="1" si="62"/>
        <v>0</v>
      </c>
      <c r="L61">
        <f t="shared" ca="1" si="62"/>
        <v>0</v>
      </c>
      <c r="M61">
        <f t="shared" ca="1" si="62"/>
        <v>0</v>
      </c>
      <c r="N61">
        <f t="shared" ca="1" si="62"/>
        <v>0</v>
      </c>
      <c r="O61">
        <f t="shared" ca="1" si="62"/>
        <v>0</v>
      </c>
    </row>
    <row r="63" spans="1:15" ht="15" customHeight="1" x14ac:dyDescent="0.3">
      <c r="A63" s="15" t="s">
        <v>57</v>
      </c>
    </row>
    <row r="64" spans="1:15" ht="15" customHeight="1" x14ac:dyDescent="0.3">
      <c r="B64" s="16" t="s">
        <v>31</v>
      </c>
      <c r="F64">
        <f t="shared" ref="F64:O64" ca="1" si="63">F39</f>
        <v>797.24034380365856</v>
      </c>
      <c r="G64">
        <f t="shared" ca="1" si="63"/>
        <v>858.24235434090883</v>
      </c>
      <c r="H64">
        <f t="shared" ca="1" si="63"/>
        <v>915.44138756460961</v>
      </c>
      <c r="I64">
        <f t="shared" ca="1" si="63"/>
        <v>976.85348057407475</v>
      </c>
      <c r="J64">
        <f t="shared" ca="1" si="63"/>
        <v>1046.8162751428335</v>
      </c>
      <c r="K64">
        <f t="shared" ca="1" si="63"/>
        <v>1109.6829691948847</v>
      </c>
      <c r="L64">
        <f t="shared" ca="1" si="63"/>
        <v>1172.9035533261267</v>
      </c>
      <c r="M64">
        <f t="shared" ca="1" si="63"/>
        <v>1232.0586253369997</v>
      </c>
      <c r="N64">
        <f t="shared" ca="1" si="63"/>
        <v>1283.809524185835</v>
      </c>
      <c r="O64">
        <f t="shared" ca="1" si="63"/>
        <v>1342.8906543957271</v>
      </c>
    </row>
    <row r="65" spans="2:15" ht="15" customHeight="1" x14ac:dyDescent="0.3">
      <c r="B65" s="16" t="s">
        <v>68</v>
      </c>
      <c r="F65">
        <f>F35*-1</f>
        <v>424.155798</v>
      </c>
      <c r="G65">
        <f t="shared" ref="G65:O65" si="64">G35*-1</f>
        <v>417.65151716310004</v>
      </c>
      <c r="H65">
        <f t="shared" si="64"/>
        <v>412.86591897130148</v>
      </c>
      <c r="I65">
        <f t="shared" si="64"/>
        <v>409.76293437661951</v>
      </c>
      <c r="J65">
        <f t="shared" si="64"/>
        <v>408.31351672863207</v>
      </c>
      <c r="K65">
        <f t="shared" si="64"/>
        <v>408.49545680666392</v>
      </c>
      <c r="L65">
        <f t="shared" si="64"/>
        <v>410.02192044865171</v>
      </c>
      <c r="M65">
        <f t="shared" si="64"/>
        <v>412.87199567982975</v>
      </c>
      <c r="N65">
        <f t="shared" si="64"/>
        <v>416.87998443488556</v>
      </c>
      <c r="O65">
        <f t="shared" si="64"/>
        <v>421.87374755090457</v>
      </c>
    </row>
    <row r="66" spans="2:15" ht="15" customHeight="1" x14ac:dyDescent="0.3">
      <c r="B66" s="16" t="s">
        <v>82</v>
      </c>
      <c r="F66">
        <f t="shared" ref="F66:O66" si="65">E45-F45</f>
        <v>-71.298266150000018</v>
      </c>
      <c r="G66">
        <f t="shared" si="65"/>
        <v>24.816464031000578</v>
      </c>
      <c r="H66">
        <f t="shared" si="65"/>
        <v>26.305451872859521</v>
      </c>
      <c r="I66">
        <f t="shared" si="65"/>
        <v>27.883778985231856</v>
      </c>
      <c r="J66">
        <f t="shared" si="65"/>
        <v>29.556805724345395</v>
      </c>
      <c r="K66">
        <f t="shared" si="65"/>
        <v>26.108511723171887</v>
      </c>
      <c r="L66">
        <f t="shared" si="65"/>
        <v>27.413937309330777</v>
      </c>
      <c r="M66">
        <f t="shared" si="65"/>
        <v>25.906170757317341</v>
      </c>
      <c r="N66">
        <f t="shared" si="65"/>
        <v>24.063954170130273</v>
      </c>
      <c r="O66">
        <f t="shared" si="65"/>
        <v>25.026512336935411</v>
      </c>
    </row>
    <row r="67" spans="2:15" ht="15" customHeight="1" x14ac:dyDescent="0.3">
      <c r="B67" s="16" t="s">
        <v>40</v>
      </c>
      <c r="F67">
        <f t="shared" ref="F67:O67" ca="1" si="66">SUM(F64:F66)</f>
        <v>1150.0978756536585</v>
      </c>
      <c r="G67">
        <f t="shared" ca="1" si="66"/>
        <v>1300.7103355350096</v>
      </c>
      <c r="H67">
        <f t="shared" ca="1" si="66"/>
        <v>1354.6127584087706</v>
      </c>
      <c r="I67">
        <f t="shared" ca="1" si="66"/>
        <v>1414.5001939359261</v>
      </c>
      <c r="J67">
        <f t="shared" ca="1" si="66"/>
        <v>1484.686597595811</v>
      </c>
      <c r="K67">
        <f t="shared" ca="1" si="66"/>
        <v>1544.2869377247205</v>
      </c>
      <c r="L67">
        <f t="shared" ca="1" si="66"/>
        <v>1610.3394110841091</v>
      </c>
      <c r="M67">
        <f t="shared" ca="1" si="66"/>
        <v>1670.8367917741468</v>
      </c>
      <c r="N67">
        <f t="shared" ca="1" si="66"/>
        <v>1724.7534627908508</v>
      </c>
      <c r="O67">
        <f t="shared" ca="1" si="66"/>
        <v>1789.790914283567</v>
      </c>
    </row>
    <row r="69" spans="2:15" ht="15" customHeight="1" x14ac:dyDescent="0.3">
      <c r="B69" s="16" t="s">
        <v>66</v>
      </c>
      <c r="F69">
        <f t="shared" ref="F69:O69" si="67">F34*-1</f>
        <v>-325.60608834999999</v>
      </c>
      <c r="G69">
        <f t="shared" si="67"/>
        <v>-345.14245365099998</v>
      </c>
      <c r="H69">
        <f t="shared" si="67"/>
        <v>-365.85100087006003</v>
      </c>
      <c r="I69">
        <f t="shared" si="67"/>
        <v>-387.80206092226365</v>
      </c>
      <c r="J69">
        <f t="shared" si="67"/>
        <v>-411.07018457759949</v>
      </c>
      <c r="K69">
        <f t="shared" si="67"/>
        <v>-431.62369380647948</v>
      </c>
      <c r="L69">
        <f t="shared" si="67"/>
        <v>-453.20487849680347</v>
      </c>
      <c r="M69">
        <f t="shared" si="67"/>
        <v>-473.59909802915962</v>
      </c>
      <c r="N69">
        <f t="shared" si="67"/>
        <v>-492.54306195032603</v>
      </c>
      <c r="O69">
        <f t="shared" si="67"/>
        <v>-512.24478442833913</v>
      </c>
    </row>
    <row r="70" spans="2:15" ht="15" customHeight="1" x14ac:dyDescent="0.3">
      <c r="B70" s="16" t="s">
        <v>41</v>
      </c>
      <c r="F70">
        <f t="shared" ref="F70:O70" si="68">SUM(F69)</f>
        <v>-325.60608834999999</v>
      </c>
      <c r="G70">
        <f t="shared" si="68"/>
        <v>-345.14245365099998</v>
      </c>
      <c r="H70">
        <f t="shared" si="68"/>
        <v>-365.85100087006003</v>
      </c>
      <c r="I70">
        <f t="shared" si="68"/>
        <v>-387.80206092226365</v>
      </c>
      <c r="J70">
        <f t="shared" si="68"/>
        <v>-411.07018457759949</v>
      </c>
      <c r="K70">
        <f t="shared" si="68"/>
        <v>-431.62369380647948</v>
      </c>
      <c r="L70">
        <f t="shared" si="68"/>
        <v>-453.20487849680347</v>
      </c>
      <c r="M70">
        <f t="shared" si="68"/>
        <v>-473.59909802915962</v>
      </c>
      <c r="N70">
        <f t="shared" si="68"/>
        <v>-492.54306195032603</v>
      </c>
      <c r="O70">
        <f t="shared" si="68"/>
        <v>-512.24478442833913</v>
      </c>
    </row>
    <row r="72" spans="2:15" ht="15" customHeight="1" x14ac:dyDescent="0.3">
      <c r="B72" s="16" t="s">
        <v>99</v>
      </c>
      <c r="F72">
        <f ca="1">F40</f>
        <v>-255.11691001717074</v>
      </c>
      <c r="G72">
        <f t="shared" ref="G72:O72" ca="1" si="69">G40</f>
        <v>-274.63755338909084</v>
      </c>
      <c r="H72">
        <f t="shared" ca="1" si="69"/>
        <v>-292.94124402067507</v>
      </c>
      <c r="I72">
        <f t="shared" ca="1" si="69"/>
        <v>-312.59311378370393</v>
      </c>
      <c r="J72">
        <f t="shared" ca="1" si="69"/>
        <v>-334.98120804570675</v>
      </c>
      <c r="K72">
        <f t="shared" ca="1" si="69"/>
        <v>-355.09855014236308</v>
      </c>
      <c r="L72">
        <f t="shared" ca="1" si="69"/>
        <v>-375.32913706436057</v>
      </c>
      <c r="M72">
        <f t="shared" ca="1" si="69"/>
        <v>-394.25876010783992</v>
      </c>
      <c r="N72">
        <f t="shared" ca="1" si="69"/>
        <v>-410.81904773946724</v>
      </c>
      <c r="O72">
        <f t="shared" ca="1" si="69"/>
        <v>-429.72500940663269</v>
      </c>
    </row>
    <row r="73" spans="2:15" ht="15" customHeight="1" x14ac:dyDescent="0.3">
      <c r="B73" s="16" t="s">
        <v>85</v>
      </c>
      <c r="F73">
        <f t="shared" ref="F73:O73" ca="1" si="70">F53-E53</f>
        <v>-151.303</v>
      </c>
      <c r="G73">
        <f t="shared" ca="1" si="70"/>
        <v>0</v>
      </c>
      <c r="H73">
        <f t="shared" ca="1" si="70"/>
        <v>0</v>
      </c>
      <c r="I73">
        <f t="shared" ca="1" si="70"/>
        <v>0</v>
      </c>
      <c r="J73">
        <f t="shared" ca="1" si="70"/>
        <v>0</v>
      </c>
      <c r="K73">
        <f t="shared" ca="1" si="70"/>
        <v>0</v>
      </c>
      <c r="L73">
        <f t="shared" ca="1" si="70"/>
        <v>0</v>
      </c>
      <c r="M73">
        <f t="shared" ca="1" si="70"/>
        <v>0</v>
      </c>
      <c r="N73">
        <f t="shared" ca="1" si="70"/>
        <v>0</v>
      </c>
      <c r="O73">
        <f t="shared" ca="1" si="70"/>
        <v>0</v>
      </c>
    </row>
    <row r="74" spans="2:15" ht="15" customHeight="1" x14ac:dyDescent="0.3">
      <c r="B74" s="16" t="s">
        <v>63</v>
      </c>
      <c r="F74">
        <f t="shared" ref="F74:O74" si="71">F55-E55</f>
        <v>-655.50800000000004</v>
      </c>
      <c r="G74">
        <f t="shared" si="71"/>
        <v>-21.842000000000098</v>
      </c>
      <c r="H74">
        <f t="shared" si="71"/>
        <v>-91.189000000000078</v>
      </c>
      <c r="I74">
        <f t="shared" si="71"/>
        <v>-105.42799999999988</v>
      </c>
      <c r="J74">
        <f t="shared" si="71"/>
        <v>-543.41685245901647</v>
      </c>
      <c r="K74">
        <f t="shared" si="71"/>
        <v>-94.507278688524593</v>
      </c>
      <c r="L74">
        <f t="shared" si="71"/>
        <v>-330.77547540983608</v>
      </c>
      <c r="M74">
        <f t="shared" si="71"/>
        <v>0</v>
      </c>
      <c r="N74">
        <f t="shared" si="71"/>
        <v>0</v>
      </c>
      <c r="O74">
        <f t="shared" si="71"/>
        <v>-472.53639344262274</v>
      </c>
    </row>
    <row r="75" spans="2:15" ht="15" customHeight="1" x14ac:dyDescent="0.3">
      <c r="B75" s="16" t="s">
        <v>100</v>
      </c>
      <c r="F75">
        <f ca="1">SUM(F72:F74)</f>
        <v>-1061.9279100171707</v>
      </c>
      <c r="G75">
        <f t="shared" ref="G75:O75" ca="1" si="72">SUM(G72:G74)</f>
        <v>-296.47955338909094</v>
      </c>
      <c r="H75">
        <f t="shared" ca="1" si="72"/>
        <v>-384.13024402067515</v>
      </c>
      <c r="I75">
        <f t="shared" ca="1" si="72"/>
        <v>-418.02111378370381</v>
      </c>
      <c r="J75">
        <f t="shared" ca="1" si="72"/>
        <v>-878.39806050472316</v>
      </c>
      <c r="K75">
        <f t="shared" ca="1" si="72"/>
        <v>-449.60582883088767</v>
      </c>
      <c r="L75">
        <f t="shared" ca="1" si="72"/>
        <v>-706.10461247419664</v>
      </c>
      <c r="M75">
        <f t="shared" ca="1" si="72"/>
        <v>-394.25876010783992</v>
      </c>
      <c r="N75">
        <f t="shared" ca="1" si="72"/>
        <v>-410.81904773946724</v>
      </c>
      <c r="O75">
        <f t="shared" ca="1" si="72"/>
        <v>-902.26140284925543</v>
      </c>
    </row>
    <row r="77" spans="2:15" ht="15" customHeight="1" x14ac:dyDescent="0.3">
      <c r="B77" s="16" t="s">
        <v>42</v>
      </c>
      <c r="F77">
        <f ca="1">F67+F70+F75</f>
        <v>-237.43612271351208</v>
      </c>
      <c r="G77">
        <f t="shared" ref="G77:O77" ca="1" si="73">G67+G70+G75</f>
        <v>659.08832849491864</v>
      </c>
      <c r="H77">
        <f t="shared" ca="1" si="73"/>
        <v>604.63151351803538</v>
      </c>
      <c r="I77">
        <f t="shared" ca="1" si="73"/>
        <v>608.67701922995843</v>
      </c>
      <c r="J77">
        <f t="shared" ca="1" si="73"/>
        <v>195.2183525134883</v>
      </c>
      <c r="K77">
        <f t="shared" ca="1" si="73"/>
        <v>663.05741508735332</v>
      </c>
      <c r="L77">
        <f t="shared" ca="1" si="73"/>
        <v>451.02992011310891</v>
      </c>
      <c r="M77">
        <f t="shared" ca="1" si="73"/>
        <v>802.97893363714729</v>
      </c>
      <c r="N77">
        <f t="shared" ca="1" si="73"/>
        <v>821.39135310105746</v>
      </c>
      <c r="O77">
        <f t="shared" ca="1" si="73"/>
        <v>375.28472700597229</v>
      </c>
    </row>
    <row r="79" spans="2:15" ht="15" customHeight="1" x14ac:dyDescent="0.3">
      <c r="B79" s="16" t="s">
        <v>43</v>
      </c>
      <c r="F79">
        <f>E80</f>
        <v>1453.587</v>
      </c>
      <c r="G79">
        <f t="shared" ref="G79:O79" ca="1" si="74">F80</f>
        <v>1216.1508772864879</v>
      </c>
      <c r="H79">
        <f t="shared" ca="1" si="74"/>
        <v>1875.2392057814066</v>
      </c>
      <c r="I79">
        <f t="shared" ca="1" si="74"/>
        <v>2479.870719299442</v>
      </c>
      <c r="J79">
        <f t="shared" ca="1" si="74"/>
        <v>3088.5477385294007</v>
      </c>
      <c r="K79">
        <f t="shared" ca="1" si="74"/>
        <v>3283.766091042889</v>
      </c>
      <c r="L79">
        <f t="shared" ca="1" si="74"/>
        <v>3946.8235061302421</v>
      </c>
      <c r="M79">
        <f t="shared" ca="1" si="74"/>
        <v>4397.8534262433514</v>
      </c>
      <c r="N79">
        <f t="shared" ca="1" si="74"/>
        <v>5200.8323598804982</v>
      </c>
      <c r="O79">
        <f t="shared" ca="1" si="74"/>
        <v>6022.2237129815558</v>
      </c>
    </row>
    <row r="80" spans="2:15" ht="15" customHeight="1" x14ac:dyDescent="0.3">
      <c r="B80" s="16" t="s">
        <v>44</v>
      </c>
      <c r="E80">
        <f>E48</f>
        <v>1453.587</v>
      </c>
      <c r="F80">
        <f ca="1">F77+F79</f>
        <v>1216.1508772864879</v>
      </c>
      <c r="G80">
        <f t="shared" ref="G80:O80" ca="1" si="75">G77+G79</f>
        <v>1875.2392057814066</v>
      </c>
      <c r="H80">
        <f t="shared" ca="1" si="75"/>
        <v>2479.870719299442</v>
      </c>
      <c r="I80">
        <f t="shared" ca="1" si="75"/>
        <v>3088.5477385294007</v>
      </c>
      <c r="J80">
        <f t="shared" ca="1" si="75"/>
        <v>3283.766091042889</v>
      </c>
      <c r="K80">
        <f t="shared" ca="1" si="75"/>
        <v>3946.8235061302421</v>
      </c>
      <c r="L80">
        <f t="shared" ca="1" si="75"/>
        <v>4397.8534262433514</v>
      </c>
      <c r="M80">
        <f t="shared" ca="1" si="75"/>
        <v>5200.8323598804982</v>
      </c>
      <c r="N80">
        <f t="shared" ca="1" si="75"/>
        <v>6022.2237129815558</v>
      </c>
      <c r="O80">
        <f t="shared" ca="1" si="75"/>
        <v>6397.5084399875277</v>
      </c>
    </row>
    <row r="82" spans="1:15" ht="15" customHeight="1" x14ac:dyDescent="0.3">
      <c r="A82" s="15" t="s">
        <v>58</v>
      </c>
    </row>
    <row r="83" spans="1:15" ht="15" customHeight="1" x14ac:dyDescent="0.3">
      <c r="B83" s="16" t="str">
        <f>B67</f>
        <v>Operating cash flow</v>
      </c>
      <c r="F83">
        <f t="shared" ref="F83:O83" ca="1" si="76">F67</f>
        <v>1150.0978756536585</v>
      </c>
      <c r="G83">
        <f t="shared" ca="1" si="76"/>
        <v>1300.7103355350096</v>
      </c>
      <c r="H83">
        <f t="shared" ca="1" si="76"/>
        <v>1354.6127584087706</v>
      </c>
      <c r="I83">
        <f t="shared" ca="1" si="76"/>
        <v>1414.5001939359261</v>
      </c>
      <c r="J83">
        <f t="shared" ca="1" si="76"/>
        <v>1484.686597595811</v>
      </c>
      <c r="K83">
        <f t="shared" ca="1" si="76"/>
        <v>1544.2869377247205</v>
      </c>
      <c r="L83">
        <f t="shared" ca="1" si="76"/>
        <v>1610.3394110841091</v>
      </c>
      <c r="M83">
        <f t="shared" ca="1" si="76"/>
        <v>1670.8367917741468</v>
      </c>
      <c r="N83">
        <f t="shared" ca="1" si="76"/>
        <v>1724.7534627908508</v>
      </c>
      <c r="O83">
        <f t="shared" ca="1" si="76"/>
        <v>1789.790914283567</v>
      </c>
    </row>
    <row r="84" spans="1:15" ht="15" customHeight="1" x14ac:dyDescent="0.3">
      <c r="B84" s="16" t="str">
        <f>B70</f>
        <v>Investing cash flow</v>
      </c>
      <c r="F84">
        <f t="shared" ref="F84:O84" si="77">F70</f>
        <v>-325.60608834999999</v>
      </c>
      <c r="G84">
        <f t="shared" si="77"/>
        <v>-345.14245365099998</v>
      </c>
      <c r="H84">
        <f t="shared" si="77"/>
        <v>-365.85100087006003</v>
      </c>
      <c r="I84">
        <f t="shared" si="77"/>
        <v>-387.80206092226365</v>
      </c>
      <c r="J84">
        <f t="shared" si="77"/>
        <v>-411.07018457759949</v>
      </c>
      <c r="K84">
        <f t="shared" si="77"/>
        <v>-431.62369380647948</v>
      </c>
      <c r="L84">
        <f t="shared" si="77"/>
        <v>-453.20487849680347</v>
      </c>
      <c r="M84">
        <f t="shared" si="77"/>
        <v>-473.59909802915962</v>
      </c>
      <c r="N84">
        <f t="shared" si="77"/>
        <v>-492.54306195032603</v>
      </c>
      <c r="O84">
        <f t="shared" si="77"/>
        <v>-512.24478442833913</v>
      </c>
    </row>
    <row r="85" spans="1:15" ht="15" customHeight="1" x14ac:dyDescent="0.3">
      <c r="B85" s="16" t="s">
        <v>71</v>
      </c>
      <c r="F85">
        <f t="shared" ref="F85:O85" ca="1" si="78">F72</f>
        <v>-255.11691001717074</v>
      </c>
      <c r="G85">
        <f t="shared" ca="1" si="78"/>
        <v>-274.63755338909084</v>
      </c>
      <c r="H85">
        <f t="shared" ca="1" si="78"/>
        <v>-292.94124402067507</v>
      </c>
      <c r="I85">
        <f t="shared" ca="1" si="78"/>
        <v>-312.59311378370393</v>
      </c>
      <c r="J85">
        <f t="shared" ca="1" si="78"/>
        <v>-334.98120804570675</v>
      </c>
      <c r="K85">
        <f t="shared" ca="1" si="78"/>
        <v>-355.09855014236308</v>
      </c>
      <c r="L85">
        <f t="shared" ca="1" si="78"/>
        <v>-375.32913706436057</v>
      </c>
      <c r="M85">
        <f t="shared" ca="1" si="78"/>
        <v>-394.25876010783992</v>
      </c>
      <c r="N85">
        <f t="shared" ca="1" si="78"/>
        <v>-410.81904773946724</v>
      </c>
      <c r="O85">
        <f t="shared" ca="1" si="78"/>
        <v>-429.72500940663269</v>
      </c>
    </row>
    <row r="86" spans="1:15" ht="15" customHeight="1" x14ac:dyDescent="0.3">
      <c r="B86" s="16" t="s">
        <v>81</v>
      </c>
      <c r="F86">
        <f t="shared" ref="F86:O86" ca="1" si="79">SUM(F83:F85)</f>
        <v>569.37487728648784</v>
      </c>
      <c r="G86">
        <f t="shared" ca="1" si="79"/>
        <v>680.93032849491874</v>
      </c>
      <c r="H86">
        <f t="shared" ca="1" si="79"/>
        <v>695.82051351803545</v>
      </c>
      <c r="I86">
        <f t="shared" ca="1" si="79"/>
        <v>714.10501922995832</v>
      </c>
      <c r="J86">
        <f t="shared" ca="1" si="79"/>
        <v>738.63520497250465</v>
      </c>
      <c r="K86">
        <f t="shared" ca="1" si="79"/>
        <v>757.56469377587791</v>
      </c>
      <c r="L86">
        <f t="shared" ca="1" si="79"/>
        <v>781.80539552294499</v>
      </c>
      <c r="M86">
        <f t="shared" ca="1" si="79"/>
        <v>802.97893363714729</v>
      </c>
      <c r="N86">
        <f t="shared" ca="1" si="79"/>
        <v>821.39135310105746</v>
      </c>
      <c r="O86">
        <f t="shared" ca="1" si="79"/>
        <v>847.82112044859502</v>
      </c>
    </row>
    <row r="87" spans="1:15" ht="15" customHeight="1" x14ac:dyDescent="0.3">
      <c r="B87" s="16" t="s">
        <v>43</v>
      </c>
      <c r="F87">
        <f t="shared" ref="F87:O87" si="80">E80</f>
        <v>1453.587</v>
      </c>
      <c r="G87">
        <f t="shared" ca="1" si="80"/>
        <v>1216.1508772864879</v>
      </c>
      <c r="H87">
        <f t="shared" ca="1" si="80"/>
        <v>1875.2392057814066</v>
      </c>
      <c r="I87">
        <f t="shared" ca="1" si="80"/>
        <v>2479.870719299442</v>
      </c>
      <c r="J87">
        <f t="shared" ca="1" si="80"/>
        <v>3088.5477385294007</v>
      </c>
      <c r="K87">
        <f t="shared" ca="1" si="80"/>
        <v>3283.766091042889</v>
      </c>
      <c r="L87">
        <f t="shared" ca="1" si="80"/>
        <v>3946.8235061302421</v>
      </c>
      <c r="M87">
        <f t="shared" ca="1" si="80"/>
        <v>4397.8534262433514</v>
      </c>
      <c r="N87">
        <f t="shared" ca="1" si="80"/>
        <v>5200.8323598804982</v>
      </c>
      <c r="O87">
        <f t="shared" ca="1" si="80"/>
        <v>6022.2237129815558</v>
      </c>
    </row>
    <row r="88" spans="1:15" ht="15" customHeight="1" x14ac:dyDescent="0.3">
      <c r="B88" s="16" t="s">
        <v>80</v>
      </c>
      <c r="F88">
        <f ca="1">SUM(F86:F87)</f>
        <v>2022.9618772864878</v>
      </c>
      <c r="G88">
        <f t="shared" ref="G88:O88" ca="1" si="81">SUM(G86:G87)</f>
        <v>1897.0812057814067</v>
      </c>
      <c r="H88">
        <f t="shared" ca="1" si="81"/>
        <v>2571.0597192994419</v>
      </c>
      <c r="I88">
        <f t="shared" ca="1" si="81"/>
        <v>3193.9757385294006</v>
      </c>
      <c r="J88">
        <f t="shared" ca="1" si="81"/>
        <v>3827.1829435019054</v>
      </c>
      <c r="K88">
        <f t="shared" ca="1" si="81"/>
        <v>4041.3307848187669</v>
      </c>
      <c r="L88">
        <f t="shared" ca="1" si="81"/>
        <v>4728.6289016531873</v>
      </c>
      <c r="M88">
        <f t="shared" ca="1" si="81"/>
        <v>5200.8323598804982</v>
      </c>
      <c r="N88">
        <f t="shared" ca="1" si="81"/>
        <v>6022.2237129815558</v>
      </c>
      <c r="O88">
        <f t="shared" ca="1" si="81"/>
        <v>6870.0448334301509</v>
      </c>
    </row>
    <row r="90" spans="1:15" ht="15" customHeight="1" x14ac:dyDescent="0.3">
      <c r="B90" s="16" t="str">
        <f>B17</f>
        <v>Long term debt issuance / (repayment)</v>
      </c>
      <c r="F90">
        <f t="shared" ref="F90:O90" si="82">F17</f>
        <v>-655.50800000000004</v>
      </c>
      <c r="G90">
        <f t="shared" si="82"/>
        <v>-21.841999999999999</v>
      </c>
      <c r="H90">
        <f t="shared" si="82"/>
        <v>-91.188999999999993</v>
      </c>
      <c r="I90">
        <f t="shared" si="82"/>
        <v>-105.428</v>
      </c>
      <c r="J90">
        <f t="shared" si="82"/>
        <v>-543.41685245901647</v>
      </c>
      <c r="K90">
        <f t="shared" si="82"/>
        <v>-94.507278688524593</v>
      </c>
      <c r="L90">
        <f t="shared" si="82"/>
        <v>-330.77547540983608</v>
      </c>
      <c r="M90">
        <f t="shared" si="82"/>
        <v>0</v>
      </c>
      <c r="N90">
        <f t="shared" si="82"/>
        <v>0</v>
      </c>
      <c r="O90">
        <f t="shared" si="82"/>
        <v>-472.53639344262297</v>
      </c>
    </row>
    <row r="91" spans="1:15" ht="15" customHeight="1" x14ac:dyDescent="0.3">
      <c r="B91" s="16" t="s">
        <v>83</v>
      </c>
      <c r="F91">
        <f ca="1">SUM(F88,F90)</f>
        <v>1367.4538772864878</v>
      </c>
      <c r="G91">
        <f t="shared" ref="G91:O91" ca="1" si="83">SUM(G88,G90)</f>
        <v>1875.2392057814066</v>
      </c>
      <c r="H91">
        <f t="shared" ca="1" si="83"/>
        <v>2479.870719299442</v>
      </c>
      <c r="I91">
        <f t="shared" ca="1" si="83"/>
        <v>3088.5477385294007</v>
      </c>
      <c r="J91">
        <f t="shared" ca="1" si="83"/>
        <v>3283.766091042889</v>
      </c>
      <c r="K91">
        <f t="shared" ca="1" si="83"/>
        <v>3946.8235061302421</v>
      </c>
      <c r="L91">
        <f t="shared" ca="1" si="83"/>
        <v>4397.8534262433514</v>
      </c>
      <c r="M91">
        <f t="shared" ca="1" si="83"/>
        <v>5200.8323598804982</v>
      </c>
      <c r="N91">
        <f t="shared" ca="1" si="83"/>
        <v>6022.2237129815558</v>
      </c>
      <c r="O91">
        <f t="shared" ca="1" si="83"/>
        <v>6397.5084399875277</v>
      </c>
    </row>
    <row r="93" spans="1:15" ht="15" customHeight="1" x14ac:dyDescent="0.3">
      <c r="B93" s="16" t="s">
        <v>84</v>
      </c>
      <c r="F93">
        <f>E95</f>
        <v>151.303</v>
      </c>
      <c r="G93">
        <f t="shared" ref="G93:O93" ca="1" si="84">F95</f>
        <v>0</v>
      </c>
      <c r="H93">
        <f t="shared" ca="1" si="84"/>
        <v>0</v>
      </c>
      <c r="I93">
        <f t="shared" ca="1" si="84"/>
        <v>0</v>
      </c>
      <c r="J93">
        <f t="shared" ca="1" si="84"/>
        <v>0</v>
      </c>
      <c r="K93">
        <f t="shared" ca="1" si="84"/>
        <v>0</v>
      </c>
      <c r="L93">
        <f t="shared" ca="1" si="84"/>
        <v>0</v>
      </c>
      <c r="M93">
        <f t="shared" ca="1" si="84"/>
        <v>0</v>
      </c>
      <c r="N93">
        <f t="shared" ca="1" si="84"/>
        <v>0</v>
      </c>
      <c r="O93">
        <f t="shared" ca="1" si="84"/>
        <v>0</v>
      </c>
    </row>
    <row r="94" spans="1:15" ht="15" customHeight="1" x14ac:dyDescent="0.3">
      <c r="B94" s="16" t="s">
        <v>85</v>
      </c>
      <c r="F94">
        <f ca="1">MIN(F91,F93)*-1</f>
        <v>-151.303</v>
      </c>
      <c r="G94">
        <f t="shared" ref="G94:O94" ca="1" si="85">MIN(G91,G93)*-1</f>
        <v>0</v>
      </c>
      <c r="H94">
        <f t="shared" ca="1" si="85"/>
        <v>0</v>
      </c>
      <c r="I94">
        <f t="shared" ca="1" si="85"/>
        <v>0</v>
      </c>
      <c r="J94">
        <f t="shared" ca="1" si="85"/>
        <v>0</v>
      </c>
      <c r="K94">
        <f t="shared" ca="1" si="85"/>
        <v>0</v>
      </c>
      <c r="L94">
        <f t="shared" ca="1" si="85"/>
        <v>0</v>
      </c>
      <c r="M94">
        <f t="shared" ca="1" si="85"/>
        <v>0</v>
      </c>
      <c r="N94">
        <f t="shared" ca="1" si="85"/>
        <v>0</v>
      </c>
      <c r="O94">
        <f t="shared" ca="1" si="85"/>
        <v>0</v>
      </c>
    </row>
    <row r="95" spans="1:15" ht="15" customHeight="1" x14ac:dyDescent="0.3">
      <c r="B95" s="16" t="s">
        <v>86</v>
      </c>
      <c r="E95">
        <f>E53</f>
        <v>151.303</v>
      </c>
      <c r="F95">
        <f ca="1">SUM(F93:F94)</f>
        <v>0</v>
      </c>
      <c r="G95">
        <f t="shared" ref="G95:O95" ca="1" si="86">SUM(G93:G94)</f>
        <v>0</v>
      </c>
      <c r="H95">
        <f t="shared" ca="1" si="86"/>
        <v>0</v>
      </c>
      <c r="I95">
        <f t="shared" ca="1" si="86"/>
        <v>0</v>
      </c>
      <c r="J95">
        <f t="shared" ca="1" si="86"/>
        <v>0</v>
      </c>
      <c r="K95">
        <f t="shared" ca="1" si="86"/>
        <v>0</v>
      </c>
      <c r="L95">
        <f t="shared" ca="1" si="86"/>
        <v>0</v>
      </c>
      <c r="M95">
        <f t="shared" ca="1" si="86"/>
        <v>0</v>
      </c>
      <c r="N95">
        <f t="shared" ca="1" si="86"/>
        <v>0</v>
      </c>
      <c r="O95">
        <f t="shared" ca="1" si="86"/>
        <v>0</v>
      </c>
    </row>
    <row r="97" spans="1:15" ht="15" customHeight="1" x14ac:dyDescent="0.3">
      <c r="B97" s="16" t="s">
        <v>44</v>
      </c>
      <c r="E97">
        <f>E48</f>
        <v>1453.587</v>
      </c>
      <c r="F97">
        <f ca="1">F91+F94</f>
        <v>1216.1508772864877</v>
      </c>
      <c r="G97">
        <f t="shared" ref="G97:O97" ca="1" si="87">G91+G94</f>
        <v>1875.2392057814066</v>
      </c>
      <c r="H97">
        <f t="shared" ca="1" si="87"/>
        <v>2479.870719299442</v>
      </c>
      <c r="I97">
        <f t="shared" ca="1" si="87"/>
        <v>3088.5477385294007</v>
      </c>
      <c r="J97">
        <f t="shared" ca="1" si="87"/>
        <v>3283.766091042889</v>
      </c>
      <c r="K97">
        <f t="shared" ca="1" si="87"/>
        <v>3946.8235061302421</v>
      </c>
      <c r="L97">
        <f t="shared" ca="1" si="87"/>
        <v>4397.8534262433514</v>
      </c>
      <c r="M97">
        <f t="shared" ca="1" si="87"/>
        <v>5200.8323598804982</v>
      </c>
      <c r="N97">
        <f t="shared" ca="1" si="87"/>
        <v>6022.2237129815558</v>
      </c>
      <c r="O97">
        <f t="shared" ca="1" si="87"/>
        <v>6397.5084399875277</v>
      </c>
    </row>
    <row r="99" spans="1:15" ht="15" customHeight="1" x14ac:dyDescent="0.3">
      <c r="B99" s="16" t="s">
        <v>87</v>
      </c>
      <c r="F99">
        <f>E101</f>
        <v>2315.203</v>
      </c>
      <c r="G99">
        <f t="shared" ref="G99:O99" si="88">F101</f>
        <v>1659.6949999999999</v>
      </c>
      <c r="H99">
        <f t="shared" si="88"/>
        <v>1637.8529999999998</v>
      </c>
      <c r="I99">
        <f t="shared" si="88"/>
        <v>1546.6639999999998</v>
      </c>
      <c r="J99">
        <f t="shared" si="88"/>
        <v>1441.2359999999999</v>
      </c>
      <c r="K99">
        <f t="shared" si="88"/>
        <v>897.81914754098341</v>
      </c>
      <c r="L99">
        <f t="shared" si="88"/>
        <v>803.31186885245882</v>
      </c>
      <c r="M99">
        <f t="shared" si="88"/>
        <v>472.53639344262274</v>
      </c>
      <c r="N99">
        <f t="shared" si="88"/>
        <v>472.53639344262274</v>
      </c>
      <c r="O99">
        <f t="shared" si="88"/>
        <v>472.53639344262274</v>
      </c>
    </row>
    <row r="100" spans="1:15" ht="15" customHeight="1" x14ac:dyDescent="0.3">
      <c r="B100" s="16" t="str">
        <f>B90</f>
        <v>Long term debt issuance / (repayment)</v>
      </c>
      <c r="F100">
        <f>F90</f>
        <v>-655.50800000000004</v>
      </c>
      <c r="G100">
        <f t="shared" ref="G100:O100" si="89">G90</f>
        <v>-21.841999999999999</v>
      </c>
      <c r="H100">
        <f t="shared" si="89"/>
        <v>-91.188999999999993</v>
      </c>
      <c r="I100">
        <f t="shared" si="89"/>
        <v>-105.428</v>
      </c>
      <c r="J100">
        <f t="shared" si="89"/>
        <v>-543.41685245901647</v>
      </c>
      <c r="K100">
        <f t="shared" si="89"/>
        <v>-94.507278688524593</v>
      </c>
      <c r="L100">
        <f t="shared" si="89"/>
        <v>-330.77547540983608</v>
      </c>
      <c r="M100">
        <f t="shared" si="89"/>
        <v>0</v>
      </c>
      <c r="N100">
        <f t="shared" si="89"/>
        <v>0</v>
      </c>
      <c r="O100">
        <f t="shared" si="89"/>
        <v>-472.53639344262297</v>
      </c>
    </row>
    <row r="101" spans="1:15" ht="15" customHeight="1" x14ac:dyDescent="0.3">
      <c r="B101" s="16" t="s">
        <v>88</v>
      </c>
      <c r="E101">
        <f>E55</f>
        <v>2315.203</v>
      </c>
      <c r="F101">
        <f>SUM(F99:F100)</f>
        <v>1659.6949999999999</v>
      </c>
      <c r="G101">
        <f t="shared" ref="G101:O101" si="90">SUM(G99:G100)</f>
        <v>1637.8529999999998</v>
      </c>
      <c r="H101">
        <f t="shared" si="90"/>
        <v>1546.6639999999998</v>
      </c>
      <c r="I101">
        <f t="shared" si="90"/>
        <v>1441.2359999999999</v>
      </c>
      <c r="J101">
        <f t="shared" si="90"/>
        <v>897.81914754098341</v>
      </c>
      <c r="K101">
        <f t="shared" si="90"/>
        <v>803.31186885245882</v>
      </c>
      <c r="L101">
        <f t="shared" si="90"/>
        <v>472.53639344262274</v>
      </c>
      <c r="M101">
        <f t="shared" si="90"/>
        <v>472.53639344262274</v>
      </c>
      <c r="N101">
        <f t="shared" si="90"/>
        <v>472.53639344262274</v>
      </c>
      <c r="O101">
        <f t="shared" si="90"/>
        <v>0</v>
      </c>
    </row>
    <row r="103" spans="1:15" ht="15" customHeight="1" x14ac:dyDescent="0.3">
      <c r="B103" s="16" t="s">
        <v>89</v>
      </c>
      <c r="F103">
        <f t="shared" ref="F103:O103" ca="1" si="91">AVERAGE(E95:F95)*F18</f>
        <v>1.5130300000000001</v>
      </c>
      <c r="G103">
        <f t="shared" ca="1" si="91"/>
        <v>0</v>
      </c>
      <c r="H103">
        <f t="shared" ca="1" si="91"/>
        <v>0</v>
      </c>
      <c r="I103">
        <f t="shared" ca="1" si="91"/>
        <v>0</v>
      </c>
      <c r="J103">
        <f t="shared" ca="1" si="91"/>
        <v>0</v>
      </c>
      <c r="K103">
        <f t="shared" ca="1" si="91"/>
        <v>0</v>
      </c>
      <c r="L103">
        <f t="shared" ca="1" si="91"/>
        <v>0</v>
      </c>
      <c r="M103">
        <f t="shared" ca="1" si="91"/>
        <v>0</v>
      </c>
      <c r="N103">
        <f t="shared" ca="1" si="91"/>
        <v>0</v>
      </c>
      <c r="O103">
        <f t="shared" ca="1" si="91"/>
        <v>0</v>
      </c>
    </row>
    <row r="104" spans="1:15" ht="15" customHeight="1" x14ac:dyDescent="0.3">
      <c r="B104" s="16" t="s">
        <v>90</v>
      </c>
      <c r="F104">
        <f t="shared" ref="F104:O104" si="92">AVERAGE(E101:F101)*F19</f>
        <v>79.497960000000006</v>
      </c>
      <c r="G104">
        <f t="shared" si="92"/>
        <v>65.950959999999995</v>
      </c>
      <c r="H104">
        <f t="shared" si="92"/>
        <v>63.690339999999999</v>
      </c>
      <c r="I104">
        <f t="shared" si="92"/>
        <v>59.757999999999996</v>
      </c>
      <c r="J104">
        <f t="shared" si="92"/>
        <v>46.781102950819665</v>
      </c>
      <c r="K104">
        <f t="shared" si="92"/>
        <v>34.022620327868843</v>
      </c>
      <c r="L104">
        <f t="shared" si="92"/>
        <v>25.516965245901631</v>
      </c>
      <c r="M104">
        <f t="shared" si="92"/>
        <v>18.901455737704911</v>
      </c>
      <c r="N104">
        <f t="shared" si="92"/>
        <v>18.901455737704911</v>
      </c>
      <c r="O104">
        <f t="shared" si="92"/>
        <v>9.4507278688524554</v>
      </c>
    </row>
    <row r="105" spans="1:15" ht="15" customHeight="1" x14ac:dyDescent="0.3">
      <c r="B105" s="16" t="s">
        <v>91</v>
      </c>
      <c r="F105">
        <f t="shared" ref="F105:O105" ca="1" si="93">AVERAGE(E97:F97)*F20</f>
        <v>6.6743446932162191</v>
      </c>
      <c r="G105">
        <f t="shared" ca="1" si="93"/>
        <v>7.7284752076697352</v>
      </c>
      <c r="H105">
        <f t="shared" ca="1" si="93"/>
        <v>10.887774812702121</v>
      </c>
      <c r="I105">
        <f t="shared" ca="1" si="93"/>
        <v>13.921046144572106</v>
      </c>
      <c r="J105">
        <f t="shared" ca="1" si="93"/>
        <v>15.930784573930724</v>
      </c>
      <c r="K105">
        <f t="shared" ca="1" si="93"/>
        <v>18.076473992932829</v>
      </c>
      <c r="L105">
        <f t="shared" ca="1" si="93"/>
        <v>20.861692330933984</v>
      </c>
      <c r="M105">
        <f t="shared" ca="1" si="93"/>
        <v>23.996714465309623</v>
      </c>
      <c r="N105">
        <f t="shared" ca="1" si="93"/>
        <v>28.057640182155136</v>
      </c>
      <c r="O105">
        <f t="shared" ca="1" si="93"/>
        <v>31.04933038242271</v>
      </c>
    </row>
    <row r="107" spans="1:15" ht="15" customHeight="1" x14ac:dyDescent="0.3">
      <c r="A107" s="15" t="s">
        <v>108</v>
      </c>
    </row>
    <row r="108" spans="1:15" ht="15" customHeight="1" x14ac:dyDescent="0.3">
      <c r="B108" s="16" t="s">
        <v>60</v>
      </c>
      <c r="C108" s="66">
        <f t="shared" ref="C108:O108" si="94">C25/C23</f>
        <v>0.13690665527165549</v>
      </c>
      <c r="D108" s="66">
        <f t="shared" si="94"/>
        <v>0.14436348385002293</v>
      </c>
      <c r="E108" s="66">
        <f t="shared" si="94"/>
        <v>0.15127614289894162</v>
      </c>
      <c r="F108" s="66">
        <f t="shared" si="94"/>
        <v>0.15000000000000005</v>
      </c>
      <c r="G108" s="66">
        <f t="shared" si="94"/>
        <v>0.15</v>
      </c>
      <c r="H108" s="66">
        <f t="shared" si="94"/>
        <v>0.15000000000000002</v>
      </c>
      <c r="I108" s="66">
        <f t="shared" si="94"/>
        <v>0.14999999999999994</v>
      </c>
      <c r="J108" s="66">
        <f t="shared" si="94"/>
        <v>0.15000000000000005</v>
      </c>
      <c r="K108" s="66">
        <f t="shared" si="94"/>
        <v>0.14999999999999997</v>
      </c>
      <c r="L108" s="66">
        <f t="shared" si="94"/>
        <v>0.14999999999999994</v>
      </c>
      <c r="M108" s="66">
        <f t="shared" si="94"/>
        <v>0.14999999999999997</v>
      </c>
      <c r="N108" s="66">
        <f t="shared" si="94"/>
        <v>0.15000000000000002</v>
      </c>
      <c r="O108" s="66">
        <f t="shared" si="94"/>
        <v>0.15</v>
      </c>
    </row>
    <row r="109" spans="1:15" ht="15" customHeight="1" x14ac:dyDescent="0.3">
      <c r="B109" s="16" t="s">
        <v>50</v>
      </c>
      <c r="C109" s="66"/>
      <c r="D109" s="66"/>
      <c r="E109" s="66"/>
      <c r="F109">
        <f t="shared" ref="F109:O109" si="95">F25+F35</f>
        <v>895.86888450000038</v>
      </c>
      <c r="G109">
        <f t="shared" si="95"/>
        <v>981.57464628690002</v>
      </c>
      <c r="H109">
        <f t="shared" si="95"/>
        <v>1070.313814285699</v>
      </c>
      <c r="I109">
        <f t="shared" si="95"/>
        <v>1162.4075828758002</v>
      </c>
      <c r="J109">
        <f t="shared" si="95"/>
        <v>1258.1872315589342</v>
      </c>
      <c r="K109">
        <f t="shared" si="95"/>
        <v>1341.3303288952795</v>
      </c>
      <c r="L109">
        <f t="shared" si="95"/>
        <v>1427.2951545383889</v>
      </c>
      <c r="M109">
        <f t="shared" si="95"/>
        <v>1507.1243476816278</v>
      </c>
      <c r="N109">
        <f t="shared" si="95"/>
        <v>1579.9162126610313</v>
      </c>
      <c r="O109">
        <f t="shared" si="95"/>
        <v>1654.7942974288485</v>
      </c>
    </row>
    <row r="110" spans="1:15" ht="15" customHeight="1" x14ac:dyDescent="0.3">
      <c r="B110" s="16" t="s">
        <v>98</v>
      </c>
      <c r="C110" s="66"/>
      <c r="D110" s="66"/>
      <c r="E110" s="66"/>
      <c r="F110" s="66">
        <f t="shared" ref="F110:O110" si="96">F109/F23</f>
        <v>0.10180137875944609</v>
      </c>
      <c r="G110" s="66">
        <f t="shared" si="96"/>
        <v>0.10522687524653075</v>
      </c>
      <c r="H110" s="66">
        <f t="shared" si="96"/>
        <v>0.10824519007571674</v>
      </c>
      <c r="I110" s="66">
        <f t="shared" si="96"/>
        <v>0.1109047240855843</v>
      </c>
      <c r="J110" s="66">
        <f t="shared" si="96"/>
        <v>0.11324812480748665</v>
      </c>
      <c r="K110" s="66">
        <f t="shared" si="96"/>
        <v>0.11498261768589756</v>
      </c>
      <c r="L110" s="66">
        <f t="shared" si="96"/>
        <v>0.11652549039869363</v>
      </c>
      <c r="M110" s="66">
        <f t="shared" si="96"/>
        <v>0.11774431390658359</v>
      </c>
      <c r="N110" s="66">
        <f t="shared" si="96"/>
        <v>0.11868383575841264</v>
      </c>
      <c r="O110" s="66">
        <f t="shared" si="96"/>
        <v>0.1195275986522667</v>
      </c>
    </row>
    <row r="111" spans="1:15" ht="15" customHeight="1" x14ac:dyDescent="0.3">
      <c r="B111" s="16" t="s">
        <v>61</v>
      </c>
      <c r="C111" s="66">
        <f t="shared" ref="C111:O111" si="97">C30/C23</f>
        <v>7.6001299437691114E-2</v>
      </c>
      <c r="D111" s="66">
        <f t="shared" si="97"/>
        <v>7.5056911956618483E-2</v>
      </c>
      <c r="E111" s="66">
        <f t="shared" si="97"/>
        <v>8.442083619902313E-2</v>
      </c>
      <c r="F111" s="66">
        <f t="shared" ca="1" si="97"/>
        <v>9.0593799612946849E-2</v>
      </c>
      <c r="G111" s="66">
        <f t="shared" ca="1" si="97"/>
        <v>9.2005393062203553E-2</v>
      </c>
      <c r="H111" s="66">
        <f t="shared" ca="1" si="97"/>
        <v>9.2582311540322107E-2</v>
      </c>
      <c r="I111" s="66">
        <f t="shared" ca="1" si="97"/>
        <v>9.3201100312063259E-2</v>
      </c>
      <c r="J111" s="66">
        <f t="shared" ca="1" si="97"/>
        <v>9.422284474385953E-2</v>
      </c>
      <c r="K111" s="66">
        <f t="shared" ca="1" si="97"/>
        <v>9.5125152880553857E-2</v>
      </c>
      <c r="L111" s="66">
        <f t="shared" ca="1" si="97"/>
        <v>9.5756761526945428E-2</v>
      </c>
      <c r="M111" s="66">
        <f t="shared" ca="1" si="97"/>
        <v>9.6254763421576947E-2</v>
      </c>
      <c r="N111" s="66">
        <f t="shared" ca="1" si="97"/>
        <v>9.6440202013578377E-2</v>
      </c>
      <c r="O111" s="66">
        <f t="shared" ca="1" si="97"/>
        <v>9.699845800888364E-2</v>
      </c>
    </row>
    <row r="113" spans="1:15" ht="15" customHeight="1" x14ac:dyDescent="0.3">
      <c r="A113" s="15" t="s">
        <v>109</v>
      </c>
    </row>
    <row r="114" spans="1:15" ht="15" customHeight="1" x14ac:dyDescent="0.3">
      <c r="B114" s="16" t="s">
        <v>74</v>
      </c>
      <c r="D114" s="66">
        <f t="shared" ref="D114:O114" si="98">D45/D23</f>
        <v>-3.2208878607107631E-2</v>
      </c>
      <c r="E114" s="66">
        <f t="shared" si="98"/>
        <v>-6.3367212832400946E-2</v>
      </c>
      <c r="F114" s="66">
        <f t="shared" si="98"/>
        <v>-4.6999999999999993E-2</v>
      </c>
      <c r="G114" s="66">
        <f t="shared" si="98"/>
        <v>-4.7000000000000056E-2</v>
      </c>
      <c r="H114" s="66">
        <f t="shared" si="98"/>
        <v>-4.6999999999999993E-2</v>
      </c>
      <c r="I114" s="66">
        <f t="shared" si="98"/>
        <v>-4.7000000000000014E-2</v>
      </c>
      <c r="J114" s="66">
        <f t="shared" si="98"/>
        <v>-4.7000000000000007E-2</v>
      </c>
      <c r="K114" s="66">
        <f t="shared" si="98"/>
        <v>-4.7000000000000007E-2</v>
      </c>
      <c r="L114" s="66">
        <f t="shared" si="98"/>
        <v>-4.7000000000000028E-2</v>
      </c>
      <c r="M114" s="66">
        <f t="shared" si="98"/>
        <v>-4.7000000000000035E-2</v>
      </c>
      <c r="N114" s="66">
        <f t="shared" si="98"/>
        <v>-4.7000000000000028E-2</v>
      </c>
      <c r="O114" s="66">
        <f t="shared" si="98"/>
        <v>-4.7000000000000021E-2</v>
      </c>
    </row>
    <row r="115" spans="1:15" ht="15" customHeight="1" x14ac:dyDescent="0.3">
      <c r="B115" s="16" t="s">
        <v>75</v>
      </c>
      <c r="D115" s="66">
        <f t="shared" ref="D115:O115" si="99">D50/D23</f>
        <v>0.79956434165580537</v>
      </c>
      <c r="E115" s="66">
        <f t="shared" si="99"/>
        <v>0.83982446100965236</v>
      </c>
      <c r="F115" s="66">
        <f t="shared" si="99"/>
        <v>0.71908351876783949</v>
      </c>
      <c r="G115" s="66">
        <f t="shared" si="99"/>
        <v>0.67060755332939825</v>
      </c>
      <c r="H115" s="66">
        <f t="shared" si="99"/>
        <v>0.62789382529213</v>
      </c>
      <c r="I115" s="66">
        <f t="shared" si="99"/>
        <v>0.59025738945551831</v>
      </c>
      <c r="J115" s="66">
        <f t="shared" si="99"/>
        <v>0.55709471863344728</v>
      </c>
      <c r="K115" s="66">
        <f t="shared" si="99"/>
        <v>0.53254901638441876</v>
      </c>
      <c r="L115" s="66">
        <f t="shared" si="99"/>
        <v>0.51071502981242578</v>
      </c>
      <c r="M115" s="66">
        <f t="shared" si="99"/>
        <v>0.49346683047349832</v>
      </c>
      <c r="N115" s="66">
        <f t="shared" si="99"/>
        <v>0.48017117275216092</v>
      </c>
      <c r="O115" s="66">
        <f t="shared" si="99"/>
        <v>0.46823064937549835</v>
      </c>
    </row>
    <row r="117" spans="1:15" ht="15" customHeight="1" x14ac:dyDescent="0.3">
      <c r="A117" s="15" t="s">
        <v>92</v>
      </c>
    </row>
    <row r="118" spans="1:15" ht="15" customHeight="1" x14ac:dyDescent="0.3">
      <c r="B118" s="16" t="s">
        <v>76</v>
      </c>
      <c r="E118">
        <f t="shared" ref="E118:O118" si="100">E95+E101</f>
        <v>2466.5059999999999</v>
      </c>
      <c r="F118">
        <f t="shared" ca="1" si="100"/>
        <v>1659.6949999999999</v>
      </c>
      <c r="G118">
        <f t="shared" ca="1" si="100"/>
        <v>1637.8529999999998</v>
      </c>
      <c r="H118">
        <f t="shared" ca="1" si="100"/>
        <v>1546.6639999999998</v>
      </c>
      <c r="I118">
        <f t="shared" ca="1" si="100"/>
        <v>1441.2359999999999</v>
      </c>
      <c r="J118">
        <f t="shared" ca="1" si="100"/>
        <v>897.81914754098341</v>
      </c>
      <c r="K118">
        <f t="shared" ca="1" si="100"/>
        <v>803.31186885245882</v>
      </c>
      <c r="L118">
        <f t="shared" ca="1" si="100"/>
        <v>472.53639344262274</v>
      </c>
      <c r="M118">
        <f t="shared" ca="1" si="100"/>
        <v>472.53639344262274</v>
      </c>
      <c r="N118">
        <f t="shared" ca="1" si="100"/>
        <v>472.53639344262274</v>
      </c>
      <c r="O118">
        <f t="shared" ca="1" si="100"/>
        <v>0</v>
      </c>
    </row>
    <row r="119" spans="1:15" ht="15" customHeight="1" x14ac:dyDescent="0.3">
      <c r="B119" s="16" t="s">
        <v>93</v>
      </c>
      <c r="E119">
        <f t="shared" ref="E119:O119" si="101">E118-E97</f>
        <v>1012.9189999999999</v>
      </c>
      <c r="F119">
        <f t="shared" ca="1" si="101"/>
        <v>443.54412271351225</v>
      </c>
      <c r="G119">
        <f t="shared" ca="1" si="101"/>
        <v>-237.38620578140672</v>
      </c>
      <c r="H119">
        <f t="shared" ca="1" si="101"/>
        <v>-933.20671929944228</v>
      </c>
      <c r="I119">
        <f t="shared" ca="1" si="101"/>
        <v>-1647.3117385294008</v>
      </c>
      <c r="J119">
        <f t="shared" ca="1" si="101"/>
        <v>-2385.9469435019055</v>
      </c>
      <c r="K119">
        <f t="shared" ca="1" si="101"/>
        <v>-3143.5116372777834</v>
      </c>
      <c r="L119">
        <f t="shared" ca="1" si="101"/>
        <v>-3925.3170328007286</v>
      </c>
      <c r="M119">
        <f t="shared" ca="1" si="101"/>
        <v>-4728.2959664378759</v>
      </c>
      <c r="N119">
        <f t="shared" ca="1" si="101"/>
        <v>-5549.6873195389326</v>
      </c>
      <c r="O119">
        <f t="shared" ca="1" si="101"/>
        <v>-6397.5084399875277</v>
      </c>
    </row>
    <row r="120" spans="1:15" ht="15" customHeight="1" x14ac:dyDescent="0.3">
      <c r="B120" s="16" t="s">
        <v>94</v>
      </c>
      <c r="F120" s="70">
        <f t="shared" ref="F120:O120" ca="1" si="102">F118/F109</f>
        <v>1.8526092698557155</v>
      </c>
      <c r="G120" s="70">
        <f t="shared" ca="1" si="102"/>
        <v>1.668597499126194</v>
      </c>
      <c r="H120" s="70">
        <f t="shared" ca="1" si="102"/>
        <v>1.4450565613153421</v>
      </c>
      <c r="I120" s="70">
        <f t="shared" ca="1" si="102"/>
        <v>1.2398714712737655</v>
      </c>
      <c r="J120" s="70">
        <f t="shared" ca="1" si="102"/>
        <v>0.71358151237042577</v>
      </c>
      <c r="K120" s="70">
        <f t="shared" ca="1" si="102"/>
        <v>0.59889189974110768</v>
      </c>
      <c r="L120" s="70">
        <f t="shared" ca="1" si="102"/>
        <v>0.33107125175903013</v>
      </c>
      <c r="M120" s="70">
        <f t="shared" ca="1" si="102"/>
        <v>0.31353510688717479</v>
      </c>
      <c r="N120" s="70">
        <f t="shared" ca="1" si="102"/>
        <v>0.29908952744192435</v>
      </c>
      <c r="O120" s="70">
        <f t="shared" ca="1" si="102"/>
        <v>0</v>
      </c>
    </row>
    <row r="121" spans="1:15" ht="15" customHeight="1" x14ac:dyDescent="0.3">
      <c r="B121" s="16" t="s">
        <v>95</v>
      </c>
      <c r="F121" s="70">
        <f t="shared" ref="F121:O121" ca="1" si="103">F119/F109</f>
        <v>0.49509937267333687</v>
      </c>
      <c r="G121" s="70">
        <f t="shared" ca="1" si="103"/>
        <v>-0.24184223449473874</v>
      </c>
      <c r="H121" s="70">
        <f t="shared" ca="1" si="103"/>
        <v>-0.87190009775052879</v>
      </c>
      <c r="I121" s="70">
        <f t="shared" ca="1" si="103"/>
        <v>-1.4171550175661674</v>
      </c>
      <c r="J121" s="70">
        <f t="shared" ca="1" si="103"/>
        <v>-1.8963369549901099</v>
      </c>
      <c r="K121" s="70">
        <f t="shared" ca="1" si="103"/>
        <v>-2.3435775435472195</v>
      </c>
      <c r="L121" s="70">
        <f t="shared" ca="1" si="103"/>
        <v>-2.7501789103111203</v>
      </c>
      <c r="M121" s="70">
        <f t="shared" ca="1" si="103"/>
        <v>-3.1372965168476621</v>
      </c>
      <c r="N121" s="70">
        <f t="shared" ca="1" si="103"/>
        <v>-3.5126466043358526</v>
      </c>
      <c r="O121" s="70">
        <f t="shared" ca="1" si="103"/>
        <v>-3.8660445288745038</v>
      </c>
    </row>
    <row r="122" spans="1:15" ht="15" customHeight="1" x14ac:dyDescent="0.3">
      <c r="B122" s="16" t="s">
        <v>96</v>
      </c>
      <c r="F122" s="70">
        <f t="shared" ref="F122:O122" ca="1" si="104">F109/(F103+F104)</f>
        <v>11.058609264002332</v>
      </c>
      <c r="G122" s="70">
        <f t="shared" ca="1" si="104"/>
        <v>14.883401944215825</v>
      </c>
      <c r="H122" s="70">
        <f t="shared" ca="1" si="104"/>
        <v>16.80496311192088</v>
      </c>
      <c r="I122" s="70">
        <f t="shared" ca="1" si="104"/>
        <v>19.451915774888722</v>
      </c>
      <c r="J122" s="70">
        <f t="shared" ca="1" si="104"/>
        <v>26.895202382929046</v>
      </c>
      <c r="K122" s="70">
        <f t="shared" ca="1" si="104"/>
        <v>39.424662650000528</v>
      </c>
      <c r="L122" s="70">
        <f t="shared" ca="1" si="104"/>
        <v>55.935145139080824</v>
      </c>
      <c r="M122" s="70">
        <f t="shared" ca="1" si="104"/>
        <v>79.735887467926261</v>
      </c>
      <c r="N122" s="70">
        <f t="shared" ca="1" si="104"/>
        <v>83.587012269610028</v>
      </c>
      <c r="O122" s="70">
        <f t="shared" ca="1" si="104"/>
        <v>175.09702113873058</v>
      </c>
    </row>
    <row r="123" spans="1:15" ht="15" customHeight="1" x14ac:dyDescent="0.3">
      <c r="B123" s="16" t="s">
        <v>97</v>
      </c>
      <c r="F123" s="66">
        <f t="shared" ref="F123:O123" ca="1" si="105">F119/(F119+F58)</f>
        <v>7.4993356262457345E-2</v>
      </c>
      <c r="G123" s="66">
        <f t="shared" ca="1" si="105"/>
        <v>-4.0808201412335959E-2</v>
      </c>
      <c r="H123" s="66">
        <f t="shared" ca="1" si="105"/>
        <v>-0.16247201760249227</v>
      </c>
      <c r="I123" s="66">
        <f t="shared" ca="1" si="105"/>
        <v>-0.28930887873830968</v>
      </c>
      <c r="J123" s="66">
        <f t="shared" ca="1" si="105"/>
        <v>-0.42101318894480227</v>
      </c>
      <c r="K123" s="66">
        <f t="shared" ca="1" si="105"/>
        <v>-0.55498141611639018</v>
      </c>
      <c r="L123" s="66">
        <f t="shared" ca="1" si="105"/>
        <v>-0.69108380277813708</v>
      </c>
      <c r="M123" s="66">
        <f t="shared" ca="1" si="105"/>
        <v>-0.82738246311820851</v>
      </c>
      <c r="N123" s="66">
        <f t="shared" ca="1" si="105"/>
        <v>-0.96242409211489388</v>
      </c>
      <c r="O123" s="66">
        <f t="shared" ca="1" si="105"/>
        <v>-1.0970213575488748</v>
      </c>
    </row>
    <row r="125" spans="1:15" ht="15" customHeight="1" x14ac:dyDescent="0.3">
      <c r="A125" s="15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74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2016-05-30T11:46:51Z</cp:lastPrinted>
  <dcterms:created xsi:type="dcterms:W3CDTF">2016-02-03T14:06:14Z</dcterms:created>
  <dcterms:modified xsi:type="dcterms:W3CDTF">2019-01-29T12:26:53Z</dcterms:modified>
</cp:coreProperties>
</file>