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/>
  <mc:AlternateContent xmlns:mc="http://schemas.openxmlformats.org/markup-compatibility/2006">
    <mc:Choice Requires="x15">
      <x15ac:absPath xmlns:x15ac="http://schemas.microsoft.com/office/spreadsheetml/2010/11/ac" url="G:\My Drive\Project finance recording\"/>
    </mc:Choice>
  </mc:AlternateContent>
  <xr:revisionPtr revIDLastSave="0" documentId="8_{0B627DA8-2F5E-4383-B220-E392FB3D4911}" xr6:coauthVersionLast="47" xr6:coauthVersionMax="47" xr10:uidLastSave="{00000000-0000-0000-0000-000000000000}"/>
  <bookViews>
    <workbookView xWindow="-108" yWindow="-108" windowWidth="30936" windowHeight="16896" firstSheet="9" activeTab="9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externalReferences>
    <externalReference r:id="rId11"/>
  </externalReferences>
  <definedNames>
    <definedName name="switch">Info!$N$10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5" l="1"/>
  <c r="E56" i="2"/>
  <c r="F56" i="2"/>
  <c r="D56" i="2"/>
  <c r="E5" i="16" l="1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P6" i="12" l="1"/>
  <c r="P9" i="12"/>
  <c r="P48" i="12"/>
  <c r="P5" i="11"/>
  <c r="P14" i="11"/>
  <c r="P15" i="11"/>
  <c r="P16" i="11"/>
  <c r="Q33" i="2"/>
  <c r="Q30" i="2"/>
  <c r="P10" i="11" l="1"/>
  <c r="P5" i="14" s="1"/>
  <c r="B9" i="15"/>
  <c r="B11" i="15"/>
  <c r="B10" i="15"/>
  <c r="B8" i="15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l="1"/>
  <c r="G16" i="11"/>
  <c r="E8" i="17" l="1"/>
  <c r="D8" i="17"/>
  <c r="H14" i="2"/>
  <c r="E26" i="16"/>
  <c r="D9" i="2" l="1"/>
  <c r="E9" i="2"/>
  <c r="E12" i="17"/>
  <c r="F12" i="17"/>
  <c r="D12" i="17"/>
  <c r="D11" i="17"/>
  <c r="H48" i="12"/>
  <c r="I48" i="12"/>
  <c r="J48" i="12"/>
  <c r="K48" i="12"/>
  <c r="L48" i="12"/>
  <c r="M48" i="12"/>
  <c r="N48" i="12"/>
  <c r="O48" i="12"/>
  <c r="F48" i="12"/>
  <c r="G48" i="12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F10" i="2" s="1"/>
  <c r="E47" i="2"/>
  <c r="E6" i="2" s="1"/>
  <c r="F47" i="2"/>
  <c r="F6" i="2" s="1"/>
  <c r="D47" i="2"/>
  <c r="D6" i="2" s="1"/>
  <c r="D23" i="12" l="1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E22" i="12" l="1"/>
  <c r="E25" i="12" s="1"/>
  <c r="E9" i="16" s="1"/>
  <c r="H12" i="12"/>
  <c r="I12" i="12" s="1"/>
  <c r="J12" i="12" s="1"/>
  <c r="K12" i="12" s="1"/>
  <c r="F22" i="12"/>
  <c r="F25" i="12" s="1"/>
  <c r="F9" i="16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P11" i="11" l="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P18" i="11" l="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P5" i="17" l="1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N12" i="12"/>
  <c r="A2" i="2"/>
  <c r="P21" i="11" l="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42" i="12"/>
  <c r="I13" i="12"/>
  <c r="H14" i="12"/>
  <c r="H15" i="12" s="1"/>
  <c r="H16" i="12" s="1"/>
  <c r="F49" i="12"/>
  <c r="F19" i="16" s="1"/>
  <c r="O12" i="12"/>
  <c r="P12" i="12" s="1"/>
  <c r="A1" i="6"/>
  <c r="G12" i="14" l="1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H41" i="12" l="1"/>
  <c r="H12" i="14"/>
  <c r="H14" i="14" s="1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H11" i="16"/>
  <c r="I12" i="14"/>
  <c r="I14" i="14" s="1"/>
  <c r="I43" i="12"/>
  <c r="H46" i="12"/>
  <c r="H47" i="12" s="1"/>
  <c r="I22" i="12"/>
  <c r="I25" i="12" s="1"/>
  <c r="I9" i="16" s="1"/>
  <c r="J16" i="12"/>
  <c r="K14" i="12"/>
  <c r="K15" i="12" s="1"/>
  <c r="K16" i="12" s="1"/>
  <c r="L13" i="12"/>
  <c r="J41" i="12" l="1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12" i="14"/>
  <c r="K14" i="14" s="1"/>
  <c r="J12" i="14"/>
  <c r="J14" i="14" s="1"/>
  <c r="I46" i="12"/>
  <c r="I47" i="12" s="1"/>
  <c r="M14" i="12"/>
  <c r="M15" i="12" s="1"/>
  <c r="N13" i="12"/>
  <c r="J25" i="12"/>
  <c r="J9" i="16" s="1"/>
  <c r="L16" i="12"/>
  <c r="K41" i="12" l="1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N12" i="14" l="1"/>
  <c r="N14" i="14" s="1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12" i="14" l="1"/>
  <c r="O14" i="14" s="1"/>
  <c r="P24" i="12"/>
  <c r="P11" i="14" s="1"/>
  <c r="P42" i="12"/>
  <c r="K46" i="12"/>
  <c r="K47" i="12" s="1"/>
  <c r="N22" i="12"/>
  <c r="N25" i="12" s="1"/>
  <c r="N9" i="16" s="1"/>
  <c r="N41" i="12"/>
  <c r="N43" i="12" s="1"/>
  <c r="N11" i="16" s="1"/>
  <c r="P12" i="14" l="1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P8" i="17" l="1"/>
  <c r="L49" i="12"/>
  <c r="L19" i="16" s="1"/>
  <c r="M46" i="12" l="1"/>
  <c r="M47" i="12" s="1"/>
  <c r="M49" i="12" l="1"/>
  <c r="M19" i="16" s="1"/>
  <c r="N46" i="12" l="1"/>
  <c r="N47" i="12" s="1"/>
  <c r="N49" i="12" l="1"/>
  <c r="N19" i="16" s="1"/>
  <c r="O46" i="12" l="1"/>
  <c r="O47" i="12" l="1"/>
  <c r="O49" i="12" l="1"/>
  <c r="O19" i="16" s="1"/>
  <c r="G6" i="17"/>
  <c r="G6" i="16" s="1"/>
  <c r="G7" i="17"/>
  <c r="G15" i="16" s="1"/>
  <c r="P46" i="12" l="1"/>
  <c r="P47" i="12" s="1"/>
  <c r="F6" i="17"/>
  <c r="F6" i="16" s="1"/>
  <c r="G8" i="17"/>
  <c r="P49" i="12" l="1"/>
  <c r="P19" i="16" s="1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H8" i="17"/>
  <c r="I8" i="17"/>
  <c r="O8" i="17"/>
  <c r="K8" i="17"/>
  <c r="N8" i="17"/>
  <c r="M8" i="17"/>
  <c r="L8" i="17"/>
  <c r="J8" i="17"/>
  <c r="D16" i="16" l="1"/>
  <c r="E16" i="16"/>
  <c r="F16" i="16"/>
  <c r="D7" i="2" l="1"/>
  <c r="E7" i="2" l="1"/>
  <c r="F7" i="2"/>
  <c r="C7" i="2" l="1"/>
  <c r="D11" i="2"/>
  <c r="E11" i="2"/>
  <c r="F11" i="2"/>
  <c r="C11" i="2" l="1"/>
  <c r="D12" i="2"/>
  <c r="D15" i="2" s="1"/>
  <c r="F12" i="2" l="1"/>
  <c r="F15" i="2" s="1"/>
  <c r="C16" i="2"/>
  <c r="E12" i="2"/>
  <c r="E15" i="2" s="1"/>
  <c r="F16" i="2" l="1"/>
  <c r="F17" i="2" s="1"/>
  <c r="C17" i="2"/>
  <c r="D16" i="2"/>
  <c r="E16" i="2"/>
  <c r="E13" i="17" l="1"/>
  <c r="D13" i="17"/>
  <c r="D17" i="2"/>
  <c r="F13" i="17"/>
  <c r="E17" i="2"/>
  <c r="D15" i="17" l="1"/>
  <c r="D20" i="16"/>
  <c r="D4" i="16" l="1"/>
  <c r="D7" i="16" s="1"/>
  <c r="D22" i="16"/>
  <c r="D23" i="16" s="1"/>
  <c r="E11" i="17"/>
  <c r="E15" i="17" s="1"/>
  <c r="F11" i="17" l="1"/>
  <c r="F15" i="17" s="1"/>
  <c r="E22" i="16"/>
  <c r="D55" i="2"/>
  <c r="E20" i="16"/>
  <c r="E23" i="16" s="1"/>
  <c r="E4" i="16" l="1"/>
  <c r="E7" i="16" s="1"/>
  <c r="D32" i="12"/>
  <c r="D34" i="12" s="1"/>
  <c r="G11" i="17"/>
  <c r="F22" i="16"/>
  <c r="E55" i="2" l="1"/>
  <c r="D10" i="16"/>
  <c r="D12" i="16" s="1"/>
  <c r="D25" i="16" s="1"/>
  <c r="E31" i="12"/>
  <c r="F20" i="16"/>
  <c r="F23" i="16" s="1"/>
  <c r="F4" i="16" l="1"/>
  <c r="F7" i="16" s="1"/>
  <c r="E32" i="12"/>
  <c r="E34" i="12" s="1"/>
  <c r="E10" i="16" l="1"/>
  <c r="E12" i="16" s="1"/>
  <c r="E25" i="16" s="1"/>
  <c r="F31" i="12"/>
  <c r="F55" i="2"/>
  <c r="F32" i="12" l="1"/>
  <c r="F34" i="12" s="1"/>
  <c r="F27" i="12"/>
  <c r="F28" i="12" s="1"/>
  <c r="G31" i="12" l="1"/>
  <c r="F10" i="16"/>
  <c r="F12" i="16" s="1"/>
  <c r="F25" i="16" s="1"/>
  <c r="J33" i="12"/>
  <c r="J17" i="14" s="1"/>
  <c r="G33" i="12"/>
  <c r="G17" i="14" s="1"/>
  <c r="K33" i="12"/>
  <c r="K17" i="14" s="1"/>
  <c r="O33" i="12"/>
  <c r="O17" i="14" s="1"/>
  <c r="H33" i="12"/>
  <c r="H17" i="14" s="1"/>
  <c r="N33" i="12"/>
  <c r="N17" i="14" s="1"/>
  <c r="I33" i="12"/>
  <c r="I17" i="14" s="1"/>
  <c r="P33" i="12"/>
  <c r="P17" i="14" s="1"/>
  <c r="L33" i="12"/>
  <c r="L17" i="14" s="1"/>
  <c r="M33" i="12"/>
  <c r="M17" i="14" s="1"/>
  <c r="M19" i="14" l="1"/>
  <c r="H19" i="14"/>
  <c r="J19" i="14"/>
  <c r="G19" i="14"/>
  <c r="N19" i="14"/>
  <c r="L19" i="14"/>
  <c r="P19" i="14"/>
  <c r="O19" i="14"/>
  <c r="I19" i="14"/>
  <c r="K19" i="14"/>
  <c r="G34" i="12"/>
  <c r="H31" i="12" l="1"/>
  <c r="H34" i="12" s="1"/>
  <c r="G10" i="16"/>
  <c r="H10" i="16" l="1"/>
  <c r="I31" i="12"/>
  <c r="I34" i="12" s="1"/>
  <c r="I10" i="16" l="1"/>
  <c r="J31" i="12"/>
  <c r="J34" i="12" s="1"/>
  <c r="K31" i="12" l="1"/>
  <c r="K34" i="12" s="1"/>
  <c r="J10" i="16"/>
  <c r="L31" i="12" l="1"/>
  <c r="L34" i="12" s="1"/>
  <c r="K10" i="16"/>
  <c r="L10" i="16" l="1"/>
  <c r="M31" i="12"/>
  <c r="M34" i="12" s="1"/>
  <c r="M10" i="16" l="1"/>
  <c r="N31" i="12"/>
  <c r="N34" i="12" s="1"/>
  <c r="O31" i="12" l="1"/>
  <c r="O34" i="12" s="1"/>
  <c r="N10" i="16"/>
  <c r="P31" i="12" l="1"/>
  <c r="P34" i="12" s="1"/>
  <c r="P10" i="16" s="1"/>
  <c r="O10" i="16"/>
  <c r="G24" i="14"/>
  <c r="G26" i="14" s="1"/>
  <c r="H24" i="14"/>
  <c r="H26" i="14" s="1"/>
  <c r="I24" i="14"/>
  <c r="J24" i="14"/>
  <c r="J26" i="14" s="1"/>
  <c r="K24" i="14"/>
  <c r="K26" i="14" s="1"/>
  <c r="L24" i="14"/>
  <c r="L26" i="14" s="1"/>
  <c r="M24" i="14"/>
  <c r="N24" i="14"/>
  <c r="N26" i="14" s="1"/>
  <c r="O24" i="14"/>
  <c r="O26" i="14" s="1"/>
  <c r="P24" i="14"/>
  <c r="P26" i="14" s="1"/>
  <c r="I26" i="14"/>
  <c r="M26" i="14"/>
  <c r="J27" i="14"/>
  <c r="N27" i="14"/>
  <c r="N12" i="17" l="1"/>
  <c r="L27" i="14"/>
  <c r="O27" i="14"/>
  <c r="G27" i="14"/>
  <c r="J12" i="17"/>
  <c r="P27" i="14"/>
  <c r="H27" i="14"/>
  <c r="K27" i="14"/>
  <c r="M27" i="14"/>
  <c r="I27" i="14"/>
  <c r="K12" i="17" l="1"/>
  <c r="P12" i="17"/>
  <c r="G12" i="17"/>
  <c r="L12" i="17"/>
  <c r="I12" i="17"/>
  <c r="M12" i="17"/>
  <c r="H12" i="17"/>
  <c r="O12" i="17"/>
  <c r="G16" i="16" l="1"/>
  <c r="H16" i="16" l="1"/>
  <c r="I16" i="16"/>
  <c r="J16" i="16"/>
  <c r="K16" i="16"/>
  <c r="L16" i="16"/>
  <c r="M16" i="16"/>
  <c r="N16" i="16"/>
  <c r="O16" i="16"/>
  <c r="P16" i="16"/>
  <c r="G20" i="16"/>
  <c r="H20" i="16"/>
  <c r="I20" i="16"/>
  <c r="J20" i="16"/>
  <c r="K20" i="16"/>
  <c r="L20" i="16"/>
  <c r="M20" i="16"/>
  <c r="N20" i="16"/>
  <c r="O20" i="16"/>
  <c r="P20" i="16"/>
  <c r="G15" i="17"/>
  <c r="H11" i="17" s="1"/>
  <c r="H15" i="17" s="1"/>
  <c r="G22" i="16" l="1"/>
  <c r="G23" i="16" s="1"/>
  <c r="H22" i="16"/>
  <c r="H23" i="16" s="1"/>
  <c r="I11" i="17"/>
  <c r="I15" i="17" s="1"/>
  <c r="G4" i="16"/>
  <c r="G7" i="16" s="1"/>
  <c r="G12" i="16" s="1"/>
  <c r="G25" i="16" s="1"/>
  <c r="I22" i="16" l="1"/>
  <c r="I23" i="16" s="1"/>
  <c r="J11" i="17"/>
  <c r="J15" i="17" s="1"/>
  <c r="H4" i="16"/>
  <c r="H7" i="16" s="1"/>
  <c r="H12" i="16" s="1"/>
  <c r="H25" i="16" s="1"/>
  <c r="I4" i="16" l="1"/>
  <c r="I7" i="16" s="1"/>
  <c r="I12" i="16" s="1"/>
  <c r="I25" i="16" s="1"/>
  <c r="K11" i="17"/>
  <c r="K15" i="17" s="1"/>
  <c r="J22" i="16"/>
  <c r="J23" i="16" s="1"/>
  <c r="L11" i="17" l="1"/>
  <c r="L15" i="17" s="1"/>
  <c r="K22" i="16"/>
  <c r="K23" i="16" s="1"/>
  <c r="J4" i="16"/>
  <c r="J7" i="16" s="1"/>
  <c r="J12" i="16" s="1"/>
  <c r="J25" i="16" s="1"/>
  <c r="L22" i="16" l="1"/>
  <c r="L23" i="16" s="1"/>
  <c r="M11" i="17"/>
  <c r="M15" i="17" s="1"/>
  <c r="K4" i="16"/>
  <c r="K7" i="16" s="1"/>
  <c r="K12" i="16" s="1"/>
  <c r="K25" i="16" s="1"/>
  <c r="L4" i="16" l="1"/>
  <c r="L7" i="16" s="1"/>
  <c r="L12" i="16" s="1"/>
  <c r="L25" i="16" s="1"/>
  <c r="M22" i="16"/>
  <c r="M23" i="16" s="1"/>
  <c r="N11" i="17"/>
  <c r="N15" i="17" s="1"/>
  <c r="O11" i="17" l="1"/>
  <c r="O15" i="17" s="1"/>
  <c r="N22" i="16"/>
  <c r="N23" i="16" s="1"/>
  <c r="M4" i="16"/>
  <c r="M7" i="16" s="1"/>
  <c r="M12" i="16" s="1"/>
  <c r="M25" i="16" s="1"/>
  <c r="N4" i="16" l="1"/>
  <c r="N7" i="16" s="1"/>
  <c r="N12" i="16" s="1"/>
  <c r="N25" i="16" s="1"/>
  <c r="P11" i="17"/>
  <c r="P15" i="17" s="1"/>
  <c r="P22" i="16" s="1"/>
  <c r="P23" i="16" s="1"/>
  <c r="O22" i="16"/>
  <c r="O23" i="16" s="1"/>
  <c r="O4" i="16" l="1"/>
  <c r="O7" i="16" s="1"/>
  <c r="O12" i="16" s="1"/>
  <c r="O25" i="16" s="1"/>
  <c r="P4" i="16"/>
  <c r="P7" i="16" s="1"/>
  <c r="P12" i="16" s="1"/>
  <c r="P25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<sst xmlns="http://schemas.openxmlformats.org/spreadsheetml/2006/main" count="355" uniqueCount="201">
  <si>
    <t>Project Finance Modeling - Oil and Gas Project</t>
  </si>
  <si>
    <t>This document is for training purposes only. Financial Edge accepts no responsibility or liability for any other purpose or usage.</t>
  </si>
  <si>
    <t>Workout Information</t>
  </si>
  <si>
    <t>Features</t>
  </si>
  <si>
    <t>Model Details</t>
  </si>
  <si>
    <t>◦</t>
  </si>
  <si>
    <t>Modeling an income statement</t>
  </si>
  <si>
    <t>Company name</t>
  </si>
  <si>
    <t>Oil and gas project</t>
  </si>
  <si>
    <t>Modeling a balance sheet</t>
  </si>
  <si>
    <t>Date</t>
  </si>
  <si>
    <t>Modeling a cash flow statement</t>
  </si>
  <si>
    <t>Currency</t>
  </si>
  <si>
    <t>US$</t>
  </si>
  <si>
    <t>Modeling interest</t>
  </si>
  <si>
    <t>Units</t>
  </si>
  <si>
    <t>Millions</t>
  </si>
  <si>
    <t>Dealing with circular references</t>
  </si>
  <si>
    <t>Analyst Name</t>
  </si>
  <si>
    <t>Firstname Lastname</t>
  </si>
  <si>
    <t>Circular Switch</t>
  </si>
  <si>
    <t>Tab Structure</t>
  </si>
  <si>
    <t>Formatting</t>
  </si>
  <si>
    <t>Model 1</t>
  </si>
  <si>
    <t>Assumptions, income statement, balance sheet, cash flow statement</t>
  </si>
  <si>
    <t>Model 2</t>
  </si>
  <si>
    <t>Input</t>
  </si>
  <si>
    <t>Hard coded</t>
  </si>
  <si>
    <t>Formulas</t>
  </si>
  <si>
    <t>Sources and uses of funds</t>
  </si>
  <si>
    <t>Construction</t>
  </si>
  <si>
    <t>Operation</t>
  </si>
  <si>
    <t>Total</t>
  </si>
  <si>
    <t>Uses and sources of funds</t>
  </si>
  <si>
    <t>Non-interest cash soft costs spend</t>
  </si>
  <si>
    <t>Interest during construction</t>
  </si>
  <si>
    <t>Working capital</t>
  </si>
  <si>
    <t>Debt service reserve account initial funding</t>
  </si>
  <si>
    <t>Total uses of funds</t>
  </si>
  <si>
    <t>Percent of spend</t>
  </si>
  <si>
    <t>Spread over</t>
  </si>
  <si>
    <t xml:space="preserve">Commitment </t>
  </si>
  <si>
    <t>Rolled up</t>
  </si>
  <si>
    <t>LIBOR</t>
  </si>
  <si>
    <t>Interest rate</t>
  </si>
  <si>
    <t>fee</t>
  </si>
  <si>
    <t>interest years</t>
  </si>
  <si>
    <t>Average life</t>
  </si>
  <si>
    <t>Revolving credit facility / letter of credit</t>
  </si>
  <si>
    <t>Syndicated loan</t>
  </si>
  <si>
    <t>Equity - sponsor</t>
  </si>
  <si>
    <t>Total sources of funds</t>
  </si>
  <si>
    <t>Equity % capital</t>
  </si>
  <si>
    <t>Equity IRR</t>
  </si>
  <si>
    <t>Debt service coverage ratio</t>
  </si>
  <si>
    <t>LLCR (over project period)</t>
  </si>
  <si>
    <t>Key conversions</t>
  </si>
  <si>
    <t>NGL cubic feet per barrel of oil equivalent</t>
  </si>
  <si>
    <t>Assumptions</t>
  </si>
  <si>
    <t>Crude oil reserves MMBOE</t>
  </si>
  <si>
    <t>% production</t>
  </si>
  <si>
    <t>NGL reserves 1,000 cubic feet</t>
  </si>
  <si>
    <t>Brent oil price forecast</t>
  </si>
  <si>
    <t>Lifting costs per BOE US$</t>
  </si>
  <si>
    <t>Transportation costs per BOE US$</t>
  </si>
  <si>
    <t>Royalties / license costs % of revenue</t>
  </si>
  <si>
    <t>Operational expenditure</t>
  </si>
  <si>
    <t>Tax rate</t>
  </si>
  <si>
    <t xml:space="preserve">Capex </t>
  </si>
  <si>
    <t>Pre-spud</t>
  </si>
  <si>
    <t>Drilling</t>
  </si>
  <si>
    <t>Testing / completion</t>
  </si>
  <si>
    <t>Total development capex</t>
  </si>
  <si>
    <t>Soft costs</t>
  </si>
  <si>
    <t>Legal / accounting</t>
  </si>
  <si>
    <t>Petroleum consultants</t>
  </si>
  <si>
    <t>License purchase</t>
  </si>
  <si>
    <t>Cash capitalized interest</t>
  </si>
  <si>
    <t>Non-cash capitalized interest</t>
  </si>
  <si>
    <t xml:space="preserve"> Total soft costs spend</t>
  </si>
  <si>
    <t xml:space="preserve"> Total cash soft costs spend excluding interest</t>
  </si>
  <si>
    <t>Accounts receivable days (DSO)</t>
  </si>
  <si>
    <t>Inventory build up %</t>
  </si>
  <si>
    <t>Inventory days (DIO)</t>
  </si>
  <si>
    <t>Accounts payable days (DPO)</t>
  </si>
  <si>
    <t>Asset retirement obligation</t>
  </si>
  <si>
    <t>Discount rate</t>
  </si>
  <si>
    <t>Projected termination spend</t>
  </si>
  <si>
    <t>End</t>
  </si>
  <si>
    <t>Finance</t>
  </si>
  <si>
    <t>Year count</t>
  </si>
  <si>
    <t>Cash flow for debt servicing</t>
  </si>
  <si>
    <t>EBITDA</t>
  </si>
  <si>
    <t xml:space="preserve"> Unlevered free cash flow</t>
  </si>
  <si>
    <t xml:space="preserve"> Cash flow available for debt service</t>
  </si>
  <si>
    <t>Interest expense</t>
  </si>
  <si>
    <t xml:space="preserve"> Cash flow available for debt repayment</t>
  </si>
  <si>
    <t>Commitment fee</t>
  </si>
  <si>
    <t>Beginning balance</t>
  </si>
  <si>
    <t>Drawdown (repayment)</t>
  </si>
  <si>
    <t xml:space="preserve"> Ending balance</t>
  </si>
  <si>
    <t>Unused facility</t>
  </si>
  <si>
    <t>Total cash interest expense on revolving credit facility</t>
  </si>
  <si>
    <t>Cash flow to service syndicated loan</t>
  </si>
  <si>
    <t>Rolled up interest years</t>
  </si>
  <si>
    <t>Drawdown</t>
  </si>
  <si>
    <t>Repayment</t>
  </si>
  <si>
    <t>Rolled up interest</t>
  </si>
  <si>
    <t>Total cash interest expense on syndicated loan</t>
  </si>
  <si>
    <t>Next year's interest and debt repayment</t>
  </si>
  <si>
    <t>Beginning debt service reserve account</t>
  </si>
  <si>
    <t>Cash after debt servicing</t>
  </si>
  <si>
    <t>Dividends to equity holders</t>
  </si>
  <si>
    <t>Ending debt service reserve account</t>
  </si>
  <si>
    <t>Returns to equity holders</t>
  </si>
  <si>
    <t>Dividends</t>
  </si>
  <si>
    <t>Ending cash</t>
  </si>
  <si>
    <t>Free cash flows to equity holders</t>
  </si>
  <si>
    <t>Internal rate of return</t>
  </si>
  <si>
    <t>Revenues</t>
  </si>
  <si>
    <t>Revenues and variable costs</t>
  </si>
  <si>
    <t>Crude oil production MMBOE</t>
  </si>
  <si>
    <t>NGL production 1,000 cubic feet</t>
  </si>
  <si>
    <t>NGL production MMBOE</t>
  </si>
  <si>
    <t xml:space="preserve"> Total production MMBOE</t>
  </si>
  <si>
    <t>Crude oil revenues</t>
  </si>
  <si>
    <t>NGL revenues</t>
  </si>
  <si>
    <t>Total BOE revenues</t>
  </si>
  <si>
    <t xml:space="preserve"> Total variable costs per BOE US$</t>
  </si>
  <si>
    <t>Lifting costs</t>
  </si>
  <si>
    <t>Transportation costs</t>
  </si>
  <si>
    <t>Total variable costs US$MM</t>
  </si>
  <si>
    <t>Calculations</t>
  </si>
  <si>
    <t>Operating working capital</t>
  </si>
  <si>
    <t xml:space="preserve"> Operating working capital</t>
  </si>
  <si>
    <t>Shareholders' equity</t>
  </si>
  <si>
    <t>Net income</t>
  </si>
  <si>
    <t>Issuance</t>
  </si>
  <si>
    <t xml:space="preserve"> Ending</t>
  </si>
  <si>
    <t>Depletion and amortization</t>
  </si>
  <si>
    <t>Reserve assumptions</t>
  </si>
  <si>
    <t>Reserves</t>
  </si>
  <si>
    <t>Total oil reserves MMBOE</t>
  </si>
  <si>
    <t>NGL reserves MMBOE</t>
  </si>
  <si>
    <t>Total reserves MMBOE</t>
  </si>
  <si>
    <t>Total production MMBOE</t>
  </si>
  <si>
    <t>Total development costs</t>
  </si>
  <si>
    <t>Depletion per BOE</t>
  </si>
  <si>
    <t>Property, plant and equipment</t>
  </si>
  <si>
    <t>Capex</t>
  </si>
  <si>
    <t>Depletion</t>
  </si>
  <si>
    <t>Total soft costs</t>
  </si>
  <si>
    <t>Amortization per BOE</t>
  </si>
  <si>
    <t>Soft costs spend</t>
  </si>
  <si>
    <t>Amortization</t>
  </si>
  <si>
    <t>Net present value</t>
  </si>
  <si>
    <t>Asset retirement obligation asset</t>
  </si>
  <si>
    <t>Asset retirement obligation liability</t>
  </si>
  <si>
    <t>Accrued interest</t>
  </si>
  <si>
    <t>Asset retirement spend</t>
  </si>
  <si>
    <t>Income statement</t>
  </si>
  <si>
    <t xml:space="preserve"> Total cost of goods sold</t>
  </si>
  <si>
    <t xml:space="preserve"> Gross profit</t>
  </si>
  <si>
    <t>Royalties</t>
  </si>
  <si>
    <t>SG&amp;A Opex</t>
  </si>
  <si>
    <t xml:space="preserve"> Operating profit</t>
  </si>
  <si>
    <t>Interest on revolving credit facility</t>
  </si>
  <si>
    <t>Interest expense syndicated loan</t>
  </si>
  <si>
    <t>Interest on asset retirement obligation</t>
  </si>
  <si>
    <t xml:space="preserve"> Profit before tax</t>
  </si>
  <si>
    <t>Tax expense</t>
  </si>
  <si>
    <t xml:space="preserve"> Net income</t>
  </si>
  <si>
    <t>Balance sheet</t>
  </si>
  <si>
    <t>Cash</t>
  </si>
  <si>
    <t>Accounts receivable</t>
  </si>
  <si>
    <t>Inventory</t>
  </si>
  <si>
    <t xml:space="preserve"> Total current assets</t>
  </si>
  <si>
    <t>Net PP&amp;E</t>
  </si>
  <si>
    <t>Asset retirement asset</t>
  </si>
  <si>
    <t xml:space="preserve"> Total assets</t>
  </si>
  <si>
    <t>Accounts payable</t>
  </si>
  <si>
    <t xml:space="preserve"> Total current liabilities</t>
  </si>
  <si>
    <t xml:space="preserve"> Total liabilities</t>
  </si>
  <si>
    <t xml:space="preserve"> Total liabilities and equity</t>
  </si>
  <si>
    <t>Check</t>
  </si>
  <si>
    <t>Cash flow statement</t>
  </si>
  <si>
    <t>(Asset retirement payments)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</si>
  <si>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</si>
  <si>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</si>
  <si>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</si>
  <si>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</si>
  <si>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>(Cash soft asset expenditure)</t>
  </si>
  <si>
    <t xml:space="preserve"> Cash flow from investing activities</t>
  </si>
  <si>
    <t>Inc (dec) in revolving credit facility</t>
  </si>
  <si>
    <t>Inc (dec) in syndicated loan</t>
  </si>
  <si>
    <t>Issuance of equity</t>
  </si>
  <si>
    <t>(Dividends)</t>
  </si>
  <si>
    <t xml:space="preserve"> Cash flow from financing</t>
  </si>
  <si>
    <t>Beginning cash</t>
  </si>
  <si>
    <t>Net cash flow</t>
  </si>
  <si>
    <t xml:space="preserve"> Ending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</si>
</sst>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(* #,##0_);_(* \(#,##0\);_(* &quot;-&quot;_);_(@_)"/>
    <numFmt numFmtId="43" formatCode="_(* #,##0.00_);_(* \(#,##0.00\);_(* &quot;-&quot;??_);_(@_)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[$-409]d\-mmm\-yy;@"/>
    <numFmt numFmtId="167" formatCode="0.0"/>
    <numFmt numFmtId="168" formatCode="#,##0.0_);\(#,##0.0\)\,0.0_);@_)"/>
    <numFmt numFmtId="169" formatCode="#,##0.0\ \x_);\(#,##0.0\ \x\);"/>
    <numFmt numFmtId="170" formatCode="0.0%_);\(0.0%\)"/>
    <numFmt numFmtId="171" formatCode=";;;"/>
    <numFmt numFmtId="172" formatCode="#,##0.0_);\(#,##0.0\);0.0_);@_)"/>
    <numFmt numFmtId="173" formatCode="#,##0_);\(#,##0\);0_);@_)"/>
    <numFmt numFmtId="174" formatCode="#,##0.0\ \x_);\(#,##0.0\ \x\)"/>
  </numFmts>
  <fonts count="38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2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6" fontId="28" fillId="3" borderId="0">
      <alignment horizontal="center"/>
    </xf>
    <xf numFmtId="168" fontId="27" fillId="2" borderId="0">
      <alignment horizontal="center"/>
    </xf>
    <xf numFmtId="168" fontId="3" fillId="0" borderId="0">
      <alignment vertical="top"/>
    </xf>
    <xf numFmtId="166" fontId="29" fillId="0" borderId="0" applyFont="0" applyFill="0" applyBorder="0" applyAlignment="0" applyProtection="0"/>
    <xf numFmtId="174" fontId="9" fillId="0" borderId="0" applyFont="0" applyFill="0" applyBorder="0" applyAlignment="0" applyProtection="0"/>
    <xf numFmtId="170" fontId="29" fillId="2" borderId="0" applyFont="0" applyFill="0" applyBorder="0" applyAlignment="0" applyProtection="0"/>
    <xf numFmtId="168" fontId="30" fillId="2" borderId="0" applyNumberFormat="0" applyFill="0" applyBorder="0" applyAlignment="0" applyProtection="0"/>
    <xf numFmtId="168" fontId="31" fillId="0" borderId="0" applyNumberFormat="0" applyFill="0" applyBorder="0" applyAlignment="0">
      <alignment vertical="top"/>
    </xf>
    <xf numFmtId="171" fontId="29" fillId="2" borderId="0" applyFont="0" applyFill="0" applyBorder="0" applyAlignment="0" applyProtection="0"/>
    <xf numFmtId="169" fontId="30" fillId="37" borderId="11" applyNumberFormat="0">
      <protection locked="0"/>
    </xf>
    <xf numFmtId="0" fontId="2" fillId="5" borderId="12" applyFont="0" applyAlignment="0" applyProtection="0">
      <alignment vertical="top"/>
    </xf>
    <xf numFmtId="168" fontId="32" fillId="3" borderId="0" applyNumberFormat="0" applyBorder="0">
      <alignment horizontal="center" vertical="top"/>
    </xf>
    <xf numFmtId="168" fontId="3" fillId="38" borderId="0" applyNumberFormat="0" applyFont="0" applyBorder="0" applyAlignment="0" applyProtection="0">
      <alignment vertical="top"/>
    </xf>
  </cellStyleXfs>
  <cellXfs count="88">
    <xf numFmtId="172" fontId="0" fillId="0" borderId="0" xfId="0"/>
    <xf numFmtId="172" fontId="2" fillId="5" borderId="0" xfId="0" applyFont="1" applyFill="1"/>
    <xf numFmtId="172" fontId="2" fillId="4" borderId="0" xfId="0" applyFont="1" applyFill="1"/>
    <xf numFmtId="172" fontId="2" fillId="5" borderId="0" xfId="0" applyFont="1" applyFill="1" applyAlignment="1">
      <alignment vertical="top" wrapText="1"/>
    </xf>
    <xf numFmtId="172" fontId="2" fillId="5" borderId="1" xfId="0" applyFont="1" applyFill="1" applyBorder="1" applyAlignment="1">
      <alignment vertical="top"/>
    </xf>
    <xf numFmtId="168" fontId="32" fillId="2" borderId="0" xfId="48" applyNumberFormat="1">
      <alignment horizontal="left"/>
    </xf>
    <xf numFmtId="172" fontId="25" fillId="2" borderId="0" xfId="0" applyFont="1" applyFill="1"/>
    <xf numFmtId="172" fontId="26" fillId="3" borderId="0" xfId="0" applyFont="1" applyFill="1"/>
    <xf numFmtId="172" fontId="3" fillId="5" borderId="0" xfId="0" applyFont="1" applyFill="1" applyAlignment="1">
      <alignment horizontal="center" vertical="top"/>
    </xf>
    <xf numFmtId="172" fontId="3" fillId="5" borderId="0" xfId="0" applyFont="1" applyFill="1" applyAlignment="1">
      <alignment vertical="top"/>
    </xf>
    <xf numFmtId="172" fontId="25" fillId="2" borderId="0" xfId="0" applyFont="1" applyFill="1" applyAlignment="1">
      <alignment vertical="center"/>
    </xf>
    <xf numFmtId="166" fontId="28" fillId="3" borderId="0" xfId="52">
      <alignment horizontal="center"/>
    </xf>
    <xf numFmtId="168" fontId="27" fillId="2" borderId="0" xfId="53">
      <alignment horizontal="center"/>
    </xf>
    <xf numFmtId="168" fontId="32" fillId="2" borderId="0" xfId="48" applyNumberFormat="1" applyAlignment="1"/>
    <xf numFmtId="168" fontId="8" fillId="3" borderId="0" xfId="49" applyNumberFormat="1" applyAlignment="1"/>
    <xf numFmtId="168" fontId="4" fillId="0" borderId="0" xfId="50" applyNumberFormat="1">
      <alignment horizontal="left" vertical="center"/>
    </xf>
    <xf numFmtId="168" fontId="3" fillId="0" borderId="0" xfId="54">
      <alignment vertical="top"/>
    </xf>
    <xf numFmtId="172" fontId="2" fillId="5" borderId="0" xfId="0" applyFont="1" applyFill="1" applyAlignment="1">
      <alignment horizontal="left" vertical="top"/>
    </xf>
    <xf numFmtId="172" fontId="2" fillId="5" borderId="0" xfId="0" applyFont="1" applyFill="1" applyAlignment="1">
      <alignment vertical="top"/>
    </xf>
    <xf numFmtId="172" fontId="2" fillId="0" borderId="0" xfId="0" applyFont="1" applyAlignment="1">
      <alignment vertical="top" wrapText="1"/>
    </xf>
    <xf numFmtId="172" fontId="3" fillId="0" borderId="0" xfId="0" applyFont="1" applyAlignment="1">
      <alignment vertical="top"/>
    </xf>
    <xf numFmtId="172" fontId="2" fillId="0" borderId="0" xfId="0" applyFont="1" applyAlignment="1">
      <alignment horizontal="left" wrapText="1"/>
    </xf>
    <xf numFmtId="172" fontId="2" fillId="0" borderId="0" xfId="0" applyFont="1" applyAlignment="1">
      <alignment vertical="top"/>
    </xf>
    <xf numFmtId="172" fontId="2" fillId="0" borderId="0" xfId="0" applyFont="1"/>
    <xf numFmtId="172" fontId="4" fillId="0" borderId="0" xfId="0" applyFont="1" applyAlignment="1">
      <alignment vertical="center"/>
    </xf>
    <xf numFmtId="172" fontId="5" fillId="0" borderId="0" xfId="0" applyFont="1" applyAlignment="1">
      <alignment vertical="center" wrapText="1"/>
    </xf>
    <xf numFmtId="172" fontId="2" fillId="0" borderId="0" xfId="0" applyFont="1" applyAlignment="1">
      <alignment horizontal="left" vertical="top"/>
    </xf>
    <xf numFmtId="172" fontId="3" fillId="0" borderId="0" xfId="0" applyFont="1" applyAlignment="1">
      <alignment horizontal="center" vertical="top"/>
    </xf>
    <xf numFmtId="172" fontId="7" fillId="0" borderId="0" xfId="0" applyFont="1" applyAlignment="1">
      <alignment vertical="center" wrapText="1"/>
    </xf>
    <xf numFmtId="166" fontId="2" fillId="0" borderId="0" xfId="0" applyNumberFormat="1" applyFont="1" applyAlignment="1">
      <alignment horizontal="left"/>
    </xf>
    <xf numFmtId="172" fontId="2" fillId="0" borderId="0" xfId="0" applyFont="1" applyAlignment="1">
      <alignment horizontal="left"/>
    </xf>
    <xf numFmtId="167" fontId="2" fillId="0" borderId="0" xfId="0" applyNumberFormat="1" applyFont="1" applyAlignment="1">
      <alignment horizontal="left"/>
    </xf>
    <xf numFmtId="172" fontId="3" fillId="0" borderId="0" xfId="0" applyFont="1" applyAlignment="1">
      <alignment horizontal="left" vertical="top"/>
    </xf>
    <xf numFmtId="172" fontId="3" fillId="0" borderId="0" xfId="0" applyFont="1"/>
    <xf numFmtId="172" fontId="25" fillId="0" borderId="0" xfId="0" applyFont="1"/>
    <xf numFmtId="172" fontId="26" fillId="0" borderId="0" xfId="0" applyFont="1"/>
    <xf numFmtId="168" fontId="30" fillId="0" borderId="0" xfId="58" applyFill="1" applyAlignment="1">
      <alignment vertical="top"/>
    </xf>
    <xf numFmtId="168" fontId="2" fillId="5" borderId="0" xfId="51" applyNumberFormat="1" applyAlignment="1">
      <alignment horizontal="left" vertical="top"/>
    </xf>
    <xf numFmtId="168" fontId="3" fillId="5" borderId="0" xfId="51" applyNumberFormat="1" applyFont="1" applyAlignment="1">
      <alignment horizontal="center" vertical="top"/>
    </xf>
    <xf numFmtId="168" fontId="2" fillId="5" borderId="0" xfId="51" applyNumberFormat="1" applyAlignment="1"/>
    <xf numFmtId="168" fontId="5" fillId="5" borderId="0" xfId="51" applyNumberFormat="1" applyFont="1" applyAlignment="1">
      <alignment vertical="center" wrapText="1"/>
    </xf>
    <xf numFmtId="168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2" fontId="25" fillId="0" borderId="0" xfId="0" applyFont="1" applyAlignment="1">
      <alignment vertical="center"/>
    </xf>
    <xf numFmtId="168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68" fontId="30" fillId="37" borderId="11" xfId="61" applyNumberFormat="1">
      <protection locked="0"/>
    </xf>
    <xf numFmtId="168" fontId="2" fillId="0" borderId="0" xfId="51" applyNumberFormat="1" applyFill="1" applyAlignment="1"/>
    <xf numFmtId="0" fontId="2" fillId="0" borderId="0" xfId="62" applyFill="1" applyBorder="1" applyAlignment="1"/>
    <xf numFmtId="172" fontId="0" fillId="5" borderId="0" xfId="51" applyNumberFormat="1" applyFont="1" applyAlignment="1"/>
    <xf numFmtId="172" fontId="2" fillId="5" borderId="0" xfId="51" applyNumberFormat="1">
      <alignment vertical="top"/>
    </xf>
    <xf numFmtId="0" fontId="0" fillId="5" borderId="12" xfId="62" applyFont="1" applyAlignment="1"/>
    <xf numFmtId="172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2" fontId="4" fillId="0" borderId="0" xfId="50" applyNumberFormat="1">
      <alignment horizontal="left" vertical="center"/>
    </xf>
    <xf numFmtId="170" fontId="0" fillId="0" borderId="0" xfId="57" applyFont="1" applyFill="1"/>
    <xf numFmtId="170" fontId="30" fillId="37" borderId="11" xfId="57" applyFont="1" applyFill="1" applyBorder="1" applyProtection="1">
      <protection locked="0"/>
    </xf>
    <xf numFmtId="172" fontId="30" fillId="37" borderId="11" xfId="61" applyNumberFormat="1">
      <protection locked="0"/>
    </xf>
    <xf numFmtId="173" fontId="30" fillId="37" borderId="11" xfId="61" applyNumberFormat="1">
      <protection locked="0"/>
    </xf>
    <xf numFmtId="173" fontId="0" fillId="0" borderId="0" xfId="0" applyNumberFormat="1"/>
    <xf numFmtId="172" fontId="0" fillId="0" borderId="0" xfId="0" applyAlignment="1">
      <alignment horizontal="right"/>
    </xf>
    <xf numFmtId="168" fontId="35" fillId="0" borderId="0" xfId="54" applyFont="1">
      <alignment vertical="top"/>
    </xf>
    <xf numFmtId="172" fontId="36" fillId="0" borderId="0" xfId="0" applyFont="1"/>
    <xf numFmtId="0" fontId="37" fillId="0" borderId="0" xfId="0" applyNumberFormat="1" applyFont="1"/>
    <xf numFmtId="9" fontId="0" fillId="0" borderId="0" xfId="0" applyNumberFormat="1"/>
    <xf numFmtId="174" fontId="30" fillId="37" borderId="11" xfId="56" applyFont="1" applyFill="1" applyBorder="1" applyProtection="1">
      <protection locked="0"/>
    </xf>
    <xf numFmtId="174" fontId="0" fillId="0" borderId="0" xfId="56" applyFont="1"/>
    <xf numFmtId="172" fontId="29" fillId="0" borderId="0" xfId="0" applyFont="1"/>
    <xf numFmtId="172" fontId="0" fillId="39" borderId="0" xfId="0" applyFill="1"/>
    <xf numFmtId="172" fontId="0" fillId="0" borderId="0" xfId="0" quotePrefix="1"/>
    <xf numFmtId="168" fontId="32" fillId="2" borderId="0" xfId="48" applyNumberFormat="1" applyAlignment="1">
      <alignment horizontal="center"/>
    </xf>
    <xf numFmtId="172" fontId="5" fillId="0" borderId="0" xfId="0" applyFont="1" applyAlignment="1">
      <alignment horizontal="center" vertical="center" wrapText="1"/>
    </xf>
    <xf numFmtId="168" fontId="2" fillId="5" borderId="0" xfId="51" applyNumberFormat="1" applyAlignment="1">
      <alignment horizontal="left" vertical="top"/>
    </xf>
    <xf numFmtId="168" fontId="32" fillId="3" borderId="0" xfId="49" applyNumberFormat="1" applyFont="1" applyAlignment="1">
      <alignment horizontal="center" vertical="center"/>
    </xf>
    <xf numFmtId="168" fontId="31" fillId="5" borderId="0" xfId="59" applyFill="1" applyAlignment="1">
      <alignment horizontal="center" vertical="center" wrapText="1"/>
    </xf>
    <xf numFmtId="172" fontId="7" fillId="0" borderId="0" xfId="0" applyFont="1" applyAlignment="1">
      <alignment horizontal="center" vertical="center" wrapText="1"/>
    </xf>
    <xf numFmtId="172" fontId="0" fillId="5" borderId="0" xfId="51" applyNumberFormat="1" applyFont="1" applyAlignment="1">
      <alignment horizontal="left"/>
    </xf>
    <xf numFmtId="172" fontId="4" fillId="5" borderId="0" xfId="0" applyFont="1" applyFill="1" applyAlignment="1">
      <alignment horizontal="left" vertical="center"/>
    </xf>
    <xf numFmtId="168" fontId="30" fillId="37" borderId="11" xfId="61" applyNumberFormat="1" applyAlignment="1">
      <protection locked="0"/>
    </xf>
    <xf numFmtId="166" fontId="30" fillId="37" borderId="11" xfId="61" applyNumberFormat="1" applyAlignment="1">
      <protection locked="0"/>
    </xf>
    <xf numFmtId="0" fontId="30" fillId="37" borderId="11" xfId="61" applyNumberFormat="1" applyAlignment="1">
      <protection locked="0"/>
    </xf>
    <xf numFmtId="172" fontId="4" fillId="5" borderId="0" xfId="50" applyNumberFormat="1" applyFill="1" applyAlignment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6" Type="http://schemas.microsoft.com/office/2017/06/relationships/rdRichValue" Target="richData/rdrichvalue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astair%20Matchett\AppData\Roaming\Microsoft\AddIns\FE%20Training%20(1)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all"/>
      <sheetName val="Shortcuts"/>
      <sheetName val="Constants"/>
      <sheetName val="FE Training (1)"/>
    </sheetNames>
    <definedNames>
      <definedName name="FR"/>
    </definedNames>
    <sheetDataSet>
      <sheetData sheetId="0"/>
      <sheetData sheetId="1"/>
      <sheetData sheetId="2"/>
      <sheetData sheetId="3"/>
    </sheetDataSet>
  </externalBook>
</externalLink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9</v>
    <v>3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40625" defaultRowHeight="14.45"/>
  <cols>
    <col min="1" max="1" width="9.85546875" customWidth="1"/>
    <col min="2" max="13" width="9.28515625" customWidth="1"/>
    <col min="14" max="14" width="9.85546875" customWidth="1"/>
    <col min="15" max="26" width="9.140625" customWidth="1"/>
  </cols>
  <sheetData>
    <row r="1" spans="1:14" s="34" customFormat="1" ht="189.75" customHeight="1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>
      <c r="A5" s="80" t="s">
        <v>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>
      <c r="A7" s="80" t="str">
        <f ca="1">"© "&amp;YEAR(TODAY())&amp;" Financial Edge Training "</f>
        <v xml:space="preserve">© 2025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>
      <c r="F9" s="28"/>
      <c r="G9" s="81"/>
      <c r="H9" s="81"/>
      <c r="I9" s="81"/>
      <c r="J9" s="81"/>
      <c r="K9" s="28"/>
    </row>
    <row r="10" spans="1:14" s="23" customFormat="1" ht="15" customHeight="1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tabSelected="1" zoomScaleNormal="100" workbookViewId="0">
      <pane xSplit="2" ySplit="2" topLeftCell="C3" activePane="bottomRight" state="frozen"/>
      <selection pane="bottomRight" activeCell="A3" sqref="A3"/>
      <selection pane="bottomLeft" activeCell="C3" sqref="C3"/>
      <selection pane="topRight" activeCell="C3" sqref="C3"/>
    </sheetView>
  </sheetViews>
  <sheetFormatPr defaultColWidth="9.140625" defaultRowHeight="15" customHeight="1"/>
  <cols>
    <col min="1" max="1" width="1.42578125" style="15" customWidth="1"/>
    <col min="2" max="2" width="20.5703125" style="16" customWidth="1"/>
    <col min="3" max="3" width="11" customWidth="1"/>
    <col min="4" max="16" width="12.7109375" customWidth="1"/>
  </cols>
  <sheetData>
    <row r="1" spans="1:16" s="46" customFormat="1" ht="45" customHeight="1">
      <c r="A1" s="5" t="s">
        <v>185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>
      <c r="A4"/>
      <c r="B4" s="16" t="s">
        <v>136</v>
      </c>
    </row>
    <row r="5" spans="1:16" s="73" customFormat="1" ht="15" customHeight="1">
      <c r="B5" s="16" t="str">
        <f>IS!B11</f>
        <v>Depletion</v>
      </c>
    </row>
    <row r="6" spans="1:16" s="73" customFormat="1" ht="15" customHeight="1">
      <c r="B6" s="16" t="str">
        <f>IS!B17</f>
        <v>Amortization</v>
      </c>
    </row>
    <row r="7" spans="1:16" s="73" customFormat="1" ht="15" customHeight="1">
      <c r="B7" s="16" t="str">
        <f>IS!B23</f>
        <v>Interest on asset retirement obligation</v>
      </c>
    </row>
    <row r="8" spans="1:16" ht="15" customHeight="1">
      <c r="A8"/>
      <c r="B8" s="16" t="s">
        <v>186</v>
      </c>
    </row>
    <row r="9" spans="1:16" ht="15" customHeight="1">
      <c r="A9"/>
      <c r="B9" s="16" t="s">
        <v>187</v>
      </c>
    </row>
    <row r="10" spans="1:16" ht="15" customHeight="1">
      <c r="A10"/>
    </row>
    <row r="11" spans="1:16" ht="15" customHeight="1">
      <c r="A11"/>
      <c r="B11" s="16" t="s">
        <v>188</v>
      </c>
    </row>
    <row r="12" spans="1:16" ht="15" customHeight="1">
      <c r="B12" s="16" t="s">
        <v>189</v>
      </c>
    </row>
    <row r="13" spans="1:16" ht="15" customHeight="1">
      <c r="A13"/>
    </row>
    <row r="14" spans="1:16" ht="15" customHeight="1">
      <c r="A14"/>
      <c r="B14" s="16" t="s">
        <v>190</v>
      </c>
    </row>
    <row r="15" spans="1:16" ht="15" customHeight="1">
      <c r="A15"/>
      <c r="B15" s="16" t="s">
        <v>191</v>
      </c>
    </row>
    <row r="16" spans="1:16" ht="15" customHeight="1">
      <c r="A16"/>
      <c r="B16" s="16" t="s">
        <v>192</v>
      </c>
    </row>
    <row r="17" spans="1:15" ht="15" customHeight="1">
      <c r="A17"/>
    </row>
    <row r="18" spans="1:15" ht="15" customHeight="1">
      <c r="A18"/>
      <c r="B18" s="16" t="s">
        <v>193</v>
      </c>
    </row>
    <row r="19" spans="1:15" ht="15" customHeight="1">
      <c r="A19"/>
      <c r="B19" s="16" t="s">
        <v>194</v>
      </c>
    </row>
    <row r="20" spans="1:15" ht="15" customHeight="1">
      <c r="A20"/>
      <c r="B20" s="16" t="s">
        <v>195</v>
      </c>
    </row>
    <row r="21" spans="1:15" ht="15" customHeight="1">
      <c r="A21"/>
      <c r="B21" s="16" t="s">
        <v>196</v>
      </c>
    </row>
    <row r="22" spans="1:15" ht="15" customHeight="1">
      <c r="B22" s="16" t="s">
        <v>197</v>
      </c>
    </row>
    <row r="23" spans="1:15" ht="15" customHeight="1">
      <c r="A23"/>
    </row>
    <row r="24" spans="1:15" ht="15" customHeight="1">
      <c r="A24"/>
      <c r="B24" s="16" t="s">
        <v>198</v>
      </c>
    </row>
    <row r="25" spans="1:15" ht="15" customHeight="1">
      <c r="A25"/>
      <c r="B25" s="16" t="s">
        <v>199</v>
      </c>
    </row>
    <row r="26" spans="1:15" ht="15" customHeight="1">
      <c r="A26"/>
      <c r="B26" s="16" t="s">
        <v>200</v>
      </c>
      <c r="C26" s="63">
        <v>0</v>
      </c>
    </row>
    <row r="27" spans="1:15" ht="15" customHeight="1">
      <c r="A27"/>
    </row>
    <row r="28" spans="1:15" ht="15" customHeight="1">
      <c r="B28"/>
    </row>
    <row r="29" spans="1:15" ht="15" customHeight="1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5" ht="15" customHeight="1">
      <c r="A30"/>
    </row>
    <row r="31" spans="1:15" ht="15" customHeight="1">
      <c r="A31"/>
    </row>
    <row r="32" spans="1:15" ht="15" customHeight="1">
      <c r="A32"/>
    </row>
    <row r="33" spans="1:1" ht="15" customHeight="1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40625" defaultRowHeight="14.45"/>
  <cols>
    <col min="1" max="1" width="1.42578125" customWidth="1"/>
    <col min="2" max="2" width="2.85546875" customWidth="1"/>
    <col min="3" max="3" width="13.28515625" customWidth="1"/>
    <col min="4" max="4" width="2.85546875" customWidth="1"/>
    <col min="5" max="7" width="1.42578125" customWidth="1"/>
    <col min="8" max="8" width="2.85546875" customWidth="1"/>
    <col min="9" max="9" width="42.7109375" customWidth="1"/>
    <col min="10" max="11" width="1.42578125" customWidth="1"/>
    <col min="12" max="12" width="15.5703125" bestFit="1" customWidth="1"/>
    <col min="13" max="14" width="1.42578125" customWidth="1"/>
    <col min="15" max="15" width="2.85546875" customWidth="1"/>
    <col min="16" max="16" width="32.5703125" customWidth="1"/>
    <col min="17" max="17" width="2.85546875" customWidth="1"/>
    <col min="18" max="18" width="1.42578125" customWidth="1"/>
    <col min="23" max="23" width="17.7109375" bestFit="1" customWidth="1"/>
  </cols>
  <sheetData>
    <row r="1" spans="1:18" s="34" customFormat="1" ht="45" customHeight="1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>
      <c r="A2" s="14" t="s">
        <v>2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/>
    <row r="4" spans="1:18" s="2" customFormat="1" ht="22.5" customHeight="1">
      <c r="A4" s="1"/>
      <c r="B4" s="83" t="s">
        <v>3</v>
      </c>
      <c r="C4" s="83"/>
      <c r="D4" s="83"/>
      <c r="E4" s="83"/>
      <c r="F4" s="83"/>
      <c r="G4" s="83"/>
      <c r="H4" s="83"/>
      <c r="I4" s="83"/>
      <c r="K4" s="1"/>
      <c r="L4" s="83" t="s">
        <v>4</v>
      </c>
      <c r="M4" s="83"/>
      <c r="N4" s="83"/>
      <c r="O4" s="83"/>
      <c r="P4" s="83"/>
      <c r="Q4" s="40"/>
      <c r="R4" s="40"/>
    </row>
    <row r="5" spans="1:18" s="2" customFormat="1" ht="15" customHeight="1">
      <c r="A5" s="17"/>
      <c r="B5" s="8" t="s">
        <v>5</v>
      </c>
      <c r="C5" s="55" t="s">
        <v>6</v>
      </c>
      <c r="D5" s="18"/>
      <c r="E5" s="18"/>
      <c r="F5" s="18"/>
      <c r="G5" s="18"/>
      <c r="H5" s="18"/>
      <c r="I5" s="18"/>
      <c r="K5" s="1"/>
      <c r="L5" s="9" t="s">
        <v>7</v>
      </c>
      <c r="M5" s="9"/>
      <c r="N5" s="84" t="s">
        <v>8</v>
      </c>
      <c r="O5" s="84"/>
      <c r="P5" s="84"/>
      <c r="Q5" s="84"/>
      <c r="R5" s="40"/>
    </row>
    <row r="6" spans="1:18" s="2" customFormat="1" ht="15" customHeight="1">
      <c r="A6" s="3"/>
      <c r="B6" s="8" t="s">
        <v>5</v>
      </c>
      <c r="C6" s="18" t="s">
        <v>9</v>
      </c>
      <c r="D6" s="18"/>
      <c r="E6" s="18"/>
      <c r="F6" s="18"/>
      <c r="G6" s="18"/>
      <c r="H6" s="18"/>
      <c r="I6" s="18"/>
      <c r="K6" s="17"/>
      <c r="L6" s="9" t="s">
        <v>10</v>
      </c>
      <c r="M6" s="9"/>
      <c r="N6" s="85">
        <v>44196</v>
      </c>
      <c r="O6" s="85"/>
      <c r="P6" s="85"/>
      <c r="Q6" s="85"/>
      <c r="R6" s="40"/>
    </row>
    <row r="7" spans="1:18" s="2" customFormat="1" ht="15" customHeight="1">
      <c r="A7" s="18"/>
      <c r="B7" s="8" t="s">
        <v>5</v>
      </c>
      <c r="C7" s="18" t="s">
        <v>11</v>
      </c>
      <c r="D7" s="18"/>
      <c r="E7" s="18"/>
      <c r="F7" s="18"/>
      <c r="G7" s="18"/>
      <c r="H7" s="18"/>
      <c r="I7" s="18"/>
      <c r="K7" s="3"/>
      <c r="L7" s="9" t="s">
        <v>12</v>
      </c>
      <c r="M7" s="9"/>
      <c r="N7" s="84" t="s">
        <v>13</v>
      </c>
      <c r="O7" s="84"/>
      <c r="P7" s="84"/>
      <c r="Q7" s="84"/>
      <c r="R7" s="40"/>
    </row>
    <row r="8" spans="1:18" s="2" customFormat="1" ht="15" customHeight="1">
      <c r="A8" s="18"/>
      <c r="B8" s="8" t="s">
        <v>5</v>
      </c>
      <c r="C8" s="18" t="s">
        <v>14</v>
      </c>
      <c r="D8" s="18"/>
      <c r="E8" s="18"/>
      <c r="F8" s="18"/>
      <c r="G8" s="18"/>
      <c r="H8" s="18"/>
      <c r="I8" s="18"/>
      <c r="K8" s="18"/>
      <c r="L8" s="9" t="s">
        <v>15</v>
      </c>
      <c r="M8" s="9"/>
      <c r="N8" s="84" t="s">
        <v>16</v>
      </c>
      <c r="O8" s="84"/>
      <c r="P8" s="84"/>
      <c r="Q8" s="84"/>
      <c r="R8" s="40"/>
    </row>
    <row r="9" spans="1:18" s="2" customFormat="1" ht="15" customHeight="1">
      <c r="A9" s="41"/>
      <c r="B9" s="8" t="s">
        <v>5</v>
      </c>
      <c r="C9" s="18" t="s">
        <v>17</v>
      </c>
      <c r="D9" s="41"/>
      <c r="E9" s="41"/>
      <c r="F9" s="41"/>
      <c r="G9" s="41"/>
      <c r="H9" s="41"/>
      <c r="I9" s="41"/>
      <c r="K9" s="18"/>
      <c r="L9" s="9" t="s">
        <v>18</v>
      </c>
      <c r="M9" s="9"/>
      <c r="N9" s="84" t="s">
        <v>19</v>
      </c>
      <c r="O9" s="84"/>
      <c r="P9" s="84"/>
      <c r="Q9" s="84"/>
      <c r="R9" s="40"/>
    </row>
    <row r="10" spans="1:18" s="2" customFormat="1" ht="15" customHeight="1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20</v>
      </c>
      <c r="M10" s="9"/>
      <c r="N10" s="86">
        <v>1</v>
      </c>
      <c r="O10" s="86"/>
      <c r="P10" s="86"/>
      <c r="Q10" s="86"/>
      <c r="R10" s="47"/>
    </row>
    <row r="11" spans="1:18" s="2" customFormat="1" ht="15" customHeight="1" thickBot="1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>
      <c r="A13" s="55"/>
      <c r="B13" s="87" t="s">
        <v>21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N13" s="1"/>
      <c r="O13" s="83" t="s">
        <v>22</v>
      </c>
      <c r="P13" s="83"/>
      <c r="Q13" s="83"/>
      <c r="R13" s="58"/>
    </row>
    <row r="14" spans="1:18" s="2" customFormat="1" ht="15" customHeight="1">
      <c r="A14" s="56"/>
      <c r="B14" s="82" t="s">
        <v>23</v>
      </c>
      <c r="C14" s="82"/>
      <c r="D14" s="82" t="s">
        <v>24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2" customFormat="1" ht="15" customHeight="1">
      <c r="A15" s="56"/>
      <c r="B15" s="82" t="s">
        <v>25</v>
      </c>
      <c r="C15" s="82"/>
      <c r="D15" s="82" t="s">
        <v>24</v>
      </c>
      <c r="E15" s="82"/>
      <c r="F15" s="82"/>
      <c r="G15" s="82"/>
      <c r="H15" s="82"/>
      <c r="I15" s="82"/>
      <c r="J15" s="82"/>
      <c r="K15" s="82"/>
      <c r="L15" s="82"/>
      <c r="N15" s="3"/>
      <c r="O15" s="27"/>
      <c r="P15" s="52" t="s">
        <v>26</v>
      </c>
      <c r="Q15" s="22"/>
      <c r="R15" s="56"/>
    </row>
    <row r="16" spans="1:18" s="2" customFormat="1" ht="15" customHeight="1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27</v>
      </c>
      <c r="Q16" s="22"/>
      <c r="R16" s="56"/>
    </row>
    <row r="17" spans="1:18" s="2" customFormat="1" ht="15" customHeight="1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28</v>
      </c>
      <c r="Q17" s="22"/>
      <c r="R17" s="56"/>
    </row>
    <row r="18" spans="1:18" s="2" customFormat="1" ht="15" customHeight="1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5" thickBot="1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>
      <c r="Q20" s="54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5" activePane="bottomRight" state="frozen"/>
      <selection pane="bottomRight" activeCell="D8" sqref="D8"/>
      <selection pane="bottomLeft" activeCell="N10" sqref="N10:Q10"/>
      <selection pane="topRight" activeCell="N10" sqref="N10:Q10"/>
    </sheetView>
  </sheetViews>
  <sheetFormatPr defaultColWidth="9.140625" defaultRowHeight="15" customHeight="1"/>
  <cols>
    <col min="1" max="1" width="1.42578125" style="15" customWidth="1"/>
    <col min="2" max="2" width="41.7109375" style="16" customWidth="1"/>
    <col min="3" max="16" width="12.7109375" customWidth="1"/>
  </cols>
  <sheetData>
    <row r="1" spans="1:16" s="46" customFormat="1" ht="45" customHeight="1">
      <c r="A1" s="5" t="s">
        <v>29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>
      <c r="A2" s="14" t="str">
        <f>Info!N5</f>
        <v>Oil and gas project</v>
      </c>
      <c r="B2" s="7"/>
      <c r="C2" s="11" t="s">
        <v>32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>
      <c r="A5" s="15" t="s">
        <v>33</v>
      </c>
    </row>
    <row r="6" spans="1:16" ht="15" customHeight="1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>
      <c r="B7" s="16" t="s">
        <v>34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>
      <c r="B8" s="16" t="s">
        <v>35</v>
      </c>
      <c r="D8" s="74"/>
      <c r="E8" s="74"/>
      <c r="F8" s="74"/>
    </row>
    <row r="9" spans="1:16" ht="15" customHeight="1">
      <c r="B9" s="16" t="s">
        <v>36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>
      <c r="B10" s="16" t="s">
        <v>37</v>
      </c>
      <c r="F10" s="63">
        <f>C15/7+C15*H15</f>
        <v>338.28571428571428</v>
      </c>
    </row>
    <row r="11" spans="1:16" ht="15" customHeight="1">
      <c r="B11" s="67" t="s">
        <v>38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>
      <c r="A12" s="60"/>
      <c r="B12" s="16" t="s">
        <v>39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40</v>
      </c>
      <c r="H12" s="66"/>
      <c r="I12" s="66" t="s">
        <v>41</v>
      </c>
      <c r="J12" s="66" t="s">
        <v>42</v>
      </c>
    </row>
    <row r="13" spans="1:16" ht="15" customHeight="1">
      <c r="G13" s="66" t="s">
        <v>43</v>
      </c>
      <c r="H13" s="66" t="s">
        <v>44</v>
      </c>
      <c r="I13" s="66" t="s">
        <v>45</v>
      </c>
      <c r="J13" s="66" t="s">
        <v>46</v>
      </c>
      <c r="K13" s="66" t="s">
        <v>47</v>
      </c>
    </row>
    <row r="14" spans="1:16" ht="15" customHeight="1">
      <c r="B14" s="16" t="s">
        <v>48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>
      <c r="B15" s="16" t="s">
        <v>49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>
      <c r="B16" s="16" t="s">
        <v>50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>
      <c r="B17" s="67" t="s">
        <v>51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>
      <c r="A18" s="60"/>
      <c r="C18" s="70"/>
    </row>
    <row r="19" spans="1:17" ht="15" customHeight="1">
      <c r="B19" s="16" t="s">
        <v>52</v>
      </c>
      <c r="C19" s="61"/>
      <c r="D19" s="61"/>
      <c r="E19" s="61"/>
      <c r="F19" s="61"/>
    </row>
    <row r="20" spans="1:17" ht="15" customHeight="1">
      <c r="B20" s="16" t="s">
        <v>53</v>
      </c>
      <c r="C20" s="61"/>
      <c r="D20" s="61"/>
    </row>
    <row r="21" spans="1:17" ht="15" customHeight="1">
      <c r="B21" s="16" t="s">
        <v>43</v>
      </c>
      <c r="D21" s="62">
        <v>0.02</v>
      </c>
    </row>
    <row r="22" spans="1:17" ht="15" customHeight="1">
      <c r="B22" s="16" t="s">
        <v>54</v>
      </c>
      <c r="D22" s="71">
        <v>1.3</v>
      </c>
    </row>
    <row r="23" spans="1:17" ht="15" customHeight="1">
      <c r="B23" s="16" t="s">
        <v>55</v>
      </c>
      <c r="D23" s="72"/>
    </row>
    <row r="25" spans="1:17" ht="15" customHeight="1">
      <c r="A25" s="15" t="s">
        <v>56</v>
      </c>
    </row>
    <row r="26" spans="1:17" ht="15" customHeight="1">
      <c r="B26" s="16" t="s">
        <v>57</v>
      </c>
      <c r="E26" s="63">
        <v>5800</v>
      </c>
    </row>
    <row r="28" spans="1:17" ht="15" customHeight="1">
      <c r="A28" s="15" t="s">
        <v>58</v>
      </c>
    </row>
    <row r="29" spans="1:17" ht="15" customHeight="1">
      <c r="B29" s="16" t="s">
        <v>59</v>
      </c>
      <c r="F29" s="63">
        <v>59.6</v>
      </c>
    </row>
    <row r="30" spans="1:17" ht="15" customHeight="1">
      <c r="B30" s="16" t="s">
        <v>60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>
      <c r="A32" s="60"/>
      <c r="B32" s="16" t="s">
        <v>61</v>
      </c>
      <c r="F32" s="63">
        <f>F29*50%*5800/1000</f>
        <v>172.84</v>
      </c>
    </row>
    <row r="33" spans="1:17" ht="15" customHeight="1">
      <c r="B33" s="16" t="s">
        <v>60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>
      <c r="B35" s="16" t="s">
        <v>62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>
      <c r="B36" s="16" t="s">
        <v>63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>
      <c r="B37" s="16" t="s">
        <v>64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>
      <c r="B38" s="16" t="s">
        <v>65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>
      <c r="B40" s="16" t="s">
        <v>66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>
      <c r="B41" s="16" t="s">
        <v>67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>
      <c r="A43" s="15" t="s">
        <v>68</v>
      </c>
      <c r="B43"/>
    </row>
    <row r="44" spans="1:17" ht="15" customHeight="1">
      <c r="A44"/>
      <c r="B44" s="16" t="s">
        <v>69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>
      <c r="A45"/>
      <c r="B45" s="16" t="s">
        <v>70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>
      <c r="A46"/>
      <c r="B46" s="16" t="s">
        <v>71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>
      <c r="A47"/>
      <c r="B47" s="16" t="s">
        <v>72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>
      <c r="A48"/>
      <c r="B48"/>
    </row>
    <row r="49" spans="1:16" ht="15" customHeight="1">
      <c r="A49" s="15" t="s">
        <v>73</v>
      </c>
      <c r="B49"/>
    </row>
    <row r="50" spans="1:16" ht="15" customHeight="1">
      <c r="A50"/>
      <c r="B50" s="16" t="s">
        <v>74</v>
      </c>
      <c r="D50" s="63">
        <v>1</v>
      </c>
      <c r="E50" s="63">
        <v>0.3</v>
      </c>
      <c r="F50" s="63">
        <v>0.2</v>
      </c>
    </row>
    <row r="51" spans="1:16" ht="15" customHeight="1">
      <c r="A51"/>
      <c r="B51" s="16" t="s">
        <v>75</v>
      </c>
      <c r="D51" s="63">
        <v>2</v>
      </c>
      <c r="E51" s="63">
        <v>0.5</v>
      </c>
      <c r="F51" s="63">
        <v>0.5</v>
      </c>
    </row>
    <row r="52" spans="1:16" ht="15" customHeight="1">
      <c r="A52"/>
      <c r="B52" s="16" t="s">
        <v>76</v>
      </c>
      <c r="D52" s="63">
        <v>200</v>
      </c>
      <c r="E52" s="63">
        <v>0</v>
      </c>
      <c r="F52" s="63">
        <v>0</v>
      </c>
    </row>
    <row r="53" spans="1:16" ht="15" customHeight="1">
      <c r="A53"/>
      <c r="B53" s="16" t="s">
        <v>77</v>
      </c>
    </row>
    <row r="54" spans="1:16" ht="15" customHeight="1">
      <c r="A54"/>
      <c r="B54" s="16" t="s">
        <v>78</v>
      </c>
    </row>
    <row r="55" spans="1:16" ht="15" customHeight="1">
      <c r="A55"/>
      <c r="B55" s="16" t="s">
        <v>79</v>
      </c>
      <c r="D55">
        <f>SUM(D50:D54)</f>
        <v>203</v>
      </c>
      <c r="E55">
        <f>SUM(E50:E54)</f>
        <v>0.8</v>
      </c>
      <c r="F55">
        <f>SUM(F50:F54)</f>
        <v>0.7</v>
      </c>
    </row>
    <row r="56" spans="1:16" ht="15" customHeight="1">
      <c r="B56" s="16" t="s">
        <v>80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>
      <c r="A59" s="15" t="s">
        <v>36</v>
      </c>
    </row>
    <row r="60" spans="1:16" ht="15" customHeight="1">
      <c r="B60" s="16" t="s">
        <v>81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>
      <c r="B61" s="16" t="s">
        <v>82</v>
      </c>
      <c r="F61" s="62">
        <v>0.5</v>
      </c>
    </row>
    <row r="62" spans="1:16" ht="15" customHeight="1">
      <c r="B62" s="16" t="s">
        <v>83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>
      <c r="B63" s="16" t="s">
        <v>84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>
      <c r="A65" s="15" t="s">
        <v>85</v>
      </c>
    </row>
    <row r="66" spans="1:16" ht="15" customHeight="1">
      <c r="B66" s="16" t="s">
        <v>86</v>
      </c>
      <c r="D66" s="62">
        <v>0.06</v>
      </c>
    </row>
    <row r="67" spans="1:16" ht="15" customHeight="1">
      <c r="B67" s="16" t="s">
        <v>87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>
      <c r="A69" s="15" t="s">
        <v>88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10"/>
  <sheetViews>
    <sheetView zoomScaleNormal="100" zoomScaleSheetLayoutView="150" workbookViewId="0">
      <pane xSplit="2" ySplit="2" topLeftCell="C3" activePane="bottomRight" state="frozen"/>
      <selection pane="bottomRight" activeCell="C3" sqref="C3"/>
      <selection pane="bottomLeft" activeCell="C3" sqref="C3"/>
      <selection pane="topRight" activeCell="C3" sqref="C3"/>
    </sheetView>
  </sheetViews>
  <sheetFormatPr defaultColWidth="9.140625" defaultRowHeight="15" customHeight="1"/>
  <cols>
    <col min="1" max="1" width="1.42578125" style="15" customWidth="1"/>
    <col min="2" max="2" width="41.7109375" style="16" customWidth="1"/>
    <col min="3" max="16" width="12.7109375" customWidth="1"/>
  </cols>
  <sheetData>
    <row r="1" spans="1:16" s="46" customFormat="1" ht="45" customHeight="1">
      <c r="A1" s="5" t="s">
        <v>89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>
      <c r="A2" s="14" t="str">
        <f>Info!N5</f>
        <v>Oil and gas project</v>
      </c>
      <c r="B2" s="7"/>
      <c r="C2" s="11" t="s">
        <v>32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>
      <c r="B4" s="16" t="s">
        <v>90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>
      <c r="A6" s="15" t="s">
        <v>91</v>
      </c>
    </row>
    <row r="7" spans="1:16" ht="15" customHeight="1">
      <c r="B7" s="16" t="s">
        <v>92</v>
      </c>
    </row>
    <row r="8" spans="1:16" ht="15" customHeight="1">
      <c r="B8" s="16" t="str">
        <f>IS!B26</f>
        <v>Tax expense</v>
      </c>
    </row>
    <row r="9" spans="1:16" ht="15" customHeight="1">
      <c r="B9" s="16" t="str">
        <f>CFS!B8</f>
        <v>(Asset retirement payments)</v>
      </c>
    </row>
    <row r="10" spans="1:16" ht="15" customHeight="1">
      <c r="B10" s="16" t="str">
        <f>CFS!B11</f>
        <v>(Inc) dec in operating working capital</v>
      </c>
    </row>
    <row r="11" spans="1:16" ht="15" customHeight="1">
      <c r="B11" s="16" t="str">
        <f>CFS!B14</f>
        <v>(Capital expenditure)</v>
      </c>
    </row>
    <row r="12" spans="1:16" ht="15" customHeight="1">
      <c r="B12" s="16" t="str">
        <f>CFS!B15</f>
        <v>(Cash soft asset expenditure)</v>
      </c>
    </row>
    <row r="13" spans="1:16" ht="15" customHeight="1">
      <c r="B13" s="16" t="s">
        <v>93</v>
      </c>
    </row>
    <row r="14" spans="1:16" ht="15" customHeight="1">
      <c r="B14" s="16" t="s">
        <v>54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 spans="1:16" ht="15" customHeight="1">
      <c r="B15" s="16" t="s">
        <v>94</v>
      </c>
    </row>
    <row r="16" spans="1:16" ht="15" customHeight="1">
      <c r="B16" s="16" t="s">
        <v>95</v>
      </c>
    </row>
    <row r="17" spans="1:3" ht="15" customHeight="1">
      <c r="B17" s="16" t="s">
        <v>96</v>
      </c>
    </row>
    <row r="19" spans="1:3" ht="15" customHeight="1">
      <c r="A19" s="15" t="s">
        <v>48</v>
      </c>
    </row>
    <row r="20" spans="1:3" ht="15" customHeight="1">
      <c r="B20" s="16" t="s">
        <v>44</v>
      </c>
      <c r="C20" s="61"/>
    </row>
    <row r="21" spans="1:3" ht="15" customHeight="1">
      <c r="B21" s="16" t="s">
        <v>97</v>
      </c>
      <c r="C21" s="61"/>
    </row>
    <row r="23" spans="1:3" ht="15" customHeight="1">
      <c r="B23" s="16" t="s">
        <v>98</v>
      </c>
    </row>
    <row r="24" spans="1:3" ht="15" customHeight="1">
      <c r="B24" s="16" t="s">
        <v>99</v>
      </c>
    </row>
    <row r="25" spans="1:3" ht="15" customHeight="1">
      <c r="B25" s="16" t="s">
        <v>100</v>
      </c>
      <c r="C25" s="63">
        <v>0</v>
      </c>
    </row>
    <row r="26" spans="1:3" ht="15" customHeight="1">
      <c r="B26" s="16" t="s">
        <v>95</v>
      </c>
    </row>
    <row r="28" spans="1:3" ht="15" customHeight="1">
      <c r="B28" s="16" t="s">
        <v>101</v>
      </c>
    </row>
    <row r="29" spans="1:3" ht="15" customHeight="1">
      <c r="B29" s="16" t="s">
        <v>97</v>
      </c>
    </row>
    <row r="30" spans="1:3" ht="15" customHeight="1">
      <c r="B30" s="16" t="s">
        <v>102</v>
      </c>
    </row>
    <row r="32" spans="1:3" ht="15" customHeight="1">
      <c r="B32" s="16" t="s">
        <v>103</v>
      </c>
    </row>
    <row r="34" spans="1:16" ht="15" customHeight="1">
      <c r="A34" s="15" t="s">
        <v>49</v>
      </c>
    </row>
    <row r="35" spans="1:16" ht="15" customHeight="1">
      <c r="B35" s="16" t="s">
        <v>104</v>
      </c>
      <c r="C35" s="69"/>
    </row>
    <row r="36" spans="1:16" ht="15" customHeight="1">
      <c r="B36" s="16" t="s">
        <v>44</v>
      </c>
      <c r="C36" s="61"/>
    </row>
    <row r="37" spans="1:16" ht="15" customHeight="1">
      <c r="B37" s="16" t="s">
        <v>97</v>
      </c>
      <c r="C37" s="61"/>
    </row>
    <row r="38" spans="1:16" ht="15" customHeight="1">
      <c r="C38" s="61"/>
    </row>
    <row r="39" spans="1:16" ht="15" customHeight="1">
      <c r="B39" s="16" t="s">
        <v>98</v>
      </c>
    </row>
    <row r="40" spans="1:16" ht="15" customHeight="1">
      <c r="B40" s="16" t="s">
        <v>105</v>
      </c>
    </row>
    <row r="41" spans="1:16" ht="15" customHeight="1">
      <c r="B41" s="16" t="s">
        <v>106</v>
      </c>
    </row>
    <row r="42" spans="1:16" ht="15" customHeight="1">
      <c r="B42" s="16" t="s">
        <v>107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</row>
    <row r="43" spans="1:16" ht="15" customHeight="1">
      <c r="B43" s="16" t="s">
        <v>100</v>
      </c>
      <c r="C43" s="63">
        <v>0</v>
      </c>
    </row>
    <row r="44" spans="1:16" ht="15" customHeight="1">
      <c r="B44" s="16" t="s">
        <v>95</v>
      </c>
    </row>
    <row r="46" spans="1:16" ht="15" customHeight="1">
      <c r="B46" s="16" t="s">
        <v>101</v>
      </c>
    </row>
    <row r="47" spans="1:16" ht="15" customHeight="1">
      <c r="B47" s="16" t="s">
        <v>97</v>
      </c>
    </row>
    <row r="48" spans="1:16" ht="15" customHeight="1">
      <c r="B48" s="16" t="s">
        <v>108</v>
      </c>
    </row>
    <row r="50" spans="1:16" ht="15" customHeight="1">
      <c r="B50" s="16" t="s">
        <v>109</v>
      </c>
    </row>
    <row r="52" spans="1:16" ht="15" customHeight="1">
      <c r="B52" s="16" t="s">
        <v>110</v>
      </c>
    </row>
    <row r="53" spans="1:16" ht="15" customHeight="1">
      <c r="B53" s="16" t="s">
        <v>111</v>
      </c>
    </row>
    <row r="54" spans="1:16" ht="15" customHeight="1">
      <c r="B54" s="16" t="s">
        <v>112</v>
      </c>
    </row>
    <row r="55" spans="1:16" ht="15" customHeight="1">
      <c r="B55" s="16" t="s">
        <v>113</v>
      </c>
    </row>
    <row r="60" spans="1:16" ht="15" customHeight="1">
      <c r="A60" s="15" t="s">
        <v>114</v>
      </c>
    </row>
    <row r="61" spans="1:16" ht="15" customHeight="1">
      <c r="B61" s="16" t="s">
        <v>90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15" customHeight="1">
      <c r="B62" s="16" t="s">
        <v>115</v>
      </c>
      <c r="E62" s="65"/>
      <c r="F62" s="65"/>
    </row>
    <row r="63" spans="1:16" ht="15" customHeight="1">
      <c r="B63" s="16" t="s">
        <v>116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" customHeight="1">
      <c r="B64" s="16" t="s">
        <v>117</v>
      </c>
    </row>
    <row r="65" spans="1:3" ht="15" customHeight="1">
      <c r="B65" s="16" t="s">
        <v>118</v>
      </c>
      <c r="C65" s="61"/>
    </row>
    <row r="67" spans="1:3" ht="15" customHeight="1">
      <c r="A67"/>
      <c r="B67"/>
    </row>
    <row r="68" spans="1:3" ht="15" customHeight="1">
      <c r="A68"/>
      <c r="B68"/>
    </row>
    <row r="69" spans="1:3" ht="15" customHeight="1">
      <c r="A69"/>
      <c r="B69"/>
    </row>
    <row r="70" spans="1:3" ht="15" customHeight="1">
      <c r="A70"/>
      <c r="B70"/>
    </row>
    <row r="71" spans="1:3" ht="15" customHeight="1">
      <c r="A71"/>
      <c r="B71"/>
    </row>
    <row r="72" spans="1:3" ht="15" customHeight="1">
      <c r="A72"/>
      <c r="B72"/>
    </row>
    <row r="73" spans="1:3" ht="15" customHeight="1">
      <c r="A73"/>
      <c r="B73"/>
    </row>
    <row r="74" spans="1:3" ht="15" customHeight="1">
      <c r="A74"/>
      <c r="B74"/>
    </row>
    <row r="75" spans="1:3" ht="15" customHeight="1">
      <c r="A75"/>
      <c r="B75"/>
    </row>
    <row r="76" spans="1:3" ht="15" customHeight="1">
      <c r="A76"/>
      <c r="B76"/>
    </row>
    <row r="77" spans="1:3" ht="15" customHeight="1">
      <c r="A77"/>
      <c r="B77"/>
    </row>
    <row r="78" spans="1:3" ht="15" customHeight="1">
      <c r="A78"/>
      <c r="B78"/>
    </row>
    <row r="79" spans="1:3" ht="15" customHeight="1">
      <c r="A79"/>
      <c r="B79"/>
    </row>
    <row r="80" spans="1:3" ht="15" customHeight="1">
      <c r="A80"/>
      <c r="B80"/>
    </row>
    <row r="81" spans="1:2" ht="15" customHeight="1">
      <c r="A81"/>
      <c r="B81"/>
    </row>
    <row r="82" spans="1:2" ht="15" customHeight="1">
      <c r="A82"/>
      <c r="B82"/>
    </row>
    <row r="83" spans="1:2" ht="15" customHeight="1">
      <c r="A83"/>
      <c r="B83"/>
    </row>
    <row r="84" spans="1:2" ht="15" customHeight="1">
      <c r="A84"/>
      <c r="B84"/>
    </row>
    <row r="85" spans="1:2" ht="15" customHeight="1">
      <c r="A85"/>
      <c r="B85"/>
    </row>
    <row r="86" spans="1:2" ht="15" customHeight="1">
      <c r="A86"/>
      <c r="B86"/>
    </row>
    <row r="87" spans="1:2" ht="15" customHeight="1">
      <c r="A87"/>
      <c r="B87"/>
    </row>
    <row r="88" spans="1:2" ht="15" customHeight="1">
      <c r="A88"/>
      <c r="B88"/>
    </row>
    <row r="89" spans="1:2" ht="15" customHeight="1">
      <c r="A89"/>
      <c r="B89"/>
    </row>
    <row r="90" spans="1:2" ht="15" customHeight="1">
      <c r="A90"/>
      <c r="B90"/>
    </row>
    <row r="91" spans="1:2" ht="15" customHeight="1">
      <c r="A91"/>
      <c r="B91"/>
    </row>
    <row r="92" spans="1:2" ht="15" customHeight="1">
      <c r="A92"/>
      <c r="B92"/>
    </row>
    <row r="93" spans="1:2" ht="15" customHeight="1">
      <c r="A93"/>
      <c r="B93"/>
    </row>
    <row r="94" spans="1:2" ht="15" customHeight="1">
      <c r="A94"/>
      <c r="B94"/>
    </row>
    <row r="95" spans="1:2" ht="15" customHeight="1">
      <c r="A95"/>
      <c r="B95"/>
    </row>
    <row r="96" spans="1:2" ht="15" customHeight="1">
      <c r="A96"/>
      <c r="B96"/>
    </row>
    <row r="97" spans="1:2" ht="15" customHeight="1">
      <c r="A97"/>
      <c r="B97"/>
    </row>
    <row r="98" spans="1:2" ht="15" customHeight="1">
      <c r="A98"/>
      <c r="B98"/>
    </row>
    <row r="99" spans="1:2" ht="15" customHeight="1">
      <c r="A99"/>
      <c r="B99"/>
    </row>
    <row r="100" spans="1:2" ht="15" customHeight="1">
      <c r="A100"/>
      <c r="B100"/>
    </row>
    <row r="101" spans="1:2" ht="15" customHeight="1">
      <c r="A101"/>
      <c r="B101"/>
    </row>
    <row r="102" spans="1:2" ht="15" customHeight="1">
      <c r="A102"/>
      <c r="B102"/>
    </row>
    <row r="103" spans="1:2" ht="15" customHeight="1">
      <c r="A103"/>
      <c r="B103"/>
    </row>
    <row r="104" spans="1:2" ht="15" customHeight="1">
      <c r="A104"/>
      <c r="B104"/>
    </row>
    <row r="105" spans="1:2" ht="15" customHeight="1">
      <c r="A105"/>
      <c r="B105"/>
    </row>
    <row r="106" spans="1:2" ht="15" customHeight="1">
      <c r="A106"/>
      <c r="B106"/>
    </row>
    <row r="107" spans="1:2" ht="15" customHeight="1">
      <c r="A107"/>
      <c r="B107"/>
    </row>
    <row r="108" spans="1:2" ht="15" customHeight="1">
      <c r="A108"/>
      <c r="B108"/>
    </row>
    <row r="109" spans="1:2" ht="15" customHeight="1">
      <c r="A109"/>
      <c r="B109"/>
    </row>
    <row r="110" spans="1:2" ht="15" customHeight="1">
      <c r="A110"/>
      <c r="B110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pane="bottomRight" activeCell="C3" sqref="C3"/>
      <selection pane="bottomLeft" activeCell="C3" sqref="C3"/>
      <selection pane="topRight" activeCell="C3" sqref="C3"/>
    </sheetView>
  </sheetViews>
  <sheetFormatPr defaultColWidth="9.140625" defaultRowHeight="15" customHeight="1"/>
  <cols>
    <col min="1" max="1" width="1.42578125" style="15" customWidth="1"/>
    <col min="2" max="2" width="41.7109375" style="16" customWidth="1"/>
    <col min="3" max="3" width="11" customWidth="1"/>
    <col min="4" max="16" width="12.7109375" customWidth="1"/>
  </cols>
  <sheetData>
    <row r="1" spans="1:16" s="46" customFormat="1" ht="45" customHeight="1">
      <c r="A1" s="5" t="s">
        <v>119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>
      <c r="A4" s="15" t="s">
        <v>120</v>
      </c>
    </row>
    <row r="5" spans="1:16" ht="15" customHeight="1">
      <c r="B5" s="16" t="s">
        <v>121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>
      <c r="B6" s="16" t="s">
        <v>122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>
      <c r="B7" s="16" t="s">
        <v>123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>
      <c r="B8" s="16" t="s">
        <v>124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>
      <c r="A9" s="60"/>
    </row>
    <row r="10" spans="1:16" ht="15" customHeight="1">
      <c r="A10" s="60"/>
      <c r="B10" s="16" t="s">
        <v>125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>
      <c r="A11" s="60"/>
      <c r="B11" s="16" t="s">
        <v>126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>
      <c r="B12" s="16" t="s">
        <v>127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>
      <c r="A16" s="60"/>
      <c r="B16" s="16" t="s">
        <v>128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>
      <c r="A17" s="60"/>
    </row>
    <row r="18" spans="1:16" ht="15" customHeight="1">
      <c r="A18" s="60"/>
      <c r="B18" s="16" t="s">
        <v>129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>
      <c r="A19" s="60"/>
      <c r="B19" s="16" t="s">
        <v>130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>
      <c r="B21" s="16" t="s">
        <v>131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pane="bottomRight" activeCell="C3" sqref="C3"/>
      <selection pane="bottomLeft" activeCell="C3" sqref="C3"/>
      <selection pane="topRight" activeCell="C3" sqref="C3"/>
    </sheetView>
  </sheetViews>
  <sheetFormatPr defaultColWidth="9.140625" defaultRowHeight="15" customHeight="1"/>
  <cols>
    <col min="1" max="1" width="1.42578125" style="15" customWidth="1"/>
    <col min="2" max="2" width="41.7109375" style="16" customWidth="1"/>
    <col min="3" max="3" width="11" customWidth="1"/>
    <col min="4" max="16" width="12.7109375" customWidth="1"/>
  </cols>
  <sheetData>
    <row r="1" spans="1:16" s="46" customFormat="1" ht="45" customHeight="1">
      <c r="A1" s="5" t="s">
        <v>132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>
      <c r="A4" s="15" t="s">
        <v>133</v>
      </c>
    </row>
    <row r="5" spans="1:16" ht="15" customHeight="1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>
      <c r="B8" s="16" t="s">
        <v>134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>
      <c r="A9" s="60"/>
    </row>
    <row r="10" spans="1:16" ht="15" customHeight="1">
      <c r="A10" s="60" t="s">
        <v>135</v>
      </c>
    </row>
    <row r="11" spans="1:16" ht="15" customHeight="1">
      <c r="A11" s="60"/>
      <c r="B11" s="16" t="s">
        <v>98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929.71745261537819</v>
      </c>
      <c r="I11">
        <f t="shared" si="3"/>
        <v>1093.0400606719663</v>
      </c>
      <c r="J11">
        <f t="shared" si="3"/>
        <v>1340.0239727568487</v>
      </c>
      <c r="K11">
        <f t="shared" si="3"/>
        <v>1586.2078848417309</v>
      </c>
      <c r="L11">
        <f t="shared" si="3"/>
        <v>1831.5917969266131</v>
      </c>
      <c r="M11">
        <f t="shared" si="3"/>
        <v>2076.1757090114952</v>
      </c>
      <c r="N11">
        <f t="shared" si="3"/>
        <v>2319.9596210963773</v>
      </c>
      <c r="O11">
        <f t="shared" si="3"/>
        <v>2440.217707541648</v>
      </c>
      <c r="P11">
        <f t="shared" si="3"/>
        <v>2454.4822291529658</v>
      </c>
    </row>
    <row r="12" spans="1:16" ht="15" customHeight="1">
      <c r="B12" s="16" t="s">
        <v>136</v>
      </c>
      <c r="D12">
        <f>IS!D27</f>
        <v>0</v>
      </c>
      <c r="E12">
        <f>IS!E27</f>
        <v>0</v>
      </c>
      <c r="F12">
        <f>IS!F27</f>
        <v>0</v>
      </c>
      <c r="G12">
        <f>IS!G27</f>
        <v>92.974752028294148</v>
      </c>
      <c r="H12">
        <f>IS!H27</f>
        <v>163.32260805658825</v>
      </c>
      <c r="I12">
        <f>IS!I27</f>
        <v>246.98391208488229</v>
      </c>
      <c r="J12">
        <f>IS!J27</f>
        <v>246.18391208488219</v>
      </c>
      <c r="K12">
        <f>IS!K27</f>
        <v>245.3839120848823</v>
      </c>
      <c r="L12">
        <f>IS!L27</f>
        <v>244.58391208488229</v>
      </c>
      <c r="M12">
        <f>IS!M27</f>
        <v>243.78391208488227</v>
      </c>
      <c r="N12">
        <f>IS!N27</f>
        <v>120.25808644527058</v>
      </c>
      <c r="O12">
        <f>IS!O27</f>
        <v>14.264521611317656</v>
      </c>
      <c r="P12">
        <f>IS!P27</f>
        <v>0</v>
      </c>
    </row>
    <row r="13" spans="1:16" ht="15" customHeight="1">
      <c r="B13" s="16" t="s">
        <v>137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>
      <c r="A14" s="60"/>
      <c r="B14" s="16" t="s">
        <v>115</v>
      </c>
    </row>
    <row r="15" spans="1:16" ht="15" customHeight="1">
      <c r="B15" s="16" t="s">
        <v>138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929.71745261537819</v>
      </c>
      <c r="H15">
        <f t="shared" si="4"/>
        <v>1093.0400606719663</v>
      </c>
      <c r="I15">
        <f t="shared" si="4"/>
        <v>1340.0239727568487</v>
      </c>
      <c r="J15">
        <f t="shared" si="4"/>
        <v>1586.2078848417309</v>
      </c>
      <c r="K15">
        <f t="shared" si="4"/>
        <v>1831.5917969266131</v>
      </c>
      <c r="L15">
        <f t="shared" si="4"/>
        <v>2076.1757090114952</v>
      </c>
      <c r="M15">
        <f t="shared" si="4"/>
        <v>2319.9596210963773</v>
      </c>
      <c r="N15">
        <f t="shared" si="4"/>
        <v>2440.217707541648</v>
      </c>
      <c r="O15">
        <f t="shared" si="4"/>
        <v>2454.4822291529658</v>
      </c>
      <c r="P15">
        <f t="shared" si="4"/>
        <v>2454.4822291529658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9" activePane="bottomRight" state="frozen"/>
      <selection pane="bottomRight" activeCell="D32" sqref="D32"/>
      <selection pane="bottomLeft" activeCell="C3" sqref="C3"/>
      <selection pane="topRight" activeCell="C3" sqref="C3"/>
    </sheetView>
  </sheetViews>
  <sheetFormatPr defaultColWidth="9.140625" defaultRowHeight="15" customHeight="1"/>
  <cols>
    <col min="1" max="1" width="1.42578125" style="15" customWidth="1"/>
    <col min="2" max="2" width="41.7109375" style="16" customWidth="1"/>
    <col min="3" max="3" width="11" customWidth="1"/>
    <col min="4" max="16" width="12.7109375" customWidth="1"/>
  </cols>
  <sheetData>
    <row r="1" spans="1:16" s="46" customFormat="1" ht="45" customHeight="1">
      <c r="A1" s="5" t="s">
        <v>139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>
      <c r="A4" s="15" t="s">
        <v>140</v>
      </c>
    </row>
    <row r="5" spans="1:16" ht="15" customHeight="1">
      <c r="B5" s="16" t="s">
        <v>59</v>
      </c>
      <c r="F5">
        <f>'S&amp;U'!F29</f>
        <v>59.6</v>
      </c>
    </row>
    <row r="6" spans="1:16" ht="15" customHeight="1">
      <c r="B6" s="16" t="s">
        <v>60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>
      <c r="B8" s="16" t="s">
        <v>61</v>
      </c>
      <c r="F8">
        <f>'S&amp;U'!F32</f>
        <v>172.84</v>
      </c>
    </row>
    <row r="9" spans="1:16" ht="15" customHeight="1">
      <c r="B9" s="16" t="s">
        <v>60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>
      <c r="A11" s="15" t="s">
        <v>141</v>
      </c>
    </row>
    <row r="12" spans="1:16" ht="15" customHeight="1">
      <c r="A12"/>
      <c r="B12" s="16" t="s">
        <v>142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>
      <c r="A13"/>
      <c r="B13" s="16" t="s">
        <v>61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>
      <c r="A14"/>
      <c r="B14" s="16" t="s">
        <v>143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>
      <c r="A15"/>
      <c r="B15" s="16" t="s">
        <v>144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>
      <c r="A16"/>
      <c r="B16" s="16" t="s">
        <v>145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>
      <c r="A17"/>
      <c r="B17"/>
    </row>
    <row r="18" spans="1:16" ht="15" customHeight="1">
      <c r="A18"/>
      <c r="B18" s="16" t="s">
        <v>146</v>
      </c>
      <c r="F18">
        <f>'S&amp;U'!C6</f>
        <v>2142</v>
      </c>
    </row>
    <row r="19" spans="1:16" ht="15" customHeight="1">
      <c r="A19"/>
      <c r="B19" s="16" t="s">
        <v>147</v>
      </c>
      <c r="F19">
        <f>F18/-F15</f>
        <v>-23.959731543624159</v>
      </c>
    </row>
    <row r="20" spans="1:16" ht="15" customHeight="1">
      <c r="A20"/>
      <c r="B20"/>
    </row>
    <row r="21" spans="1:16" ht="15" customHeight="1">
      <c r="A21" s="15" t="s">
        <v>148</v>
      </c>
      <c r="B21"/>
    </row>
    <row r="22" spans="1:16" ht="15" customHeight="1">
      <c r="A22"/>
      <c r="B22" s="16" t="s">
        <v>98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>
      <c r="A23"/>
      <c r="B23" s="16" t="s">
        <v>149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>
      <c r="A24"/>
      <c r="B24" s="16" t="s">
        <v>150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>
      <c r="A25"/>
      <c r="B25" s="16" t="s">
        <v>100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>
      <c r="A26"/>
      <c r="B26"/>
    </row>
    <row r="27" spans="1:16" ht="15" customHeight="1">
      <c r="B27" s="16" t="s">
        <v>151</v>
      </c>
      <c r="F27">
        <f>SUM('S&amp;U'!D55:F55)</f>
        <v>204.5</v>
      </c>
    </row>
    <row r="28" spans="1:16" ht="15" customHeight="1">
      <c r="B28" s="16" t="s">
        <v>152</v>
      </c>
      <c r="F28">
        <f>F27/-F15</f>
        <v>-2.2874720357941833</v>
      </c>
    </row>
    <row r="30" spans="1:16" ht="15" customHeight="1">
      <c r="A30" s="15" t="s">
        <v>73</v>
      </c>
    </row>
    <row r="31" spans="1:16" ht="15" customHeight="1">
      <c r="B31" s="16" t="s">
        <v>98</v>
      </c>
      <c r="D31">
        <f>C34</f>
        <v>0</v>
      </c>
      <c r="E31">
        <f>D34</f>
        <v>203</v>
      </c>
      <c r="F31">
        <f>E34</f>
        <v>203.8</v>
      </c>
      <c r="G31">
        <f>F34</f>
        <v>204.5</v>
      </c>
      <c r="H31">
        <f t="shared" ref="H31:P31" si="11">G34</f>
        <v>194.27500000000001</v>
      </c>
      <c r="I31">
        <f t="shared" si="11"/>
        <v>173.82500000000002</v>
      </c>
      <c r="J31">
        <f t="shared" si="11"/>
        <v>143.15000000000003</v>
      </c>
      <c r="K31">
        <f t="shared" si="11"/>
        <v>112.47500000000002</v>
      </c>
      <c r="L31">
        <f t="shared" si="11"/>
        <v>81.80000000000004</v>
      </c>
      <c r="M31">
        <f t="shared" si="11"/>
        <v>51.125000000000043</v>
      </c>
      <c r="N31">
        <f t="shared" si="11"/>
        <v>20.450000000000049</v>
      </c>
      <c r="O31">
        <f t="shared" si="11"/>
        <v>4.090000000000046</v>
      </c>
      <c r="P31">
        <f t="shared" si="11"/>
        <v>4.6185277824406512E-14</v>
      </c>
    </row>
    <row r="32" spans="1:16" ht="15" customHeight="1">
      <c r="B32" s="16" t="s">
        <v>153</v>
      </c>
      <c r="D32">
        <f>'S&amp;U'!D55</f>
        <v>203</v>
      </c>
      <c r="E32">
        <f>'S&amp;U'!E55</f>
        <v>0.8</v>
      </c>
      <c r="F32">
        <f>'S&amp;U'!F55</f>
        <v>0.7</v>
      </c>
    </row>
    <row r="33" spans="1:16" ht="15" customHeight="1">
      <c r="B33" s="16" t="s">
        <v>154</v>
      </c>
      <c r="G33">
        <f>$F$28*G16</f>
        <v>-10.224999999999996</v>
      </c>
      <c r="H33">
        <f t="shared" ref="H33:O33" si="12">$F$28*H16</f>
        <v>-20.449999999999992</v>
      </c>
      <c r="I33">
        <f t="shared" si="12"/>
        <v>-30.67499999999999</v>
      </c>
      <c r="J33">
        <f t="shared" si="12"/>
        <v>-30.675000000000008</v>
      </c>
      <c r="K33">
        <f t="shared" si="12"/>
        <v>-30.67499999999999</v>
      </c>
      <c r="L33">
        <f t="shared" si="12"/>
        <v>-30.675000000000001</v>
      </c>
      <c r="M33">
        <f t="shared" si="12"/>
        <v>-30.674999999999994</v>
      </c>
      <c r="N33">
        <f t="shared" si="12"/>
        <v>-16.360000000000003</v>
      </c>
      <c r="O33">
        <f t="shared" si="12"/>
        <v>-4.09</v>
      </c>
      <c r="P33">
        <f t="shared" ref="P33" si="13">$F$28*P16</f>
        <v>0</v>
      </c>
    </row>
    <row r="34" spans="1:16" ht="15" customHeight="1">
      <c r="B34" s="16" t="s">
        <v>100</v>
      </c>
      <c r="C34" s="63">
        <v>0</v>
      </c>
      <c r="D34">
        <f>SUM(D31:D33)</f>
        <v>203</v>
      </c>
      <c r="E34">
        <f>SUM(E31:E33)</f>
        <v>203.8</v>
      </c>
      <c r="F34">
        <f>SUM(F31:F33)</f>
        <v>204.5</v>
      </c>
      <c r="G34">
        <f>SUM(G31:G33)</f>
        <v>194.27500000000001</v>
      </c>
      <c r="H34">
        <f t="shared" ref="H34:O34" si="14">SUM(H31:H33)</f>
        <v>173.82500000000002</v>
      </c>
      <c r="I34">
        <f t="shared" si="14"/>
        <v>143.15000000000003</v>
      </c>
      <c r="J34">
        <f t="shared" si="14"/>
        <v>112.47500000000002</v>
      </c>
      <c r="K34">
        <f t="shared" si="14"/>
        <v>81.80000000000004</v>
      </c>
      <c r="L34">
        <f t="shared" si="14"/>
        <v>51.125000000000043</v>
      </c>
      <c r="M34">
        <f t="shared" si="14"/>
        <v>20.450000000000049</v>
      </c>
      <c r="N34">
        <f t="shared" si="14"/>
        <v>4.090000000000046</v>
      </c>
      <c r="O34">
        <f t="shared" si="14"/>
        <v>4.6185277824406512E-14</v>
      </c>
      <c r="P34">
        <f t="shared" ref="P34" si="15">SUM(P31:P33)</f>
        <v>4.6185277824406512E-14</v>
      </c>
    </row>
    <row r="36" spans="1:16" ht="15" customHeight="1">
      <c r="A36" s="15" t="s">
        <v>85</v>
      </c>
    </row>
    <row r="37" spans="1:16" ht="15" customHeight="1">
      <c r="B37" s="16" t="s">
        <v>155</v>
      </c>
      <c r="D37">
        <f>NPV('S&amp;U'!D66,'S&amp;U'!E67:O67)</f>
        <v>37.191199292648413</v>
      </c>
    </row>
    <row r="38" spans="1:16" ht="15" customHeight="1">
      <c r="B38" s="16" t="s">
        <v>152</v>
      </c>
      <c r="D38">
        <f>D37/-$F$15</f>
        <v>-0.41600894063365113</v>
      </c>
    </row>
    <row r="40" spans="1:16" ht="15" customHeight="1">
      <c r="B40" s="16" t="s">
        <v>156</v>
      </c>
    </row>
    <row r="41" spans="1:16" ht="15" customHeight="1">
      <c r="B41" s="16" t="s">
        <v>98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>
      <c r="B42" s="16" t="s">
        <v>154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>
      <c r="B43" s="16" t="s">
        <v>100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>
      <c r="B45" s="16" t="s">
        <v>157</v>
      </c>
    </row>
    <row r="46" spans="1:16" ht="15" customHeight="1">
      <c r="B46" s="16" t="s">
        <v>98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>
      <c r="B47" s="16" t="s">
        <v>158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>
      <c r="B48" s="16" t="s">
        <v>159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>
      <c r="B49" s="16" t="s">
        <v>100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C3" activePane="bottomRight" state="frozen"/>
      <selection pane="bottomRight" activeCell="G23" sqref="G23:P23"/>
      <selection pane="bottomLeft" activeCell="C3" sqref="C3"/>
      <selection pane="topRight" activeCell="C3" sqref="C3"/>
    </sheetView>
  </sheetViews>
  <sheetFormatPr defaultColWidth="9.140625" defaultRowHeight="15" customHeight="1"/>
  <cols>
    <col min="1" max="1" width="1.42578125" style="15" customWidth="1"/>
    <col min="2" max="2" width="20.5703125" style="16" customWidth="1"/>
    <col min="3" max="3" width="11" customWidth="1"/>
    <col min="4" max="16" width="12.7109375" customWidth="1"/>
  </cols>
  <sheetData>
    <row r="1" spans="1:16" s="46" customFormat="1" ht="45" customHeight="1">
      <c r="A1" s="5" t="s">
        <v>160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>
      <c r="A8"/>
    </row>
    <row r="9" spans="1:16" ht="15" customHeight="1">
      <c r="A9"/>
      <c r="B9" s="16" t="s">
        <v>129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>
      <c r="A10"/>
      <c r="B10" s="16" t="s">
        <v>130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>
      <c r="B11" s="16" t="s">
        <v>150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>
      <c r="A12"/>
      <c r="B12" s="16" t="s">
        <v>161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>
      <c r="A13"/>
    </row>
    <row r="14" spans="1:16" ht="15" customHeight="1">
      <c r="A14"/>
      <c r="B14" s="16" t="s">
        <v>162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>
      <c r="A15"/>
    </row>
    <row r="16" spans="1:16" ht="15" customHeight="1">
      <c r="A16"/>
      <c r="B16" s="16" t="s">
        <v>163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>
      <c r="A17"/>
      <c r="B17" s="16" t="s">
        <v>154</v>
      </c>
      <c r="G17">
        <f>Depletion!G33+Depletion!G42</f>
        <v>-12.084559964632415</v>
      </c>
      <c r="H17">
        <f>Depletion!H33+Depletion!H42</f>
        <v>-24.169119929264831</v>
      </c>
      <c r="I17">
        <f>Depletion!I33+Depletion!I42</f>
        <v>-36.25367989389725</v>
      </c>
      <c r="J17">
        <f>Depletion!J33+Depletion!J42</f>
        <v>-36.253679893897271</v>
      </c>
      <c r="K17">
        <f>Depletion!K33+Depletion!K42</f>
        <v>-36.25367989389725</v>
      </c>
      <c r="L17">
        <f>Depletion!L33+Depletion!L42</f>
        <v>-36.253679893897264</v>
      </c>
      <c r="M17">
        <f>Depletion!M33+Depletion!M42</f>
        <v>-36.253679893897257</v>
      </c>
      <c r="N17">
        <f>Depletion!N33+Depletion!N42</f>
        <v>-19.335295943411875</v>
      </c>
      <c r="O17">
        <f>Depletion!O33+Depletion!O42</f>
        <v>-4.8338239858529679</v>
      </c>
      <c r="P17">
        <f>Depletion!P33+Depletion!P42</f>
        <v>0</v>
      </c>
    </row>
    <row r="18" spans="1:16" ht="15" customHeight="1">
      <c r="A18"/>
      <c r="B18" s="16" t="s">
        <v>164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>
      <c r="A19"/>
      <c r="B19" s="16" t="s">
        <v>165</v>
      </c>
      <c r="G19">
        <f>SUM(G14,G16:G18)</f>
        <v>116.21844003536769</v>
      </c>
      <c r="H19">
        <f t="shared" ref="H19:P19" si="5">SUM(H14,H16:H18)</f>
        <v>204.15326007073531</v>
      </c>
      <c r="I19">
        <f t="shared" si="5"/>
        <v>308.72989010610286</v>
      </c>
      <c r="J19">
        <f t="shared" si="5"/>
        <v>307.72989010610274</v>
      </c>
      <c r="K19">
        <f t="shared" si="5"/>
        <v>306.72989010610286</v>
      </c>
      <c r="L19">
        <f t="shared" si="5"/>
        <v>305.72989010610286</v>
      </c>
      <c r="M19">
        <f t="shared" si="5"/>
        <v>304.72989010610286</v>
      </c>
      <c r="N19">
        <f t="shared" si="5"/>
        <v>150.32260805658822</v>
      </c>
      <c r="O19">
        <f t="shared" si="5"/>
        <v>17.83065201414707</v>
      </c>
      <c r="P19">
        <f t="shared" si="5"/>
        <v>0</v>
      </c>
    </row>
    <row r="20" spans="1:16" ht="15" customHeight="1">
      <c r="A20"/>
    </row>
    <row r="21" spans="1:16" ht="15" customHeight="1">
      <c r="A21"/>
      <c r="B21" s="16" t="s">
        <v>166</v>
      </c>
    </row>
    <row r="22" spans="1:16" ht="15" customHeight="1">
      <c r="A22"/>
      <c r="B22" s="16" t="s">
        <v>167</v>
      </c>
    </row>
    <row r="23" spans="1:16" ht="15" customHeight="1">
      <c r="A23"/>
      <c r="B23" s="16" t="s">
        <v>168</v>
      </c>
    </row>
    <row r="24" spans="1:16" ht="15" customHeight="1">
      <c r="A24"/>
      <c r="B24" s="16" t="s">
        <v>169</v>
      </c>
      <c r="G24">
        <f>SUM(G19,G21:G23)</f>
        <v>116.21844003536769</v>
      </c>
      <c r="H24">
        <f t="shared" ref="H24:P24" si="6">SUM(H19,H21:H23)</f>
        <v>204.15326007073531</v>
      </c>
      <c r="I24">
        <f t="shared" si="6"/>
        <v>308.72989010610286</v>
      </c>
      <c r="J24">
        <f t="shared" si="6"/>
        <v>307.72989010610274</v>
      </c>
      <c r="K24">
        <f t="shared" si="6"/>
        <v>306.72989010610286</v>
      </c>
      <c r="L24">
        <f t="shared" si="6"/>
        <v>305.72989010610286</v>
      </c>
      <c r="M24">
        <f t="shared" si="6"/>
        <v>304.72989010610286</v>
      </c>
      <c r="N24">
        <f t="shared" si="6"/>
        <v>150.32260805658822</v>
      </c>
      <c r="O24">
        <f t="shared" si="6"/>
        <v>17.83065201414707</v>
      </c>
      <c r="P24">
        <f t="shared" si="6"/>
        <v>0</v>
      </c>
    </row>
    <row r="25" spans="1:16" ht="15" customHeight="1">
      <c r="A25"/>
    </row>
    <row r="26" spans="1:16" ht="15" customHeight="1">
      <c r="A26"/>
      <c r="B26" s="16" t="s">
        <v>170</v>
      </c>
      <c r="G26">
        <f>'S&amp;U'!G41*IS!G24</f>
        <v>-23.243688007073541</v>
      </c>
      <c r="H26">
        <f>'S&amp;U'!H41*IS!H24</f>
        <v>-40.830652014147063</v>
      </c>
      <c r="I26">
        <f>'S&amp;U'!I41*IS!I24</f>
        <v>-61.745978021220573</v>
      </c>
      <c r="J26">
        <f>'S&amp;U'!J41*IS!J24</f>
        <v>-61.545978021220549</v>
      </c>
      <c r="K26">
        <f>'S&amp;U'!K41*IS!K24</f>
        <v>-61.345978021220574</v>
      </c>
      <c r="L26">
        <f>'S&amp;U'!L41*IS!L24</f>
        <v>-61.145978021220571</v>
      </c>
      <c r="M26">
        <f>'S&amp;U'!M41*IS!M24</f>
        <v>-60.945978021220576</v>
      </c>
      <c r="N26">
        <f>'S&amp;U'!N41*IS!N24</f>
        <v>-30.064521611317645</v>
      </c>
      <c r="O26">
        <f>'S&amp;U'!O41*IS!O24</f>
        <v>-3.5661304028294141</v>
      </c>
      <c r="P26">
        <f>'S&amp;U'!P41*IS!P24</f>
        <v>0</v>
      </c>
    </row>
    <row r="27" spans="1:16" ht="15" customHeight="1">
      <c r="A27"/>
      <c r="B27" s="16" t="s">
        <v>171</v>
      </c>
      <c r="G27">
        <f>G24+G26</f>
        <v>92.974752028294148</v>
      </c>
      <c r="H27">
        <f t="shared" ref="H27:P27" si="7">H24+H26</f>
        <v>163.32260805658825</v>
      </c>
      <c r="I27">
        <f t="shared" si="7"/>
        <v>246.98391208488229</v>
      </c>
      <c r="J27">
        <f t="shared" si="7"/>
        <v>246.18391208488219</v>
      </c>
      <c r="K27">
        <f t="shared" si="7"/>
        <v>245.3839120848823</v>
      </c>
      <c r="L27">
        <f t="shared" si="7"/>
        <v>244.58391208488229</v>
      </c>
      <c r="M27">
        <f t="shared" si="7"/>
        <v>243.78391208488227</v>
      </c>
      <c r="N27">
        <f t="shared" si="7"/>
        <v>120.25808644527058</v>
      </c>
      <c r="O27">
        <f t="shared" si="7"/>
        <v>14.264521611317656</v>
      </c>
      <c r="P27">
        <f t="shared" si="7"/>
        <v>0</v>
      </c>
    </row>
    <row r="28" spans="1:16" ht="15" customHeight="1">
      <c r="B28"/>
    </row>
    <row r="29" spans="1:16" ht="15" customHeight="1">
      <c r="A29"/>
    </row>
    <row r="30" spans="1:16" ht="15" customHeight="1">
      <c r="A30"/>
    </row>
    <row r="31" spans="1:16" ht="15" customHeight="1">
      <c r="A31"/>
    </row>
    <row r="32" spans="1:16" ht="15" customHeight="1">
      <c r="A32"/>
    </row>
    <row r="33" spans="1:1" ht="15" customHeight="1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C3" activePane="bottomRight" state="frozen"/>
      <selection pane="bottomRight" activeCell="D8" sqref="D8"/>
      <selection pane="bottomLeft" activeCell="C3" sqref="C3"/>
      <selection pane="topRight" activeCell="C3" sqref="C3"/>
    </sheetView>
  </sheetViews>
  <sheetFormatPr defaultColWidth="9.140625" defaultRowHeight="15" customHeight="1"/>
  <cols>
    <col min="1" max="1" width="1.42578125" style="15" customWidth="1"/>
    <col min="2" max="2" width="20.5703125" style="16" customWidth="1"/>
    <col min="3" max="3" width="11" customWidth="1"/>
    <col min="4" max="16" width="12.7109375" customWidth="1"/>
  </cols>
  <sheetData>
    <row r="1" spans="1:16" s="46" customFormat="1" ht="45" customHeight="1">
      <c r="A1" s="5" t="s">
        <v>172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>
      <c r="A4"/>
      <c r="B4" s="16" t="s">
        <v>173</v>
      </c>
      <c r="D4">
        <f>CFS!D26</f>
        <v>0</v>
      </c>
      <c r="E4">
        <f>CFS!E26</f>
        <v>0</v>
      </c>
      <c r="F4">
        <f>CFS!F26</f>
        <v>0</v>
      </c>
      <c r="G4">
        <f>CFS!G26</f>
        <v>0</v>
      </c>
      <c r="H4">
        <f>CFS!H26</f>
        <v>0</v>
      </c>
      <c r="I4">
        <f>CFS!I26</f>
        <v>0</v>
      </c>
      <c r="J4">
        <f>CFS!J26</f>
        <v>0</v>
      </c>
      <c r="K4">
        <f>CFS!K26</f>
        <v>0</v>
      </c>
      <c r="L4">
        <f>CFS!L26</f>
        <v>0</v>
      </c>
      <c r="M4">
        <f>CFS!M26</f>
        <v>0</v>
      </c>
      <c r="N4">
        <f>CFS!N26</f>
        <v>0</v>
      </c>
      <c r="O4">
        <f>CFS!O26</f>
        <v>0</v>
      </c>
      <c r="P4">
        <f>CFS!P26</f>
        <v>0</v>
      </c>
    </row>
    <row r="5" spans="1:16" ht="15" customHeight="1">
      <c r="A5"/>
      <c r="B5" s="16" t="s">
        <v>174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>
      <c r="A6"/>
      <c r="B6" s="16" t="s">
        <v>175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>
      <c r="A7"/>
      <c r="B7" s="16" t="s">
        <v>176</v>
      </c>
      <c r="D7">
        <f>SUM(D4:D6)</f>
        <v>0</v>
      </c>
      <c r="E7">
        <f t="shared" ref="E7:P7" si="2">SUM(E4:E6)</f>
        <v>0</v>
      </c>
      <c r="F7">
        <f t="shared" si="2"/>
        <v>1.9569863013698623</v>
      </c>
      <c r="G7">
        <f t="shared" si="2"/>
        <v>31.101369863013705</v>
      </c>
      <c r="H7">
        <f t="shared" si="2"/>
        <v>58.9843397260274</v>
      </c>
      <c r="I7">
        <f t="shared" si="2"/>
        <v>88.476509589041086</v>
      </c>
      <c r="J7">
        <f t="shared" si="2"/>
        <v>88.476509589041086</v>
      </c>
      <c r="K7">
        <f t="shared" si="2"/>
        <v>88.476509589041086</v>
      </c>
      <c r="L7">
        <f t="shared" si="2"/>
        <v>88.476509589041086</v>
      </c>
      <c r="M7">
        <f t="shared" si="2"/>
        <v>88.476509589041086</v>
      </c>
      <c r="N7">
        <f t="shared" si="2"/>
        <v>47.187471780821923</v>
      </c>
      <c r="O7">
        <f t="shared" si="2"/>
        <v>11.796867945205481</v>
      </c>
      <c r="P7">
        <f t="shared" si="2"/>
        <v>0</v>
      </c>
    </row>
    <row r="8" spans="1:16" ht="15" customHeight="1">
      <c r="A8"/>
    </row>
    <row r="9" spans="1:16" ht="15" customHeight="1">
      <c r="A9"/>
      <c r="B9" s="16" t="s">
        <v>177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>
      <c r="B10" s="16" t="s">
        <v>73</v>
      </c>
      <c r="D10">
        <f>Depletion!D34</f>
        <v>203</v>
      </c>
      <c r="E10">
        <f>Depletion!E34</f>
        <v>203.8</v>
      </c>
      <c r="F10">
        <f>Depletion!F34</f>
        <v>204.5</v>
      </c>
      <c r="G10">
        <f>Depletion!G34</f>
        <v>194.27500000000001</v>
      </c>
      <c r="H10">
        <f>Depletion!H34</f>
        <v>173.82500000000002</v>
      </c>
      <c r="I10">
        <f>Depletion!I34</f>
        <v>143.15000000000003</v>
      </c>
      <c r="J10">
        <f>Depletion!J34</f>
        <v>112.47500000000002</v>
      </c>
      <c r="K10">
        <f>Depletion!K34</f>
        <v>81.80000000000004</v>
      </c>
      <c r="L10">
        <f>Depletion!L34</f>
        <v>51.125000000000043</v>
      </c>
      <c r="M10">
        <f>Depletion!M34</f>
        <v>20.450000000000049</v>
      </c>
      <c r="N10">
        <f>Depletion!N34</f>
        <v>4.090000000000046</v>
      </c>
      <c r="O10">
        <f>Depletion!O34</f>
        <v>4.6185277824406512E-14</v>
      </c>
      <c r="P10">
        <f>Depletion!P34</f>
        <v>4.6185277824406512E-14</v>
      </c>
    </row>
    <row r="11" spans="1:16" ht="15" customHeight="1">
      <c r="A11"/>
      <c r="B11" s="16" t="s">
        <v>178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>
      <c r="A12"/>
      <c r="B12" s="16" t="s">
        <v>179</v>
      </c>
      <c r="D12">
        <f>SUM(D7,D9:D11)</f>
        <v>420.19119929264843</v>
      </c>
      <c r="E12">
        <f t="shared" ref="E12:P12" si="3">SUM(E7,E9:E11)</f>
        <v>1655.9911992926484</v>
      </c>
      <c r="F12">
        <f t="shared" si="3"/>
        <v>2385.6481855940183</v>
      </c>
      <c r="G12">
        <f t="shared" si="3"/>
        <v>2295.6080091910299</v>
      </c>
      <c r="H12">
        <f t="shared" si="3"/>
        <v>2085.1218591247789</v>
      </c>
      <c r="I12">
        <f t="shared" si="3"/>
        <v>1757.0603490938954</v>
      </c>
      <c r="J12">
        <f t="shared" si="3"/>
        <v>1399.506669199998</v>
      </c>
      <c r="K12">
        <f t="shared" si="3"/>
        <v>1041.9529893061008</v>
      </c>
      <c r="L12">
        <f t="shared" si="3"/>
        <v>684.39930941220371</v>
      </c>
      <c r="M12">
        <f t="shared" si="3"/>
        <v>326.84562951830651</v>
      </c>
      <c r="N12">
        <f t="shared" si="3"/>
        <v>94.861295766675426</v>
      </c>
      <c r="O12">
        <f t="shared" si="3"/>
        <v>11.796867945206024</v>
      </c>
      <c r="P12">
        <f t="shared" si="3"/>
        <v>5.4423132667125174E-13</v>
      </c>
    </row>
    <row r="13" spans="1:16" ht="15" customHeight="1">
      <c r="A13"/>
    </row>
    <row r="14" spans="1:16" ht="15" customHeight="1">
      <c r="A14"/>
      <c r="B14" s="16" t="s">
        <v>48</v>
      </c>
    </row>
    <row r="15" spans="1:16" ht="15" customHeight="1">
      <c r="A15"/>
      <c r="B15" s="16" t="s">
        <v>180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>
      <c r="A16"/>
      <c r="B16" s="16" t="s">
        <v>181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si="4"/>
        <v>11.741917808219174</v>
      </c>
      <c r="H16">
        <f t="shared" si="4"/>
        <v>23.483835616438348</v>
      </c>
      <c r="I16">
        <f t="shared" si="4"/>
        <v>35.225753424657526</v>
      </c>
      <c r="J16">
        <f t="shared" si="4"/>
        <v>35.225753424657533</v>
      </c>
      <c r="K16">
        <f t="shared" si="4"/>
        <v>35.225753424657526</v>
      </c>
      <c r="L16">
        <f t="shared" si="4"/>
        <v>35.225753424657526</v>
      </c>
      <c r="M16">
        <f t="shared" si="4"/>
        <v>35.225753424657526</v>
      </c>
      <c r="N16">
        <f t="shared" si="4"/>
        <v>18.787068493150684</v>
      </c>
      <c r="O16">
        <f t="shared" si="4"/>
        <v>4.6967671232876702</v>
      </c>
      <c r="P16">
        <f t="shared" si="4"/>
        <v>0</v>
      </c>
    </row>
    <row r="17" spans="1:16" ht="15" customHeight="1">
      <c r="A17"/>
    </row>
    <row r="18" spans="1:16" ht="15" customHeight="1">
      <c r="A18"/>
      <c r="B18" s="16" t="s">
        <v>49</v>
      </c>
    </row>
    <row r="19" spans="1:16" ht="15" customHeight="1">
      <c r="A19"/>
      <c r="B19" s="16" t="s">
        <v>85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>
      <c r="A20"/>
      <c r="B20" s="16" t="s">
        <v>182</v>
      </c>
      <c r="D20">
        <f>SUM(D16,D18:D19)</f>
        <v>37.191199292648413</v>
      </c>
      <c r="E20">
        <f t="shared" ref="E20:P20" si="5">SUM(E16,E18:E19)</f>
        <v>39.422671250207316</v>
      </c>
      <c r="F20">
        <f t="shared" si="5"/>
        <v>41.788031525219758</v>
      </c>
      <c r="G20">
        <f t="shared" si="5"/>
        <v>56.037231224952123</v>
      </c>
      <c r="H20">
        <f t="shared" si="5"/>
        <v>70.43686783817526</v>
      </c>
      <c r="I20">
        <f t="shared" si="5"/>
        <v>84.995967579698657</v>
      </c>
      <c r="J20">
        <f t="shared" si="5"/>
        <v>87.982180429001133</v>
      </c>
      <c r="K20">
        <f t="shared" si="5"/>
        <v>91.147566049261741</v>
      </c>
      <c r="L20">
        <f t="shared" si="5"/>
        <v>94.502874806737992</v>
      </c>
      <c r="M20">
        <f t="shared" si="5"/>
        <v>98.059502089662828</v>
      </c>
      <c r="N20">
        <f t="shared" si="5"/>
        <v>75.390842078056295</v>
      </c>
      <c r="O20">
        <f t="shared" si="5"/>
        <v>4.6967671232876702</v>
      </c>
      <c r="P20">
        <f t="shared" si="5"/>
        <v>0</v>
      </c>
    </row>
    <row r="21" spans="1:16" ht="15" customHeight="1">
      <c r="A21"/>
    </row>
    <row r="22" spans="1:16" ht="15" customHeight="1">
      <c r="A22"/>
      <c r="B22" s="16" t="s">
        <v>135</v>
      </c>
      <c r="D22">
        <f>Calcs!D15</f>
        <v>119.27917558120706</v>
      </c>
      <c r="E22">
        <f>Calcs!E15</f>
        <v>504.14916300485106</v>
      </c>
      <c r="F22">
        <f>Calcs!F15</f>
        <v>836.74270058708407</v>
      </c>
      <c r="G22">
        <f>Calcs!G15</f>
        <v>929.71745261537819</v>
      </c>
      <c r="H22">
        <f>Calcs!H15</f>
        <v>1093.0400606719663</v>
      </c>
      <c r="I22">
        <f>Calcs!I15</f>
        <v>1340.0239727568487</v>
      </c>
      <c r="J22">
        <f>Calcs!J15</f>
        <v>1586.2078848417309</v>
      </c>
      <c r="K22">
        <f>Calcs!K15</f>
        <v>1831.5917969266131</v>
      </c>
      <c r="L22">
        <f>Calcs!L15</f>
        <v>2076.1757090114952</v>
      </c>
      <c r="M22">
        <f>Calcs!M15</f>
        <v>2319.9596210963773</v>
      </c>
      <c r="N22">
        <f>Calcs!N15</f>
        <v>2440.217707541648</v>
      </c>
      <c r="O22">
        <f>Calcs!O15</f>
        <v>2454.4822291529658</v>
      </c>
      <c r="P22">
        <f>Calcs!P15</f>
        <v>2454.4822291529658</v>
      </c>
    </row>
    <row r="23" spans="1:16" ht="15" customHeight="1">
      <c r="A23"/>
      <c r="B23" s="16" t="s">
        <v>183</v>
      </c>
      <c r="D23">
        <f>D20+D22</f>
        <v>156.47037487385546</v>
      </c>
      <c r="E23">
        <f t="shared" ref="E23:P23" si="6">E20+E22</f>
        <v>543.57183425505832</v>
      </c>
      <c r="F23">
        <f t="shared" si="6"/>
        <v>878.53073211230378</v>
      </c>
      <c r="G23">
        <f t="shared" si="6"/>
        <v>985.75468384033036</v>
      </c>
      <c r="H23">
        <f t="shared" si="6"/>
        <v>1163.4769285101415</v>
      </c>
      <c r="I23">
        <f t="shared" si="6"/>
        <v>1425.0199403365473</v>
      </c>
      <c r="J23">
        <f t="shared" si="6"/>
        <v>1674.190065270732</v>
      </c>
      <c r="K23">
        <f t="shared" si="6"/>
        <v>1922.7393629758749</v>
      </c>
      <c r="L23">
        <f t="shared" si="6"/>
        <v>2170.6785838182332</v>
      </c>
      <c r="M23">
        <f t="shared" si="6"/>
        <v>2418.0191231860399</v>
      </c>
      <c r="N23">
        <f t="shared" si="6"/>
        <v>2515.6085496197043</v>
      </c>
      <c r="O23">
        <f t="shared" si="6"/>
        <v>2459.1789962762537</v>
      </c>
      <c r="P23">
        <f t="shared" si="6"/>
        <v>2454.4822291529658</v>
      </c>
    </row>
    <row r="24" spans="1:16" ht="15" customHeight="1">
      <c r="B24"/>
    </row>
    <row r="25" spans="1:16" ht="15" customHeight="1">
      <c r="A25"/>
      <c r="B25" s="16" t="s">
        <v>184</v>
      </c>
      <c r="C25" s="66"/>
      <c r="D25" s="66">
        <f>IF(ROUND(D12,2)=ROUND(D23,2),"OK",D12-D23)</f>
        <v>263.72082441879297</v>
      </c>
      <c r="E25" s="66">
        <f t="shared" ref="E25:P25" si="7">IF(ROUND(E12,2)=ROUND(E23,2),"OK",E12-E23)</f>
        <v>1112.4193650375901</v>
      </c>
      <c r="F25" s="66">
        <f t="shared" si="7"/>
        <v>1507.1174534817146</v>
      </c>
      <c r="G25" s="66">
        <f t="shared" si="7"/>
        <v>1309.8533253506994</v>
      </c>
      <c r="H25" s="66">
        <f t="shared" si="7"/>
        <v>921.64493061463736</v>
      </c>
      <c r="I25" s="66">
        <f t="shared" si="7"/>
        <v>332.04040875734813</v>
      </c>
      <c r="J25" s="66">
        <f t="shared" si="7"/>
        <v>-274.68339607073403</v>
      </c>
      <c r="K25" s="66">
        <f t="shared" si="7"/>
        <v>-880.78637366977409</v>
      </c>
      <c r="L25" s="66">
        <f t="shared" si="7"/>
        <v>-1486.2792744060293</v>
      </c>
      <c r="M25" s="66">
        <f t="shared" si="7"/>
        <v>-2091.1734936677335</v>
      </c>
      <c r="N25" s="66">
        <f t="shared" si="7"/>
        <v>-2420.7472538530287</v>
      </c>
      <c r="O25" s="66">
        <f t="shared" si="7"/>
        <v>-2447.3821283310476</v>
      </c>
      <c r="P25" s="66">
        <f t="shared" si="7"/>
        <v>-2454.4822291529654</v>
      </c>
    </row>
    <row r="26" spans="1:16" ht="15" customHeight="1">
      <c r="A26"/>
      <c r="E26" t="e" vm="1">
        <f>[1]!FR(D26)</f>
        <v>#VALUE!</v>
      </c>
    </row>
    <row r="27" spans="1:16" ht="15" customHeight="1">
      <c r="A27"/>
    </row>
    <row r="28" spans="1:16" ht="15" customHeight="1">
      <c r="A28"/>
    </row>
    <row r="29" spans="1:16" ht="15" customHeight="1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0A4353-5A3E-4E50-B480-8F45FC55D24D}"/>
</file>

<file path=customXml/itemProps2.xml><?xml version="1.0" encoding="utf-8"?>
<ds:datastoreItem xmlns:ds="http://schemas.openxmlformats.org/officeDocument/2006/customXml" ds:itemID="{25687697-75C6-42D2-AB12-6EFA5163B65B}"/>
</file>

<file path=customXml/itemProps3.xml><?xml version="1.0" encoding="utf-8"?>
<ds:datastoreItem xmlns:ds="http://schemas.openxmlformats.org/officeDocument/2006/customXml" ds:itemID="{D5DE4A9D-8044-4746-B194-693B217F99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</dc:creator>
  <cp:keywords/>
  <dc:description/>
  <cp:lastModifiedBy/>
  <cp:revision/>
  <dcterms:created xsi:type="dcterms:W3CDTF">2016-02-03T14:06:14Z</dcterms:created>
  <dcterms:modified xsi:type="dcterms:W3CDTF">2025-06-18T13:58:47Z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