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ophieHarrup\Downloads\OneDrive_1_12-08-2025\18. Main Model - Debt Service Reserve Account - Final\"/>
    </mc:Choice>
  </mc:AlternateContent>
  <xr:revisionPtr revIDLastSave="0" documentId="13_ncr:1_{A1C427AD-32BB-420E-802A-C029B6447958}" xr6:coauthVersionLast="47" xr6:coauthVersionMax="47" xr10:uidLastSave="{00000000-0000-0000-0000-000000000000}"/>
  <bookViews>
    <workbookView xWindow="2363" yWindow="2363" windowWidth="16200" windowHeight="9982" firstSheet="3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_xlnm.Print_Area" localSheetId="3">Finance!$B$38:$I$56</definedName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5" l="1"/>
  <c r="I40" i="15" l="1"/>
  <c r="J40" i="15"/>
  <c r="K40" i="15"/>
  <c r="L40" i="15"/>
  <c r="M40" i="15"/>
  <c r="N40" i="15"/>
  <c r="O40" i="15"/>
  <c r="P40" i="15"/>
  <c r="C35" i="15"/>
  <c r="C46" i="15"/>
  <c r="G40" i="15"/>
  <c r="D39" i="15"/>
  <c r="C37" i="15"/>
  <c r="H14" i="15" l="1"/>
  <c r="I14" i="15"/>
  <c r="J14" i="15"/>
  <c r="K14" i="15"/>
  <c r="L14" i="15"/>
  <c r="M14" i="15"/>
  <c r="N14" i="15"/>
  <c r="O14" i="15"/>
  <c r="P14" i="15"/>
  <c r="G14" i="15"/>
  <c r="E19" i="18"/>
  <c r="F19" i="18"/>
  <c r="G19" i="18"/>
  <c r="H19" i="18"/>
  <c r="I19" i="18"/>
  <c r="J19" i="18"/>
  <c r="K19" i="18"/>
  <c r="L19" i="18"/>
  <c r="M19" i="18"/>
  <c r="N19" i="18"/>
  <c r="O19" i="18"/>
  <c r="P19" i="18"/>
  <c r="D19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D18" i="18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l="1"/>
  <c r="I4" i="15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J4" i="15" l="1"/>
  <c r="I42" i="15"/>
  <c r="H40" i="15"/>
  <c r="C36" i="15"/>
  <c r="F10" i="2"/>
  <c r="F55" i="15" s="1"/>
  <c r="G52" i="15" s="1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L4" i="15" l="1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H7" i="18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I7" i="18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J7" i="18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5" i="18" l="1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K7" i="18" s="1"/>
  <c r="N22" i="12"/>
  <c r="N25" i="12" s="1"/>
  <c r="N9" i="16" s="1"/>
  <c r="N41" i="12"/>
  <c r="N43" i="12" s="1"/>
  <c r="N11" i="16" s="1"/>
  <c r="P5" i="18" l="1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7" i="18" s="1"/>
  <c r="P8" i="17" l="1"/>
  <c r="L49" i="12"/>
  <c r="L19" i="16" s="1"/>
  <c r="M46" i="12" l="1"/>
  <c r="M47" i="12" s="1"/>
  <c r="M7" i="18" s="1"/>
  <c r="M49" i="12" l="1"/>
  <c r="M19" i="16" s="1"/>
  <c r="N46" i="12" l="1"/>
  <c r="N47" i="12" s="1"/>
  <c r="N7" i="18" s="1"/>
  <c r="N49" i="12" l="1"/>
  <c r="N19" i="16" s="1"/>
  <c r="O46" i="12" l="1"/>
  <c r="O47" i="12" l="1"/>
  <c r="O49" i="12" l="1"/>
  <c r="O19" i="16" s="1"/>
  <c r="O7" i="18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E26" i="15"/>
  <c r="D26" i="15"/>
  <c r="D16" i="16"/>
  <c r="E28" i="15"/>
  <c r="E16" i="16"/>
  <c r="D28" i="15"/>
  <c r="F16" i="16"/>
  <c r="F23" i="15" l="1"/>
  <c r="F25" i="15" s="1"/>
  <c r="F26" i="15"/>
  <c r="E29" i="15"/>
  <c r="E30" i="15" s="1"/>
  <c r="D29" i="15"/>
  <c r="D30" i="15" s="1"/>
  <c r="D7" i="2"/>
  <c r="D15" i="18" s="1"/>
  <c r="G23" i="15" l="1"/>
  <c r="F28" i="15"/>
  <c r="F29" i="15" s="1"/>
  <c r="F30" i="15" s="1"/>
  <c r="E7" i="2"/>
  <c r="E15" i="18" s="1"/>
  <c r="F7" i="2"/>
  <c r="F15" i="18" s="1"/>
  <c r="C7" i="2" l="1"/>
  <c r="D16" i="18"/>
  <c r="E16" i="18"/>
  <c r="F16" i="18"/>
  <c r="D11" i="2"/>
  <c r="E11" i="2"/>
  <c r="F11" i="2"/>
  <c r="C11" i="2" l="1"/>
  <c r="D12" i="2"/>
  <c r="D15" i="2" s="1"/>
  <c r="D40" i="15" s="1"/>
  <c r="F12" i="2" l="1"/>
  <c r="F15" i="2" s="1"/>
  <c r="F40" i="15" s="1"/>
  <c r="C16" i="2"/>
  <c r="E12" i="2"/>
  <c r="E15" i="2" s="1"/>
  <c r="E40" i="15" s="1"/>
  <c r="F16" i="2" l="1"/>
  <c r="F17" i="2" s="1"/>
  <c r="C17" i="2"/>
  <c r="D16" i="2"/>
  <c r="E16" i="2"/>
  <c r="E13" i="17" l="1"/>
  <c r="D13" i="17"/>
  <c r="D17" i="2"/>
  <c r="F13" i="17"/>
  <c r="E17" i="2"/>
  <c r="F20" i="18" l="1"/>
  <c r="D20" i="18"/>
  <c r="D15" i="17"/>
  <c r="E20" i="18"/>
  <c r="D22" i="18"/>
  <c r="D25" i="18" s="1"/>
  <c r="D26" i="18" s="1"/>
  <c r="D20" i="16"/>
  <c r="D4" i="16" l="1"/>
  <c r="D7" i="16" s="1"/>
  <c r="E24" i="18"/>
  <c r="D22" i="16"/>
  <c r="D23" i="16" s="1"/>
  <c r="E11" i="17"/>
  <c r="E15" i="17" s="1"/>
  <c r="F11" i="17" l="1"/>
  <c r="F15" i="17" s="1"/>
  <c r="E22" i="16"/>
  <c r="D55" i="2"/>
  <c r="E20" i="16"/>
  <c r="E23" i="16" s="1"/>
  <c r="E22" i="18"/>
  <c r="E25" i="18" s="1"/>
  <c r="E26" i="18" s="1"/>
  <c r="E4" i="16" l="1"/>
  <c r="E7" i="16" s="1"/>
  <c r="F24" i="18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22" i="18"/>
  <c r="F25" i="18" s="1"/>
  <c r="F26" i="18" s="1"/>
  <c r="F4" i="16" l="1"/>
  <c r="F7" i="16" s="1"/>
  <c r="G24" i="18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6" i="18" l="1"/>
  <c r="M19" i="14"/>
  <c r="H6" i="18"/>
  <c r="H19" i="14"/>
  <c r="J6" i="18"/>
  <c r="J19" i="14"/>
  <c r="G6" i="18"/>
  <c r="G19" i="14"/>
  <c r="N6" i="18"/>
  <c r="N19" i="14"/>
  <c r="L6" i="18"/>
  <c r="L19" i="14"/>
  <c r="P6" i="18"/>
  <c r="P19" i="14"/>
  <c r="O6" i="18"/>
  <c r="O19" i="14"/>
  <c r="I19" i="14"/>
  <c r="I6" i="18"/>
  <c r="K6" i="18"/>
  <c r="K19" i="14"/>
  <c r="G34" i="12"/>
  <c r="K7" i="15" l="1"/>
  <c r="H7" i="15"/>
  <c r="O7" i="15"/>
  <c r="G7" i="15"/>
  <c r="P7" i="15"/>
  <c r="N7" i="15"/>
  <c r="J7" i="15"/>
  <c r="M7" i="15"/>
  <c r="L7" i="15"/>
  <c r="H31" i="12"/>
  <c r="H34" i="12" s="1"/>
  <c r="G10" i="16"/>
  <c r="I7" i="15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I26" i="14" s="1"/>
  <c r="I8" i="15" s="1"/>
  <c r="I13" i="15" s="1"/>
  <c r="J24" i="14"/>
  <c r="J26" i="14" s="1"/>
  <c r="J8" i="15" s="1"/>
  <c r="J13" i="15" s="1"/>
  <c r="K24" i="14"/>
  <c r="K26" i="14" s="1"/>
  <c r="L24" i="14"/>
  <c r="L26" i="14" s="1"/>
  <c r="M24" i="14"/>
  <c r="M26" i="14" s="1"/>
  <c r="M8" i="15" s="1"/>
  <c r="M13" i="15" s="1"/>
  <c r="N24" i="14"/>
  <c r="N26" i="14" s="1"/>
  <c r="N8" i="15" s="1"/>
  <c r="N13" i="15" s="1"/>
  <c r="O24" i="14"/>
  <c r="O26" i="14" s="1"/>
  <c r="P24" i="14"/>
  <c r="P26" i="14" s="1"/>
  <c r="J27" i="14" l="1"/>
  <c r="J12" i="17" s="1"/>
  <c r="N27" i="14"/>
  <c r="N4" i="18"/>
  <c r="N9" i="18" s="1"/>
  <c r="N12" i="18" s="1"/>
  <c r="N12" i="17"/>
  <c r="L8" i="15"/>
  <c r="L13" i="15" s="1"/>
  <c r="L27" i="14"/>
  <c r="O8" i="15"/>
  <c r="O13" i="15" s="1"/>
  <c r="O27" i="14"/>
  <c r="G8" i="15"/>
  <c r="G13" i="15" s="1"/>
  <c r="G27" i="14"/>
  <c r="P8" i="15"/>
  <c r="P13" i="15" s="1"/>
  <c r="P27" i="14"/>
  <c r="H8" i="15"/>
  <c r="H13" i="15" s="1"/>
  <c r="H27" i="14"/>
  <c r="K8" i="15"/>
  <c r="K13" i="15" s="1"/>
  <c r="K27" i="14"/>
  <c r="M27" i="14"/>
  <c r="I27" i="14"/>
  <c r="J4" i="18" l="1"/>
  <c r="J9" i="18" s="1"/>
  <c r="J12" i="18" s="1"/>
  <c r="K4" i="18"/>
  <c r="K9" i="18" s="1"/>
  <c r="K12" i="18" s="1"/>
  <c r="K12" i="17"/>
  <c r="P12" i="17"/>
  <c r="P4" i="18"/>
  <c r="P9" i="18" s="1"/>
  <c r="P12" i="18" s="1"/>
  <c r="G4" i="18"/>
  <c r="G9" i="18" s="1"/>
  <c r="G12" i="18" s="1"/>
  <c r="G12" i="17"/>
  <c r="L12" i="17"/>
  <c r="L4" i="18"/>
  <c r="L9" i="18" s="1"/>
  <c r="L12" i="18" s="1"/>
  <c r="I12" i="17"/>
  <c r="I4" i="18"/>
  <c r="I9" i="18" s="1"/>
  <c r="I12" i="18" s="1"/>
  <c r="G15" i="15"/>
  <c r="M12" i="17"/>
  <c r="M4" i="18"/>
  <c r="M9" i="18" s="1"/>
  <c r="M12" i="18" s="1"/>
  <c r="H12" i="17"/>
  <c r="H4" i="18"/>
  <c r="H9" i="18" s="1"/>
  <c r="H12" i="18" s="1"/>
  <c r="O4" i="18"/>
  <c r="O9" i="18" s="1"/>
  <c r="O12" i="18" s="1"/>
  <c r="O12" i="17"/>
  <c r="G24" i="15" l="1"/>
  <c r="G25" i="15" l="1"/>
  <c r="G16" i="16" l="1"/>
  <c r="G26" i="15"/>
  <c r="G28" i="15"/>
  <c r="H23" i="15"/>
  <c r="G29" i="15" l="1"/>
  <c r="G30" i="15" s="1"/>
  <c r="G17" i="15" s="1"/>
  <c r="G32" i="15" s="1"/>
  <c r="H16" i="16"/>
  <c r="I16" i="16"/>
  <c r="J16" i="16"/>
  <c r="K16" i="16"/>
  <c r="K20" i="16" s="1"/>
  <c r="L16" i="16"/>
  <c r="M16" i="16"/>
  <c r="M20" i="16" s="1"/>
  <c r="N16" i="16"/>
  <c r="N20" i="16" s="1"/>
  <c r="O16" i="16"/>
  <c r="P16" i="16"/>
  <c r="P20" i="16" s="1"/>
  <c r="G20" i="16"/>
  <c r="H20" i="16"/>
  <c r="I20" i="16"/>
  <c r="J20" i="16"/>
  <c r="L20" i="16"/>
  <c r="O20" i="16"/>
  <c r="G15" i="17"/>
  <c r="H11" i="17" s="1"/>
  <c r="H15" i="17" s="1"/>
  <c r="G21" i="18"/>
  <c r="H21" i="18"/>
  <c r="H22" i="18" s="1"/>
  <c r="H25" i="18" s="1"/>
  <c r="I21" i="18"/>
  <c r="I22" i="18" s="1"/>
  <c r="I25" i="18" s="1"/>
  <c r="J21" i="18"/>
  <c r="J22" i="18" s="1"/>
  <c r="J25" i="18" s="1"/>
  <c r="K21" i="18"/>
  <c r="L21" i="18"/>
  <c r="L22" i="18" s="1"/>
  <c r="L25" i="18" s="1"/>
  <c r="M21" i="18"/>
  <c r="N21" i="18"/>
  <c r="O21" i="18"/>
  <c r="P21" i="18"/>
  <c r="P22" i="18" s="1"/>
  <c r="P25" i="18" s="1"/>
  <c r="G22" i="18"/>
  <c r="G25" i="18" s="1"/>
  <c r="G26" i="18" s="1"/>
  <c r="K22" i="18"/>
  <c r="K25" i="18" s="1"/>
  <c r="M22" i="18"/>
  <c r="M25" i="18" s="1"/>
  <c r="N22" i="18"/>
  <c r="N25" i="18" s="1"/>
  <c r="O22" i="18"/>
  <c r="O25" i="18" s="1"/>
  <c r="I15" i="15"/>
  <c r="J15" i="15"/>
  <c r="M15" i="15"/>
  <c r="N15" i="15"/>
  <c r="H15" i="15"/>
  <c r="H24" i="15" s="1"/>
  <c r="K15" i="15"/>
  <c r="L15" i="15"/>
  <c r="O15" i="15"/>
  <c r="P15" i="15"/>
  <c r="H25" i="15" l="1"/>
  <c r="H28" i="15" s="1"/>
  <c r="G22" i="16"/>
  <c r="G23" i="16" s="1"/>
  <c r="H29" i="15"/>
  <c r="H22" i="16"/>
  <c r="H23" i="16" s="1"/>
  <c r="I11" i="17"/>
  <c r="I15" i="17" s="1"/>
  <c r="G4" i="16"/>
  <c r="G7" i="16" s="1"/>
  <c r="G12" i="16" s="1"/>
  <c r="G25" i="16" s="1"/>
  <c r="H24" i="18"/>
  <c r="H26" i="18" s="1"/>
  <c r="I23" i="15"/>
  <c r="I24" i="15" s="1"/>
  <c r="H26" i="15"/>
  <c r="H30" i="15" l="1"/>
  <c r="H17" i="15" s="1"/>
  <c r="H32" i="15" s="1"/>
  <c r="I25" i="15"/>
  <c r="I22" i="16"/>
  <c r="I23" i="16" s="1"/>
  <c r="J11" i="17"/>
  <c r="J15" i="17" s="1"/>
  <c r="H4" i="16"/>
  <c r="H7" i="16" s="1"/>
  <c r="H12" i="16" s="1"/>
  <c r="H25" i="16" s="1"/>
  <c r="I24" i="18"/>
  <c r="I26" i="18" s="1"/>
  <c r="J24" i="18" l="1"/>
  <c r="J26" i="18" s="1"/>
  <c r="I4" i="16"/>
  <c r="I7" i="16" s="1"/>
  <c r="I12" i="16" s="1"/>
  <c r="I25" i="16" s="1"/>
  <c r="I28" i="15"/>
  <c r="J23" i="15"/>
  <c r="I26" i="15"/>
  <c r="K11" i="17"/>
  <c r="K15" i="17" s="1"/>
  <c r="J22" i="16"/>
  <c r="J23" i="16" s="1"/>
  <c r="I29" i="15" l="1"/>
  <c r="I30" i="15" s="1"/>
  <c r="I17" i="15" s="1"/>
  <c r="I32" i="15" s="1"/>
  <c r="L11" i="17"/>
  <c r="L15" i="17" s="1"/>
  <c r="K22" i="16"/>
  <c r="K23" i="16" s="1"/>
  <c r="J24" i="15"/>
  <c r="J4" i="16"/>
  <c r="J7" i="16" s="1"/>
  <c r="J12" i="16" s="1"/>
  <c r="J25" i="16" s="1"/>
  <c r="K24" i="18"/>
  <c r="K26" i="18" s="1"/>
  <c r="J25" i="15" l="1"/>
  <c r="K23" i="15"/>
  <c r="J28" i="15"/>
  <c r="J26" i="15"/>
  <c r="L22" i="16"/>
  <c r="L23" i="16" s="1"/>
  <c r="M11" i="17"/>
  <c r="M15" i="17" s="1"/>
  <c r="K4" i="16"/>
  <c r="K7" i="16" s="1"/>
  <c r="K12" i="16" s="1"/>
  <c r="K25" i="16" s="1"/>
  <c r="L24" i="18"/>
  <c r="L26" i="18" s="1"/>
  <c r="M24" i="18" l="1"/>
  <c r="M26" i="18" s="1"/>
  <c r="L4" i="16"/>
  <c r="L7" i="16" s="1"/>
  <c r="L12" i="16" s="1"/>
  <c r="L25" i="16" s="1"/>
  <c r="J29" i="15"/>
  <c r="J30" i="15" s="1"/>
  <c r="J17" i="15" s="1"/>
  <c r="J32" i="15" s="1"/>
  <c r="M22" i="16"/>
  <c r="M23" i="16" s="1"/>
  <c r="N11" i="17"/>
  <c r="N15" i="17" s="1"/>
  <c r="K24" i="15"/>
  <c r="K25" i="15" l="1"/>
  <c r="K28" i="15"/>
  <c r="L23" i="15"/>
  <c r="K26" i="15"/>
  <c r="O11" i="17"/>
  <c r="O15" i="17" s="1"/>
  <c r="N22" i="16"/>
  <c r="N23" i="16" s="1"/>
  <c r="M4" i="16"/>
  <c r="M7" i="16" s="1"/>
  <c r="M12" i="16" s="1"/>
  <c r="M25" i="16" s="1"/>
  <c r="N24" i="18"/>
  <c r="N26" i="18" s="1"/>
  <c r="N4" i="16" l="1"/>
  <c r="N7" i="16" s="1"/>
  <c r="N12" i="16" s="1"/>
  <c r="N25" i="16" s="1"/>
  <c r="O24" i="18"/>
  <c r="O26" i="18" s="1"/>
  <c r="L24" i="15"/>
  <c r="P11" i="17"/>
  <c r="P15" i="17" s="1"/>
  <c r="P22" i="16" s="1"/>
  <c r="P23" i="16" s="1"/>
  <c r="O22" i="16"/>
  <c r="O23" i="16" s="1"/>
  <c r="K29" i="15"/>
  <c r="K30" i="15" s="1"/>
  <c r="K17" i="15" s="1"/>
  <c r="K32" i="15" s="1"/>
  <c r="L25" i="15" l="1"/>
  <c r="M23" i="15"/>
  <c r="L28" i="15"/>
  <c r="L26" i="15"/>
  <c r="O4" i="16"/>
  <c r="O7" i="16" s="1"/>
  <c r="O12" i="16" s="1"/>
  <c r="O25" i="16" s="1"/>
  <c r="P24" i="18"/>
  <c r="P26" i="18" s="1"/>
  <c r="P4" i="16" s="1"/>
  <c r="P7" i="16" s="1"/>
  <c r="P12" i="16" s="1"/>
  <c r="P25" i="16" s="1"/>
  <c r="L29" i="15" l="1"/>
  <c r="L30" i="15" s="1"/>
  <c r="L17" i="15" s="1"/>
  <c r="L32" i="15" s="1"/>
  <c r="M24" i="15"/>
  <c r="M25" i="15" l="1"/>
  <c r="M28" i="15"/>
  <c r="N23" i="15"/>
  <c r="M26" i="15"/>
  <c r="N24" i="15" l="1"/>
  <c r="M29" i="15"/>
  <c r="M30" i="15" s="1"/>
  <c r="M17" i="15" s="1"/>
  <c r="M32" i="15" s="1"/>
  <c r="N25" i="15" l="1"/>
  <c r="N28" i="15"/>
  <c r="O23" i="15"/>
  <c r="N26" i="15"/>
  <c r="N29" i="15" l="1"/>
  <c r="N30" i="15" s="1"/>
  <c r="N17" i="15" s="1"/>
  <c r="N32" i="15" s="1"/>
  <c r="O24" i="15"/>
  <c r="O25" i="15" l="1"/>
  <c r="O28" i="15"/>
  <c r="P23" i="15"/>
  <c r="O26" i="15"/>
  <c r="O29" i="15" l="1"/>
  <c r="O30" i="15" s="1"/>
  <c r="O17" i="15" s="1"/>
  <c r="O32" i="15" s="1"/>
  <c r="P24" i="15"/>
  <c r="P25" i="15" l="1"/>
  <c r="P28" i="15"/>
  <c r="P29" i="15" s="1"/>
  <c r="P26" i="15"/>
  <c r="P30" i="15" s="1"/>
  <c r="P17" i="15" s="1"/>
  <c r="P32" i="15" s="1"/>
  <c r="D42" i="15"/>
  <c r="D43" i="15" s="1"/>
  <c r="E42" i="15"/>
  <c r="E39" i="15" l="1"/>
  <c r="E43" i="15" s="1"/>
  <c r="E44" i="15" s="1"/>
  <c r="D44" i="15"/>
  <c r="D46" i="15"/>
  <c r="F39" i="15" l="1"/>
  <c r="F43" i="15" s="1"/>
  <c r="E46" i="15"/>
  <c r="F44" i="15"/>
  <c r="D47" i="15"/>
  <c r="D48" i="15" s="1"/>
  <c r="E47" i="15"/>
  <c r="E48" i="15" s="1"/>
  <c r="G39" i="15" l="1"/>
  <c r="F46" i="15"/>
  <c r="F47" i="15" s="1"/>
  <c r="F48" i="15" s="1"/>
  <c r="G41" i="15" l="1"/>
  <c r="G53" i="15" s="1"/>
  <c r="G43" i="15" l="1"/>
  <c r="G44" i="15" l="1"/>
  <c r="G48" i="15" s="1"/>
  <c r="H39" i="15"/>
  <c r="H41" i="15" l="1"/>
  <c r="H53" i="15" l="1"/>
  <c r="H43" i="15"/>
  <c r="H44" i="15" l="1"/>
  <c r="I39" i="15"/>
  <c r="I41" i="15" l="1"/>
  <c r="I43" i="15"/>
  <c r="H48" i="15"/>
  <c r="G50" i="15"/>
  <c r="G54" i="15" s="1"/>
  <c r="G55" i="15" s="1"/>
  <c r="H52" i="15" s="1"/>
  <c r="J39" i="15" l="1"/>
  <c r="I44" i="15"/>
  <c r="I48" i="15" s="1"/>
  <c r="H50" i="15"/>
  <c r="H54" i="15" s="1"/>
  <c r="H55" i="15" s="1"/>
  <c r="I52" i="15" s="1"/>
  <c r="I53" i="15"/>
  <c r="J41" i="15" l="1"/>
  <c r="J43" i="15"/>
  <c r="K39" i="15" l="1"/>
  <c r="J44" i="15"/>
  <c r="J48" i="15" s="1"/>
  <c r="I50" i="15"/>
  <c r="I54" i="15" s="1"/>
  <c r="I55" i="15" s="1"/>
  <c r="J52" i="15" s="1"/>
  <c r="J53" i="15"/>
  <c r="K41" i="15" l="1"/>
  <c r="K43" i="15"/>
  <c r="L39" i="15" l="1"/>
  <c r="K44" i="15"/>
  <c r="K48" i="15" s="1"/>
  <c r="J50" i="15"/>
  <c r="J54" i="15" s="1"/>
  <c r="J55" i="15" s="1"/>
  <c r="K52" i="15" s="1"/>
  <c r="K53" i="15"/>
  <c r="L41" i="15" l="1"/>
  <c r="L43" i="15"/>
  <c r="M39" i="15" l="1"/>
  <c r="L44" i="15"/>
  <c r="L48" i="15" s="1"/>
  <c r="K50" i="15"/>
  <c r="K54" i="15" s="1"/>
  <c r="K55" i="15" s="1"/>
  <c r="L52" i="15" s="1"/>
  <c r="L53" i="15"/>
  <c r="M41" i="15" l="1"/>
  <c r="M43" i="15"/>
  <c r="N39" i="15" l="1"/>
  <c r="M44" i="15"/>
  <c r="M48" i="15" s="1"/>
  <c r="L50" i="15"/>
  <c r="L54" i="15" s="1"/>
  <c r="L55" i="15" s="1"/>
  <c r="M52" i="15" s="1"/>
  <c r="M53" i="15"/>
  <c r="N41" i="15" l="1"/>
  <c r="N43" i="15"/>
  <c r="O39" i="15" l="1"/>
  <c r="N44" i="15"/>
  <c r="N48" i="15" s="1"/>
  <c r="N53" i="15"/>
  <c r="M50" i="15" l="1"/>
  <c r="M54" i="15" s="1"/>
  <c r="M55" i="15" s="1"/>
  <c r="N52" i="15" s="1"/>
  <c r="O41" i="15"/>
  <c r="O43" i="15" s="1"/>
  <c r="P39" i="15" l="1"/>
  <c r="O44" i="15"/>
  <c r="O48" i="15" s="1"/>
  <c r="O53" i="15"/>
  <c r="P41" i="15" l="1"/>
  <c r="P43" i="15"/>
  <c r="P44" i="15" s="1"/>
  <c r="P48" i="15" s="1"/>
  <c r="N50" i="15"/>
  <c r="N54" i="15" s="1"/>
  <c r="N55" i="15" s="1"/>
  <c r="O52" i="15" s="1"/>
  <c r="O50" i="15" l="1"/>
  <c r="O54" i="15" s="1"/>
  <c r="O55" i="15" s="1"/>
  <c r="P52" i="15" s="1"/>
  <c r="P54" i="15" s="1"/>
  <c r="P55" i="15" s="1"/>
  <c r="P5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<sst xmlns="http://schemas.openxmlformats.org/spreadsheetml/2006/main" count="355" uniqueCount="201">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</sst>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92.974752028294148</v>
      </c>
      <c r="H4">
        <f>IS!H27</f>
        <v>163.32260805658825</v>
      </c>
      <c r="I4">
        <f>IS!I27</f>
        <v>246.98391208488229</v>
      </c>
      <c r="J4">
        <f>IS!J27</f>
        <v>246.18391208488219</v>
      </c>
      <c r="K4">
        <f>IS!K27</f>
        <v>245.3839120848823</v>
      </c>
      <c r="L4">
        <f>IS!L27</f>
        <v>244.58391208488229</v>
      </c>
      <c r="M4">
        <f>IS!M27</f>
        <v>243.78391208488227</v>
      </c>
      <c r="N4">
        <f>IS!N27</f>
        <v>120.25808644527058</v>
      </c>
      <c r="O4">
        <f>IS!O27</f>
        <v>14.264521611317656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12.084559964632415</v>
      </c>
      <c r="H6" s="73">
        <f>-IS!H17</f>
        <v>24.169119929264831</v>
      </c>
      <c r="I6" s="73">
        <f>-IS!I17</f>
        <v>36.25367989389725</v>
      </c>
      <c r="J6" s="73">
        <f>-IS!J17</f>
        <v>36.253679893897271</v>
      </c>
      <c r="K6" s="73">
        <f>-IS!K17</f>
        <v>36.25367989389725</v>
      </c>
      <c r="L6" s="73">
        <f>-IS!L17</f>
        <v>36.253679893897264</v>
      </c>
      <c r="M6" s="73">
        <f>-IS!M17</f>
        <v>36.253679893897257</v>
      </c>
      <c r="N6" s="73">
        <f>-IS!N17</f>
        <v>19.335295943411875</v>
      </c>
      <c r="O6" s="73">
        <f>-IS!O17</f>
        <v>4.8338239858529679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0</v>
      </c>
      <c r="H7" s="73">
        <f>-IS!H23</f>
        <v>0</v>
      </c>
      <c r="I7" s="73">
        <f>-IS!I23</f>
        <v>0</v>
      </c>
      <c r="J7" s="73">
        <f>-IS!J23</f>
        <v>0</v>
      </c>
      <c r="K7" s="73">
        <f>-IS!K23</f>
        <v>0</v>
      </c>
      <c r="L7" s="73">
        <f>-IS!L23</f>
        <v>0</v>
      </c>
      <c r="M7" s="73">
        <f>-IS!M23</f>
        <v>0</v>
      </c>
      <c r="N7" s="73">
        <f>-IS!N23</f>
        <v>0</v>
      </c>
      <c r="O7" s="73">
        <f>-IS!O23</f>
        <v>0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212.15931199292652</v>
      </c>
      <c r="H9">
        <f t="shared" si="2"/>
        <v>401.69172798585299</v>
      </c>
      <c r="I9">
        <f t="shared" si="2"/>
        <v>604.53759197877946</v>
      </c>
      <c r="J9">
        <f t="shared" si="2"/>
        <v>603.73759197877951</v>
      </c>
      <c r="K9">
        <f t="shared" si="2"/>
        <v>602.93759197877944</v>
      </c>
      <c r="L9">
        <f t="shared" si="2"/>
        <v>602.13759197877948</v>
      </c>
      <c r="M9">
        <f t="shared" si="2"/>
        <v>601.33759197877953</v>
      </c>
      <c r="N9">
        <f t="shared" si="2"/>
        <v>300.95338238868248</v>
      </c>
      <c r="O9">
        <f t="shared" si="2"/>
        <v>1.9383455971706169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194.75684623950184</v>
      </c>
      <c r="H12">
        <f t="shared" si="3"/>
        <v>385.55067593105849</v>
      </c>
      <c r="I12">
        <f t="shared" si="3"/>
        <v>586.78733992398497</v>
      </c>
      <c r="J12">
        <f t="shared" si="3"/>
        <v>603.73759197877951</v>
      </c>
      <c r="K12">
        <f t="shared" si="3"/>
        <v>602.93759197877944</v>
      </c>
      <c r="L12">
        <f t="shared" si="3"/>
        <v>602.13759197877948</v>
      </c>
      <c r="M12">
        <f t="shared" si="3"/>
        <v>601.33759197877953</v>
      </c>
      <c r="N12">
        <f t="shared" si="3"/>
        <v>325.80373526539483</v>
      </c>
      <c r="O12">
        <f t="shared" si="3"/>
        <v>23.238648062924046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>-'S&amp;U'!D7</f>
        <v>-203</v>
      </c>
      <c r="E15">
        <f>-'S&amp;U'!E7</f>
        <v>-0.8</v>
      </c>
      <c r="F15">
        <f>-'S&amp;U'!F7</f>
        <v>-0.7</v>
      </c>
    </row>
    <row r="16" spans="1:16" ht="15" customHeight="1" x14ac:dyDescent="0.45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45">
      <c r="A19"/>
      <c r="B19" s="16" t="s">
        <v>178</v>
      </c>
      <c r="D19">
        <f>BS!D18-BS!C18</f>
        <v>0</v>
      </c>
      <c r="E19">
        <f>BS!E18-BS!D18</f>
        <v>0</v>
      </c>
      <c r="F19">
        <f>BS!F18-BS!E18</f>
        <v>0</v>
      </c>
      <c r="G19">
        <f>BS!G18-BS!F18</f>
        <v>0</v>
      </c>
      <c r="H19">
        <f>BS!H18-BS!G18</f>
        <v>0</v>
      </c>
      <c r="I19">
        <f>BS!I18-BS!H18</f>
        <v>0</v>
      </c>
      <c r="J19">
        <f>BS!J18-BS!I18</f>
        <v>0</v>
      </c>
      <c r="K19">
        <f>BS!K18-BS!J18</f>
        <v>0</v>
      </c>
      <c r="L19">
        <f>BS!L18-BS!K18</f>
        <v>0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45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>SUM(D18:D21)</f>
        <v>119.27917558120706</v>
      </c>
      <c r="E22">
        <f t="shared" ref="E22:P22" si="5">SUM(E18:E21)</f>
        <v>384.86998742364403</v>
      </c>
      <c r="F22">
        <f t="shared" si="5"/>
        <v>332.59353758223295</v>
      </c>
      <c r="G22">
        <f t="shared" si="5"/>
        <v>0</v>
      </c>
      <c r="H22">
        <f t="shared" si="5"/>
        <v>0</v>
      </c>
      <c r="I22">
        <f t="shared" si="5"/>
        <v>0</v>
      </c>
      <c r="J22">
        <f t="shared" si="5"/>
        <v>0</v>
      </c>
      <c r="K22">
        <f t="shared" si="5"/>
        <v>0</v>
      </c>
      <c r="L22">
        <f t="shared" si="5"/>
        <v>0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si="6">D26</f>
        <v>-263.72082441879297</v>
      </c>
      <c r="F24">
        <f t="shared" si="6"/>
        <v>-1114.6508369951489</v>
      </c>
      <c r="G24">
        <f t="shared" si="6"/>
        <v>-1511.7142857142858</v>
      </c>
      <c r="H24">
        <f t="shared" si="6"/>
        <v>-1316.957439474784</v>
      </c>
      <c r="I24">
        <f t="shared" si="6"/>
        <v>-931.40676354372545</v>
      </c>
      <c r="J24">
        <f t="shared" si="6"/>
        <v>-344.61942361974047</v>
      </c>
      <c r="K24">
        <f t="shared" si="6"/>
        <v>259.11816835903903</v>
      </c>
      <c r="L24">
        <f t="shared" si="6"/>
        <v>862.05576033781847</v>
      </c>
      <c r="M24">
        <f t="shared" si="6"/>
        <v>1464.1933523165981</v>
      </c>
      <c r="N24">
        <f t="shared" si="6"/>
        <v>2065.5309442953776</v>
      </c>
      <c r="O24">
        <f t="shared" si="6"/>
        <v>2391.3346795607722</v>
      </c>
      <c r="P24">
        <f t="shared" si="6"/>
        <v>2414.5733276236961</v>
      </c>
    </row>
    <row r="25" spans="1:16" ht="15" customHeight="1" x14ac:dyDescent="0.45">
      <c r="A25"/>
      <c r="B25" s="16" t="s">
        <v>157</v>
      </c>
      <c r="D25">
        <f>D12+D16+D22</f>
        <v>-263.72082441879297</v>
      </c>
      <c r="E25">
        <f t="shared" ref="E25:P25" si="7">E12+E16+E22</f>
        <v>-850.93001257635592</v>
      </c>
      <c r="F25">
        <f t="shared" si="7"/>
        <v>-397.06344871913694</v>
      </c>
      <c r="G25">
        <f t="shared" si="7"/>
        <v>194.75684623950184</v>
      </c>
      <c r="H25">
        <f t="shared" si="7"/>
        <v>385.55067593105849</v>
      </c>
      <c r="I25">
        <f t="shared" si="7"/>
        <v>586.78733992398497</v>
      </c>
      <c r="J25">
        <f t="shared" si="7"/>
        <v>603.73759197877951</v>
      </c>
      <c r="K25">
        <f t="shared" si="7"/>
        <v>602.93759197877944</v>
      </c>
      <c r="L25">
        <f t="shared" si="7"/>
        <v>602.13759197877948</v>
      </c>
      <c r="M25">
        <f t="shared" si="7"/>
        <v>601.33759197877953</v>
      </c>
      <c r="N25">
        <f t="shared" si="7"/>
        <v>325.80373526539483</v>
      </c>
      <c r="O25">
        <f t="shared" si="7"/>
        <v>23.238648062924046</v>
      </c>
      <c r="P25">
        <f t="shared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>SUM(D24:D25)</f>
        <v>-263.72082441879297</v>
      </c>
      <c r="E26">
        <f t="shared" ref="E26:P26" si="8">SUM(E24:E25)</f>
        <v>-1114.6508369951489</v>
      </c>
      <c r="F26">
        <f t="shared" si="8"/>
        <v>-1511.7142857142858</v>
      </c>
      <c r="G26">
        <f t="shared" si="8"/>
        <v>-1316.957439474784</v>
      </c>
      <c r="H26">
        <f t="shared" si="8"/>
        <v>-931.40676354372545</v>
      </c>
      <c r="I26">
        <f t="shared" si="8"/>
        <v>-344.61942361974047</v>
      </c>
      <c r="J26">
        <f t="shared" si="8"/>
        <v>259.11816835903903</v>
      </c>
      <c r="K26">
        <f t="shared" si="8"/>
        <v>862.05576033781847</v>
      </c>
      <c r="L26">
        <f t="shared" si="8"/>
        <v>1464.1933523165981</v>
      </c>
      <c r="M26">
        <f t="shared" si="8"/>
        <v>2065.5309442953776</v>
      </c>
      <c r="N26">
        <f t="shared" si="8"/>
        <v>2391.3346795607722</v>
      </c>
      <c r="O26">
        <f t="shared" si="8"/>
        <v>2414.5733276236961</v>
      </c>
      <c r="P26">
        <f t="shared" si="8"/>
        <v>2421.6734284456138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2" t="s">
        <v>0</v>
      </c>
      <c r="C4" s="82"/>
      <c r="D4" s="82"/>
      <c r="E4" s="82"/>
      <c r="F4" s="82"/>
      <c r="G4" s="82"/>
      <c r="H4" s="82"/>
      <c r="I4" s="82"/>
      <c r="K4" s="1"/>
      <c r="L4" s="82" t="s">
        <v>2</v>
      </c>
      <c r="M4" s="82"/>
      <c r="N4" s="82"/>
      <c r="O4" s="82"/>
      <c r="P4" s="82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5" t="s">
        <v>168</v>
      </c>
      <c r="O5" s="85"/>
      <c r="P5" s="85"/>
      <c r="Q5" s="85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5" t="s">
        <v>26</v>
      </c>
      <c r="O7" s="85"/>
      <c r="P7" s="85"/>
      <c r="Q7" s="85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5" t="s">
        <v>9</v>
      </c>
      <c r="O8" s="85"/>
      <c r="P8" s="85"/>
      <c r="Q8" s="85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5" t="s">
        <v>10</v>
      </c>
      <c r="O9" s="85"/>
      <c r="P9" s="85"/>
      <c r="Q9" s="85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3" t="s">
        <v>17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1"/>
      <c r="O13" s="82" t="s">
        <v>12</v>
      </c>
      <c r="P13" s="82"/>
      <c r="Q13" s="82"/>
      <c r="R13" s="58"/>
    </row>
    <row r="14" spans="1:18" s="2" customFormat="1" ht="15" customHeight="1" x14ac:dyDescent="0.45">
      <c r="A14" s="56"/>
      <c r="B14" s="84" t="s">
        <v>23</v>
      </c>
      <c r="C14" s="84"/>
      <c r="D14" s="84" t="s">
        <v>21</v>
      </c>
      <c r="E14" s="84"/>
      <c r="F14" s="84"/>
      <c r="G14" s="84"/>
      <c r="H14" s="84"/>
      <c r="I14" s="84"/>
      <c r="J14" s="84"/>
      <c r="K14" s="84"/>
      <c r="L14" s="84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4" t="s">
        <v>22</v>
      </c>
      <c r="C15" s="84"/>
      <c r="D15" s="84" t="s">
        <v>21</v>
      </c>
      <c r="E15" s="84"/>
      <c r="F15" s="84"/>
      <c r="G15" s="84"/>
      <c r="H15" s="84"/>
      <c r="I15" s="84"/>
      <c r="J15" s="84"/>
      <c r="K15" s="84"/>
      <c r="L15" s="84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tabSelected="1" zoomScaleNormal="100" zoomScaleSheetLayoutView="150" workbookViewId="0">
      <pane xSplit="2" ySplit="2" topLeftCell="C3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  <c r="G7">
        <f>IS!G19-IS!G17-IS!G11</f>
        <v>235.40300000000008</v>
      </c>
      <c r="H7">
        <f>IS!H19-IS!H17-IS!H11</f>
        <v>442.52238000000011</v>
      </c>
      <c r="I7">
        <f>IS!I19-IS!I17-IS!I11</f>
        <v>666.28357000000005</v>
      </c>
      <c r="J7">
        <f>IS!J19-IS!J17-IS!J11</f>
        <v>665.28357000000005</v>
      </c>
      <c r="K7">
        <f>IS!K19-IS!K17-IS!K11</f>
        <v>664.28357000000005</v>
      </c>
      <c r="L7">
        <f>IS!L19-IS!L17-IS!L11</f>
        <v>663.28357000000005</v>
      </c>
      <c r="M7">
        <f>IS!M19-IS!M17-IS!M11</f>
        <v>662.28357000000005</v>
      </c>
      <c r="N7">
        <f>IS!N19-IS!N17-IS!N11</f>
        <v>341.0179040000001</v>
      </c>
      <c r="O7">
        <f>IS!O19-IS!O17-IS!O11</f>
        <v>65.504476000000039</v>
      </c>
      <c r="P7">
        <f>IS!P19-IS!P17-IS!P11</f>
        <v>0</v>
      </c>
    </row>
    <row r="8" spans="1:16" ht="15" customHeight="1" x14ac:dyDescent="0.45">
      <c r="B8" s="16" t="str">
        <f>IS!B26</f>
        <v>Tax expense</v>
      </c>
      <c r="G8">
        <f>IS!G26</f>
        <v>-23.243688007073541</v>
      </c>
      <c r="H8">
        <f>IS!H26</f>
        <v>-40.830652014147063</v>
      </c>
      <c r="I8">
        <f>IS!I26</f>
        <v>-61.745978021220573</v>
      </c>
      <c r="J8">
        <f>IS!J26</f>
        <v>-61.545978021220549</v>
      </c>
      <c r="K8">
        <f>IS!K26</f>
        <v>-61.345978021220574</v>
      </c>
      <c r="L8">
        <f>IS!L26</f>
        <v>-61.145978021220571</v>
      </c>
      <c r="M8">
        <f>IS!M26</f>
        <v>-60.945978021220576</v>
      </c>
      <c r="N8">
        <f>IS!N26</f>
        <v>-30.064521611317645</v>
      </c>
      <c r="O8">
        <f>IS!O26</f>
        <v>-3.5661304028294141</v>
      </c>
      <c r="P8">
        <f>IS!P26</f>
        <v>0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191</v>
      </c>
      <c r="G13">
        <f t="shared" ref="G13:P13" si="3">SUM(G7:G12)</f>
        <v>194.75684623950187</v>
      </c>
      <c r="H13">
        <f t="shared" si="3"/>
        <v>385.55067593105855</v>
      </c>
      <c r="I13">
        <f t="shared" si="3"/>
        <v>586.78733992398497</v>
      </c>
      <c r="J13">
        <f t="shared" si="3"/>
        <v>603.73759197877951</v>
      </c>
      <c r="K13">
        <f t="shared" si="3"/>
        <v>602.93759197877944</v>
      </c>
      <c r="L13">
        <f t="shared" si="3"/>
        <v>602.13759197877948</v>
      </c>
      <c r="M13">
        <f t="shared" si="3"/>
        <v>601.33759197877953</v>
      </c>
      <c r="N13">
        <f t="shared" si="3"/>
        <v>325.80373526539483</v>
      </c>
      <c r="O13">
        <f t="shared" si="3"/>
        <v>23.238648062924053</v>
      </c>
      <c r="P13">
        <f t="shared" si="3"/>
        <v>7.1001008219178106</v>
      </c>
    </row>
    <row r="14" spans="1:16" ht="15" customHeight="1" x14ac:dyDescent="0.45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182</v>
      </c>
      <c r="G15">
        <f t="shared" ref="G15:O15" si="4">G13/G14</f>
        <v>149.81295864577066</v>
      </c>
      <c r="H15">
        <f t="shared" si="4"/>
        <v>296.57744302389119</v>
      </c>
      <c r="I15">
        <f t="shared" si="4"/>
        <v>451.37487686460383</v>
      </c>
      <c r="J15">
        <f t="shared" si="4"/>
        <v>464.41353229136882</v>
      </c>
      <c r="K15">
        <f t="shared" si="4"/>
        <v>463.79814767598418</v>
      </c>
      <c r="L15">
        <f t="shared" si="4"/>
        <v>463.1827630605996</v>
      </c>
      <c r="M15">
        <f t="shared" si="4"/>
        <v>462.56737844521501</v>
      </c>
      <c r="N15">
        <f t="shared" si="4"/>
        <v>250.61825789645755</v>
      </c>
      <c r="O15">
        <f t="shared" si="4"/>
        <v>17.875883125326194</v>
      </c>
      <c r="P15">
        <f t="shared" ref="P15" si="5">P13/P14</f>
        <v>5.4616160168598542</v>
      </c>
    </row>
    <row r="16" spans="1:16" ht="15" customHeight="1" x14ac:dyDescent="0.45">
      <c r="B16" s="16" t="s">
        <v>92</v>
      </c>
    </row>
    <row r="17" spans="1:16" ht="15" customHeight="1" x14ac:dyDescent="0.45">
      <c r="B17" s="16" t="s">
        <v>186</v>
      </c>
      <c r="G17">
        <f t="shared" ref="G17:O17" si="6">G15+G16</f>
        <v>149.81295864577066</v>
      </c>
      <c r="H17">
        <f t="shared" si="6"/>
        <v>296.57744302389119</v>
      </c>
      <c r="I17">
        <f t="shared" si="6"/>
        <v>451.37487686460383</v>
      </c>
      <c r="J17">
        <f t="shared" si="6"/>
        <v>464.41353229136882</v>
      </c>
      <c r="K17">
        <f t="shared" si="6"/>
        <v>463.79814767598418</v>
      </c>
      <c r="L17">
        <f t="shared" si="6"/>
        <v>463.1827630605996</v>
      </c>
      <c r="M17">
        <f t="shared" si="6"/>
        <v>462.56737844521501</v>
      </c>
      <c r="N17">
        <f t="shared" si="6"/>
        <v>250.61825789645755</v>
      </c>
      <c r="O17">
        <f t="shared" si="6"/>
        <v>17.875883125326194</v>
      </c>
      <c r="P17">
        <f t="shared" ref="P17" si="7">P15+P16</f>
        <v>5.4616160168598542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8">C25</f>
        <v>0</v>
      </c>
      <c r="E23">
        <f t="shared" si="8"/>
        <v>0</v>
      </c>
      <c r="F23">
        <f t="shared" si="8"/>
        <v>0</v>
      </c>
      <c r="G23">
        <f t="shared" si="8"/>
        <v>0</v>
      </c>
      <c r="H23">
        <f t="shared" si="8"/>
        <v>0</v>
      </c>
      <c r="I23">
        <f t="shared" si="8"/>
        <v>0</v>
      </c>
      <c r="J23">
        <f t="shared" si="8"/>
        <v>0</v>
      </c>
      <c r="K23">
        <f t="shared" si="8"/>
        <v>0</v>
      </c>
      <c r="L23">
        <f t="shared" si="8"/>
        <v>0</v>
      </c>
      <c r="M23">
        <f t="shared" si="8"/>
        <v>0</v>
      </c>
      <c r="N23">
        <f t="shared" si="8"/>
        <v>0</v>
      </c>
      <c r="O23">
        <f t="shared" si="8"/>
        <v>0</v>
      </c>
      <c r="P23">
        <f t="shared" si="8"/>
        <v>0</v>
      </c>
    </row>
    <row r="24" spans="1:16" ht="15" customHeight="1" x14ac:dyDescent="0.45">
      <c r="B24" s="16" t="s">
        <v>133</v>
      </c>
      <c r="G24">
        <f t="shared" ref="G24:P24" si="9">-MIN(G15,G23)</f>
        <v>0</v>
      </c>
      <c r="H24">
        <f t="shared" si="9"/>
        <v>0</v>
      </c>
      <c r="I24">
        <f t="shared" si="9"/>
        <v>0</v>
      </c>
      <c r="J24">
        <f t="shared" si="9"/>
        <v>0</v>
      </c>
      <c r="K24">
        <f t="shared" si="9"/>
        <v>0</v>
      </c>
      <c r="L24">
        <f t="shared" si="9"/>
        <v>0</v>
      </c>
      <c r="M24">
        <f t="shared" si="9"/>
        <v>0</v>
      </c>
      <c r="N24">
        <f t="shared" si="9"/>
        <v>0</v>
      </c>
      <c r="O24">
        <f t="shared" si="9"/>
        <v>0</v>
      </c>
      <c r="P24">
        <f t="shared" si="9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0">SUM(D23:D24)</f>
        <v>0</v>
      </c>
      <c r="E25">
        <f t="shared" si="10"/>
        <v>0</v>
      </c>
      <c r="F25">
        <f t="shared" si="10"/>
        <v>0</v>
      </c>
      <c r="G25">
        <f t="shared" si="10"/>
        <v>0</v>
      </c>
      <c r="H25">
        <f t="shared" si="10"/>
        <v>0</v>
      </c>
      <c r="I25">
        <f t="shared" si="10"/>
        <v>0</v>
      </c>
      <c r="J25">
        <f t="shared" si="10"/>
        <v>0</v>
      </c>
      <c r="K25">
        <f t="shared" si="10"/>
        <v>0</v>
      </c>
      <c r="L25">
        <f t="shared" si="10"/>
        <v>0</v>
      </c>
      <c r="M25">
        <f t="shared" si="10"/>
        <v>0</v>
      </c>
      <c r="N25">
        <f t="shared" si="10"/>
        <v>0</v>
      </c>
      <c r="O25">
        <f t="shared" si="10"/>
        <v>0</v>
      </c>
      <c r="P25">
        <f t="shared" si="10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>-'S&amp;U'!$H$14*AVERAGE(Finance!F25:G25)</f>
        <v>0</v>
      </c>
      <c r="H26">
        <f>-'S&amp;U'!$H$14*AVERAGE(Finance!G25:H25)</f>
        <v>0</v>
      </c>
      <c r="I26">
        <f>-'S&amp;U'!$H$14*AVERAGE(Finance!H25:I25)</f>
        <v>0</v>
      </c>
      <c r="J26">
        <f>-'S&amp;U'!$H$14*AVERAGE(Finance!I25:J25)</f>
        <v>0</v>
      </c>
      <c r="K26">
        <f>-'S&amp;U'!$H$14*AVERAGE(Finance!J25:K25)</f>
        <v>0</v>
      </c>
      <c r="L26">
        <f>-'S&amp;U'!$H$14*AVERAGE(Finance!K25:L25)</f>
        <v>0</v>
      </c>
      <c r="M26">
        <f>-'S&amp;U'!$H$14*AVERAGE(Finance!L25:M25)</f>
        <v>0</v>
      </c>
      <c r="N26">
        <f>-'S&amp;U'!$H$14*AVERAGE(Finance!M25:N25)</f>
        <v>0</v>
      </c>
      <c r="O26">
        <f>-'S&amp;U'!$H$14*AVERAGE(Finance!N25:O25)</f>
        <v>0</v>
      </c>
      <c r="P26">
        <f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>'S&amp;U'!$C$14-Finance!G25</f>
        <v>100</v>
      </c>
      <c r="H28">
        <f>'S&amp;U'!$C$14-Finance!H25</f>
        <v>100</v>
      </c>
      <c r="I28">
        <f>'S&amp;U'!$C$14-Finance!I25</f>
        <v>100</v>
      </c>
      <c r="J28">
        <f>'S&amp;U'!$C$14-Finance!J25</f>
        <v>100</v>
      </c>
      <c r="K28">
        <f>'S&amp;U'!$C$14-Finance!K25</f>
        <v>100</v>
      </c>
      <c r="L28">
        <f>'S&amp;U'!$C$14-Finance!L25</f>
        <v>100</v>
      </c>
      <c r="M28">
        <f>'S&amp;U'!$C$14-Finance!M25</f>
        <v>100</v>
      </c>
      <c r="N28">
        <f>'S&amp;U'!$C$14-Finance!N25</f>
        <v>100</v>
      </c>
      <c r="O28">
        <f>'S&amp;U'!$C$14-Finance!O25</f>
        <v>100</v>
      </c>
      <c r="P28">
        <f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>'S&amp;U'!$I$14*-AVERAGE(Finance!F28:G28)</f>
        <v>-1</v>
      </c>
      <c r="H29">
        <f>'S&amp;U'!$I$14*-AVERAGE(Finance!G28:H28)</f>
        <v>-1</v>
      </c>
      <c r="I29">
        <f>'S&amp;U'!$I$14*-AVERAGE(Finance!H28:I28)</f>
        <v>-1</v>
      </c>
      <c r="J29">
        <f>'S&amp;U'!$I$14*-AVERAGE(Finance!I28:J28)</f>
        <v>-1</v>
      </c>
      <c r="K29">
        <f>'S&amp;U'!$I$14*-AVERAGE(Finance!J28:K28)</f>
        <v>-1</v>
      </c>
      <c r="L29">
        <f>'S&amp;U'!$I$14*-AVERAGE(Finance!K28:L28)</f>
        <v>-1</v>
      </c>
      <c r="M29">
        <f>'S&amp;U'!$I$14*-AVERAGE(Finance!L28:M28)</f>
        <v>-1</v>
      </c>
      <c r="N29">
        <f>'S&amp;U'!$I$14*-AVERAGE(Finance!M28:N28)</f>
        <v>-1</v>
      </c>
      <c r="O29">
        <f>'S&amp;U'!$I$14*-AVERAGE(Finance!N28:O28)</f>
        <v>-1</v>
      </c>
      <c r="P29">
        <f>'S&amp;U'!$I$14*-AVERAGE(Finance!O28:P28)</f>
        <v>-1</v>
      </c>
    </row>
    <row r="30" spans="1:16" ht="15" customHeight="1" x14ac:dyDescent="0.45">
      <c r="B30" s="16" t="s">
        <v>175</v>
      </c>
      <c r="D30">
        <f t="shared" ref="D30:P30" si="11">IF(D4&gt;$C$35,D26+D29,0)</f>
        <v>-1</v>
      </c>
      <c r="E30">
        <f t="shared" si="11"/>
        <v>-1</v>
      </c>
      <c r="F30">
        <f t="shared" si="11"/>
        <v>-1</v>
      </c>
      <c r="G30">
        <f t="shared" si="11"/>
        <v>-1</v>
      </c>
      <c r="H30">
        <f t="shared" si="11"/>
        <v>-1</v>
      </c>
      <c r="I30">
        <f t="shared" si="11"/>
        <v>-1</v>
      </c>
      <c r="J30">
        <f t="shared" si="11"/>
        <v>-1</v>
      </c>
      <c r="K30">
        <f t="shared" si="11"/>
        <v>-1</v>
      </c>
      <c r="L30">
        <f t="shared" si="11"/>
        <v>-1</v>
      </c>
      <c r="M30">
        <f t="shared" si="11"/>
        <v>-1</v>
      </c>
      <c r="N30">
        <f t="shared" si="11"/>
        <v>-1</v>
      </c>
      <c r="O30">
        <f t="shared" si="11"/>
        <v>-1</v>
      </c>
      <c r="P30">
        <f t="shared" si="11"/>
        <v>-1</v>
      </c>
    </row>
    <row r="32" spans="1:16" ht="15" customHeight="1" x14ac:dyDescent="0.45">
      <c r="B32" s="16" t="s">
        <v>179</v>
      </c>
      <c r="G32">
        <f>G17+G24</f>
        <v>149.81295864577066</v>
      </c>
      <c r="H32">
        <f t="shared" ref="H32:P32" si="12">H17+H24</f>
        <v>296.57744302389119</v>
      </c>
      <c r="I32">
        <f t="shared" si="12"/>
        <v>451.37487686460383</v>
      </c>
      <c r="J32">
        <f t="shared" si="12"/>
        <v>464.41353229136882</v>
      </c>
      <c r="K32">
        <f t="shared" si="12"/>
        <v>463.79814767598418</v>
      </c>
      <c r="L32">
        <f t="shared" si="12"/>
        <v>463.1827630605996</v>
      </c>
      <c r="M32">
        <f t="shared" si="12"/>
        <v>462.56737844521501</v>
      </c>
      <c r="N32">
        <f t="shared" si="12"/>
        <v>250.61825789645755</v>
      </c>
      <c r="O32">
        <f t="shared" si="12"/>
        <v>17.875883125326194</v>
      </c>
      <c r="P32">
        <f t="shared" si="12"/>
        <v>5.4616160168598542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>
        <f>'S&amp;U'!J15</f>
        <v>0</v>
      </c>
    </row>
    <row r="36" spans="1:16" ht="15" customHeight="1" x14ac:dyDescent="0.45">
      <c r="B36" s="16" t="s">
        <v>88</v>
      </c>
      <c r="C36" s="61">
        <f>'S&amp;U'!H15</f>
        <v>0.04</v>
      </c>
    </row>
    <row r="37" spans="1:16" ht="15" customHeight="1" x14ac:dyDescent="0.45">
      <c r="B37" s="16" t="s">
        <v>89</v>
      </c>
      <c r="C37" s="61">
        <f>'S&amp;U'!I15</f>
        <v>0.01</v>
      </c>
    </row>
    <row r="38" spans="1:16" ht="15" customHeight="1" x14ac:dyDescent="0.45">
      <c r="C38" s="61"/>
    </row>
    <row r="39" spans="1:16" ht="15" customHeight="1" x14ac:dyDescent="0.45">
      <c r="B39" s="16" t="s">
        <v>57</v>
      </c>
      <c r="D39">
        <f>C43</f>
        <v>0</v>
      </c>
      <c r="E39">
        <f t="shared" ref="E39:G39" si="13">D43</f>
        <v>263.72082441879297</v>
      </c>
      <c r="F39">
        <f t="shared" si="13"/>
        <v>1114.6508369951489</v>
      </c>
      <c r="G39">
        <f t="shared" si="13"/>
        <v>1850</v>
      </c>
      <c r="H39">
        <f t="shared" ref="H39:P39" si="14">G43</f>
        <v>1700.2070413542292</v>
      </c>
      <c r="I39">
        <f t="shared" si="14"/>
        <v>1403.669598330338</v>
      </c>
      <c r="J39">
        <f t="shared" si="14"/>
        <v>952.30472146573413</v>
      </c>
      <c r="K39">
        <f t="shared" si="14"/>
        <v>487.89118917436531</v>
      </c>
      <c r="L39">
        <f t="shared" si="14"/>
        <v>24.093041498381126</v>
      </c>
      <c r="M39">
        <f t="shared" si="14"/>
        <v>0</v>
      </c>
      <c r="N39">
        <f t="shared" si="14"/>
        <v>0</v>
      </c>
      <c r="O39">
        <f t="shared" si="14"/>
        <v>0</v>
      </c>
      <c r="P39">
        <f t="shared" si="14"/>
        <v>0</v>
      </c>
    </row>
    <row r="40" spans="1:16" ht="15" customHeight="1" x14ac:dyDescent="0.45">
      <c r="B40" s="16" t="s">
        <v>90</v>
      </c>
      <c r="D40">
        <f>'S&amp;U'!D15</f>
        <v>263.72082441879297</v>
      </c>
      <c r="E40">
        <f>'S&amp;U'!E15</f>
        <v>850.93001257635592</v>
      </c>
      <c r="F40">
        <f>'S&amp;U'!F15</f>
        <v>735.34916300485111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91</v>
      </c>
      <c r="G41">
        <f>-MIN(G39,G32)</f>
        <v>-149.81295864577066</v>
      </c>
      <c r="H41">
        <f t="shared" ref="H41:P41" si="15">-MIN(H39,H32)</f>
        <v>-296.57744302389119</v>
      </c>
      <c r="I41">
        <f t="shared" si="15"/>
        <v>-451.37487686460383</v>
      </c>
      <c r="J41">
        <f t="shared" si="15"/>
        <v>-464.41353229136882</v>
      </c>
      <c r="K41">
        <f t="shared" si="15"/>
        <v>-463.79814767598418</v>
      </c>
      <c r="L41">
        <f t="shared" si="15"/>
        <v>-24.093041498381126</v>
      </c>
      <c r="M41">
        <f t="shared" si="15"/>
        <v>0</v>
      </c>
      <c r="N41">
        <f t="shared" si="15"/>
        <v>0</v>
      </c>
      <c r="O41">
        <f t="shared" si="15"/>
        <v>0</v>
      </c>
      <c r="P41">
        <f t="shared" si="15"/>
        <v>0</v>
      </c>
    </row>
    <row r="42" spans="1:16" ht="15" customHeight="1" x14ac:dyDescent="0.45">
      <c r="B42" s="16" t="s">
        <v>193</v>
      </c>
      <c r="D42" s="75">
        <f>IF(AND(D4&lt;=$C$35,switch=1),-Finance!D44-Finance!D47,0)</f>
        <v>0</v>
      </c>
      <c r="E42" s="75">
        <f>IF(AND(E4&lt;=$C$35,switch=1),-Finance!E44-Finance!E47,0)</f>
        <v>0</v>
      </c>
      <c r="F42" s="75">
        <f>IF(AND(F4&lt;=$C$35,switch=1),-Finance!F44-Finance!F47,0)</f>
        <v>0</v>
      </c>
      <c r="G42" s="75">
        <f>IF(AND(G4&lt;=$C$35,switch=1),-Finance!G44-Finance!G47,0)</f>
        <v>0</v>
      </c>
      <c r="H42" s="75">
        <f>IF(AND(H4&lt;=$C$35,switch=1),-Finance!H44-Finance!H47,0)</f>
        <v>0</v>
      </c>
      <c r="I42" s="75">
        <f>IF(AND(I4&lt;=$C$35,switch=1),-Finance!I44-Finance!I47,0)</f>
        <v>0</v>
      </c>
      <c r="J42" s="75">
        <f>IF(AND(J4&lt;=$C$35,switch=1),-Finance!J44-Finance!J47,0)</f>
        <v>0</v>
      </c>
      <c r="K42" s="75">
        <f>IF(AND(K4&lt;=$C$35,switch=1),-Finance!K44-Finance!K47,0)</f>
        <v>0</v>
      </c>
      <c r="L42" s="75">
        <f>IF(AND(L4&lt;=$C$35,switch=1),-Finance!L44-Finance!L47,0)</f>
        <v>0</v>
      </c>
      <c r="M42" s="75">
        <f>IF(AND(M4&lt;=$C$35,switch=1),-Finance!M44-Finance!M47,0)</f>
        <v>0</v>
      </c>
      <c r="N42" s="75">
        <f>IF(AND(N4&lt;=$C$35,switch=1),-Finance!N44-Finance!N47,0)</f>
        <v>0</v>
      </c>
      <c r="O42" s="75">
        <f>IF(AND(O4&lt;=$C$35,switch=1),-Finance!O44-Finance!O47,0)</f>
        <v>0</v>
      </c>
      <c r="P42" s="75">
        <f>IF(AND(P4&lt;=$C$35,switch=1),-Finance!P44-Finance!P47,0)</f>
        <v>0</v>
      </c>
    </row>
    <row r="43" spans="1:16" ht="15" customHeight="1" x14ac:dyDescent="0.45">
      <c r="B43" s="16" t="s">
        <v>59</v>
      </c>
      <c r="C43" s="63">
        <v>0</v>
      </c>
      <c r="D43">
        <f>SUM(D39:D42)</f>
        <v>263.72082441879297</v>
      </c>
      <c r="E43">
        <f t="shared" ref="E43:G43" si="16">SUM(E39:E42)</f>
        <v>1114.6508369951489</v>
      </c>
      <c r="F43">
        <f t="shared" si="16"/>
        <v>1850</v>
      </c>
      <c r="G43">
        <f t="shared" si="16"/>
        <v>1700.2070413542292</v>
      </c>
      <c r="H43">
        <f t="shared" ref="H43" si="17">SUM(H39:H42)</f>
        <v>1403.669598330338</v>
      </c>
      <c r="I43">
        <f t="shared" ref="I43" si="18">SUM(I39:I42)</f>
        <v>952.30472146573413</v>
      </c>
      <c r="J43">
        <f t="shared" ref="J43" si="19">SUM(J39:J42)</f>
        <v>487.89118917436531</v>
      </c>
      <c r="K43">
        <f t="shared" ref="K43" si="20">SUM(K39:K42)</f>
        <v>24.093041498381126</v>
      </c>
      <c r="L43">
        <f t="shared" ref="L43" si="21">SUM(L39:L42)</f>
        <v>0</v>
      </c>
      <c r="M43">
        <f t="shared" ref="M43" si="22">SUM(M39:M42)</f>
        <v>0</v>
      </c>
      <c r="N43">
        <f t="shared" ref="N43" si="23">SUM(N39:N42)</f>
        <v>0</v>
      </c>
      <c r="O43">
        <f t="shared" ref="O43" si="24">SUM(O39:O42)</f>
        <v>0</v>
      </c>
      <c r="P43">
        <f t="shared" ref="P43" si="25">SUM(P39:P42)</f>
        <v>0</v>
      </c>
    </row>
    <row r="44" spans="1:16" ht="15" customHeight="1" x14ac:dyDescent="0.45">
      <c r="B44" s="16" t="s">
        <v>92</v>
      </c>
      <c r="D44">
        <f>-$C$36*AVERAGE(C43:D43)</f>
        <v>-5.2744164883758593</v>
      </c>
      <c r="E44">
        <f t="shared" ref="E44:G44" si="26">-$C$36*AVERAGE(D43:E43)</f>
        <v>-27.567433228278837</v>
      </c>
      <c r="F44">
        <f t="shared" si="26"/>
        <v>-59.293016739902981</v>
      </c>
      <c r="G44">
        <f t="shared" si="26"/>
        <v>-71.004140827084584</v>
      </c>
      <c r="H44">
        <f t="shared" ref="H44" si="27">-$C$36*AVERAGE(G43:H43)</f>
        <v>-62.077532793691347</v>
      </c>
      <c r="I44">
        <f t="shared" ref="I44" si="28">-$C$36*AVERAGE(H43:I43)</f>
        <v>-47.119486395921442</v>
      </c>
      <c r="J44">
        <f t="shared" ref="J44" si="29">-$C$36*AVERAGE(I43:J43)</f>
        <v>-28.803918212801992</v>
      </c>
      <c r="K44">
        <f t="shared" ref="K44" si="30">-$C$36*AVERAGE(J43:K43)</f>
        <v>-10.239684613454928</v>
      </c>
      <c r="L44">
        <f t="shared" ref="L44" si="31">-$C$36*AVERAGE(K43:L43)</f>
        <v>-0.48186082996762253</v>
      </c>
      <c r="M44">
        <f t="shared" ref="M44" si="32">-$C$36*AVERAGE(L43:M43)</f>
        <v>0</v>
      </c>
      <c r="N44">
        <f t="shared" ref="N44" si="33">-$C$36*AVERAGE(M43:N43)</f>
        <v>0</v>
      </c>
      <c r="O44">
        <f t="shared" ref="O44" si="34">-$C$36*AVERAGE(N43:O43)</f>
        <v>0</v>
      </c>
      <c r="P44">
        <f t="shared" ref="P44" si="35">-$C$36*AVERAGE(O43:P43)</f>
        <v>0</v>
      </c>
    </row>
    <row r="46" spans="1:16" ht="15" customHeight="1" x14ac:dyDescent="0.45">
      <c r="B46" s="16" t="s">
        <v>93</v>
      </c>
      <c r="C46">
        <f>'S&amp;U'!$C$15-Finance!C43</f>
        <v>1850</v>
      </c>
      <c r="D46">
        <f>'S&amp;U'!$C$15-Finance!D43</f>
        <v>1586.279175581207</v>
      </c>
      <c r="E46">
        <f>'S&amp;U'!$C$15-Finance!E43</f>
        <v>735.34916300485111</v>
      </c>
      <c r="F46">
        <f>'S&amp;U'!$C$15-Finance!F43</f>
        <v>0</v>
      </c>
    </row>
    <row r="47" spans="1:16" ht="15" customHeight="1" x14ac:dyDescent="0.45">
      <c r="B47" s="16" t="s">
        <v>89</v>
      </c>
      <c r="D47">
        <f>-$C$37*AVERAGE(C46:D46)</f>
        <v>-17.181395877906034</v>
      </c>
      <c r="E47">
        <f t="shared" ref="E47:F47" si="36">-$C$37*AVERAGE(D46:E46)</f>
        <v>-11.608141692930289</v>
      </c>
      <c r="F47">
        <f t="shared" si="36"/>
        <v>-3.6767458150242556</v>
      </c>
    </row>
    <row r="48" spans="1:16" ht="15" customHeight="1" x14ac:dyDescent="0.45">
      <c r="B48" s="16" t="s">
        <v>185</v>
      </c>
      <c r="D48">
        <f>IF(AND(D4&gt;$C$35,switch=1),Finance!D44+Finance!D47,0)</f>
        <v>-22.455812366281894</v>
      </c>
      <c r="E48">
        <f>IF(AND(E4&gt;$C$35,switch=1),Finance!E44+Finance!E47,0)</f>
        <v>-39.175574921209126</v>
      </c>
      <c r="F48">
        <f>IF(AND(F4&gt;$C$35,switch=1),Finance!F44+Finance!F47,0)</f>
        <v>-62.969762554927236</v>
      </c>
      <c r="G48">
        <f>IF(AND(G4&gt;$C$35,switch=1),Finance!G44+Finance!G47,0)</f>
        <v>-71.004140827084584</v>
      </c>
      <c r="H48">
        <f>IF(AND(H4&gt;$C$35,switch=1),Finance!H44+Finance!H47,0)</f>
        <v>-62.077532793691347</v>
      </c>
      <c r="I48">
        <f>IF(AND(I4&gt;$C$35,switch=1),Finance!I44+Finance!I47,0)</f>
        <v>-47.119486395921442</v>
      </c>
      <c r="J48">
        <f>IF(AND(J4&gt;$C$35,switch=1),Finance!J44+Finance!J47,0)</f>
        <v>-28.803918212801992</v>
      </c>
      <c r="K48">
        <f>IF(AND(K4&gt;$C$35,switch=1),Finance!K44+Finance!K47,0)</f>
        <v>-10.239684613454928</v>
      </c>
      <c r="L48">
        <f>IF(AND(L4&gt;$C$35,switch=1),Finance!L44+Finance!L47,0)</f>
        <v>-0.48186082996762253</v>
      </c>
      <c r="M48">
        <f>IF(AND(M4&gt;$C$35,switch=1),Finance!M44+Finance!M47,0)</f>
        <v>0</v>
      </c>
      <c r="N48">
        <f>IF(AND(N4&gt;$C$35,switch=1),Finance!N44+Finance!N47,0)</f>
        <v>0</v>
      </c>
      <c r="O48">
        <f>IF(AND(O4&gt;$C$35,switch=1),Finance!O44+Finance!O47,0)</f>
        <v>0</v>
      </c>
      <c r="P48">
        <f>IF(AND(P4&gt;$C$35,switch=1),Finance!P44+Finance!P47,0)</f>
        <v>0</v>
      </c>
    </row>
    <row r="50" spans="1:16" ht="15" customHeight="1" x14ac:dyDescent="0.45">
      <c r="B50" s="16" t="s">
        <v>188</v>
      </c>
      <c r="G50">
        <f>-(H41+H44)</f>
        <v>358.65497581758257</v>
      </c>
      <c r="H50">
        <f t="shared" ref="H50:P50" si="37">-(I41+I44)</f>
        <v>498.49436326052529</v>
      </c>
      <c r="I50">
        <f t="shared" si="37"/>
        <v>493.21745050417081</v>
      </c>
      <c r="J50">
        <f t="shared" si="37"/>
        <v>474.03783228943911</v>
      </c>
      <c r="K50">
        <f t="shared" si="37"/>
        <v>24.574902328348749</v>
      </c>
      <c r="L50">
        <f t="shared" si="37"/>
        <v>0</v>
      </c>
      <c r="M50">
        <f t="shared" si="37"/>
        <v>0</v>
      </c>
      <c r="N50">
        <f t="shared" si="37"/>
        <v>0</v>
      </c>
      <c r="O50">
        <f t="shared" si="37"/>
        <v>0</v>
      </c>
      <c r="P50">
        <f t="shared" si="37"/>
        <v>0</v>
      </c>
    </row>
    <row r="52" spans="1:16" ht="15" customHeight="1" x14ac:dyDescent="0.45">
      <c r="B52" s="16" t="s">
        <v>187</v>
      </c>
      <c r="G52">
        <f>F55</f>
        <v>338.28571428571428</v>
      </c>
      <c r="H52">
        <f t="shared" ref="H52:P52" si="38">G55</f>
        <v>358.65497581758257</v>
      </c>
      <c r="I52">
        <f t="shared" si="38"/>
        <v>447.66820872474995</v>
      </c>
      <c r="J52">
        <f t="shared" si="38"/>
        <v>493.21745050417081</v>
      </c>
      <c r="K52">
        <f t="shared" si="38"/>
        <v>474.03783228943911</v>
      </c>
      <c r="L52">
        <f t="shared" si="38"/>
        <v>24.574902328348799</v>
      </c>
      <c r="M52">
        <f t="shared" si="38"/>
        <v>0</v>
      </c>
      <c r="N52">
        <f t="shared" si="38"/>
        <v>0</v>
      </c>
      <c r="O52">
        <f t="shared" si="38"/>
        <v>0</v>
      </c>
      <c r="P52">
        <f t="shared" si="38"/>
        <v>0</v>
      </c>
    </row>
    <row r="53" spans="1:16" ht="15" customHeight="1" x14ac:dyDescent="0.45">
      <c r="B53" s="16" t="s">
        <v>183</v>
      </c>
      <c r="G53">
        <f>G13+G16+G24+G40+G41</f>
        <v>44.963887593731215</v>
      </c>
      <c r="H53">
        <f t="shared" ref="H53:P53" si="39">H13+H16+H24+H40+H41</f>
        <v>89.013232907167378</v>
      </c>
      <c r="I53">
        <f t="shared" si="39"/>
        <v>135.42246305938113</v>
      </c>
      <c r="J53">
        <f t="shared" si="39"/>
        <v>139.32405968741068</v>
      </c>
      <c r="K53">
        <f t="shared" si="39"/>
        <v>139.13944430279525</v>
      </c>
      <c r="L53">
        <f t="shared" si="39"/>
        <v>578.04455048039836</v>
      </c>
      <c r="M53">
        <f t="shared" si="39"/>
        <v>601.33759197877953</v>
      </c>
      <c r="N53">
        <f t="shared" si="39"/>
        <v>325.80373526539483</v>
      </c>
      <c r="O53">
        <f t="shared" si="39"/>
        <v>23.238648062924053</v>
      </c>
      <c r="P53">
        <f t="shared" si="39"/>
        <v>7.1001008219178106</v>
      </c>
    </row>
    <row r="54" spans="1:16" ht="15" customHeight="1" x14ac:dyDescent="0.45">
      <c r="B54" s="16" t="s">
        <v>180</v>
      </c>
      <c r="G54">
        <f>-MAX(G52+G53-G50,0)</f>
        <v>-24.594626061862925</v>
      </c>
      <c r="H54">
        <f t="shared" ref="H54:P54" si="40">-MAX(H52+H53-H50,0)</f>
        <v>0</v>
      </c>
      <c r="I54">
        <f t="shared" si="40"/>
        <v>-89.873221279960205</v>
      </c>
      <c r="J54">
        <f t="shared" si="40"/>
        <v>-158.50367790214233</v>
      </c>
      <c r="K54">
        <f t="shared" si="40"/>
        <v>-588.60237426388562</v>
      </c>
      <c r="L54">
        <f t="shared" si="40"/>
        <v>-602.61945280874716</v>
      </c>
      <c r="M54">
        <f t="shared" si="40"/>
        <v>-601.33759197877953</v>
      </c>
      <c r="N54">
        <f t="shared" si="40"/>
        <v>-325.80373526539483</v>
      </c>
      <c r="O54">
        <f t="shared" si="40"/>
        <v>-23.238648062924053</v>
      </c>
      <c r="P54">
        <f t="shared" si="40"/>
        <v>-7.1001008219178106</v>
      </c>
    </row>
    <row r="55" spans="1:16" ht="15" customHeight="1" x14ac:dyDescent="0.45">
      <c r="B55" s="16" t="s">
        <v>189</v>
      </c>
      <c r="F55">
        <f>'S&amp;U'!F10</f>
        <v>338.28571428571428</v>
      </c>
      <c r="G55">
        <f>SUM(G52:G54)</f>
        <v>358.65497581758257</v>
      </c>
      <c r="H55">
        <f t="shared" ref="H55:P55" si="41">SUM(H52:H54)</f>
        <v>447.66820872474995</v>
      </c>
      <c r="I55">
        <f t="shared" si="41"/>
        <v>493.21745050417081</v>
      </c>
      <c r="J55">
        <f t="shared" si="41"/>
        <v>474.03783228943911</v>
      </c>
      <c r="K55">
        <f t="shared" si="41"/>
        <v>24.574902328348799</v>
      </c>
      <c r="L55">
        <f t="shared" si="41"/>
        <v>0</v>
      </c>
      <c r="M55">
        <f t="shared" si="41"/>
        <v>0</v>
      </c>
      <c r="N55">
        <f t="shared" si="41"/>
        <v>0</v>
      </c>
      <c r="O55">
        <f t="shared" si="41"/>
        <v>0</v>
      </c>
      <c r="P55">
        <f t="shared" si="41"/>
        <v>0</v>
      </c>
    </row>
    <row r="60" spans="1:16" ht="15" customHeight="1" x14ac:dyDescent="0.45">
      <c r="A60" s="15" t="s">
        <v>94</v>
      </c>
    </row>
    <row r="61" spans="1:16" ht="15" customHeight="1" x14ac:dyDescent="0.45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141</v>
      </c>
      <c r="E62" s="65"/>
      <c r="F62" s="65"/>
    </row>
    <row r="63" spans="1:16" ht="15" customHeight="1" x14ac:dyDescent="0.45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100</v>
      </c>
    </row>
    <row r="65" spans="1:3" ht="15" customHeight="1" x14ac:dyDescent="0.45">
      <c r="B65" s="16" t="s">
        <v>101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97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204.5</v>
      </c>
    </row>
    <row r="28" spans="1:16" ht="15" customHeight="1" x14ac:dyDescent="0.45">
      <c r="B28" s="16" t="s">
        <v>71</v>
      </c>
      <c r="F28">
        <f>F27/-F15</f>
        <v>-2.2874720357941833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45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</row>
    <row r="24" spans="1:16" ht="15" customHeight="1" x14ac:dyDescent="0.45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24" activePane="bottomRight" state="frozen"/>
      <selection activeCell="D8" sqref="D8"/>
      <selection pane="topRight" activeCell="D8" sqref="D8"/>
      <selection pane="bottomLeft" activeCell="D8" sqref="D8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-263.72082441879297</v>
      </c>
      <c r="E4">
        <f>CFS!E26</f>
        <v>-1114.6508369951489</v>
      </c>
      <c r="F4">
        <f>CFS!F26</f>
        <v>-1511.7142857142858</v>
      </c>
      <c r="G4">
        <f>CFS!G26</f>
        <v>-1316.957439474784</v>
      </c>
      <c r="H4">
        <f>CFS!H26</f>
        <v>-931.40676354372545</v>
      </c>
      <c r="I4">
        <f>CFS!I26</f>
        <v>-344.61942361974047</v>
      </c>
      <c r="J4">
        <f>CFS!J26</f>
        <v>259.11816835903903</v>
      </c>
      <c r="K4">
        <f>CFS!K26</f>
        <v>862.05576033781847</v>
      </c>
      <c r="L4">
        <f>CFS!L26</f>
        <v>1464.1933523165981</v>
      </c>
      <c r="M4">
        <f>CFS!M26</f>
        <v>2065.5309442953776</v>
      </c>
      <c r="N4">
        <f>CFS!N26</f>
        <v>2391.3346795607722</v>
      </c>
      <c r="O4">
        <f>CFS!O26</f>
        <v>2414.5733276236961</v>
      </c>
      <c r="P4">
        <f>CFS!P26</f>
        <v>2421.6734284456138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-263.72082441879297</v>
      </c>
      <c r="E7">
        <f t="shared" ref="E7:P7" si="2">SUM(E4:E6)</f>
        <v>-1114.6508369951489</v>
      </c>
      <c r="F7">
        <f t="shared" si="2"/>
        <v>-1509.7572994129159</v>
      </c>
      <c r="G7">
        <f t="shared" si="2"/>
        <v>-1285.8560696117704</v>
      </c>
      <c r="H7">
        <f t="shared" si="2"/>
        <v>-872.42242381769813</v>
      </c>
      <c r="I7">
        <f t="shared" si="2"/>
        <v>-256.14291403069939</v>
      </c>
      <c r="J7">
        <f t="shared" si="2"/>
        <v>347.59467794808012</v>
      </c>
      <c r="K7">
        <f t="shared" si="2"/>
        <v>950.53226992685961</v>
      </c>
      <c r="L7">
        <f t="shared" si="2"/>
        <v>1552.6698619056392</v>
      </c>
      <c r="M7">
        <f t="shared" si="2"/>
        <v>2154.0074538844187</v>
      </c>
      <c r="N7">
        <f t="shared" si="2"/>
        <v>2438.5221513415941</v>
      </c>
      <c r="O7">
        <f t="shared" si="2"/>
        <v>2426.3701955689016</v>
      </c>
      <c r="P7">
        <f t="shared" si="2"/>
        <v>2421.6734284456138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156.47037487385543</v>
      </c>
      <c r="E12">
        <f t="shared" ref="E12:P12" si="3">SUM(E7,E9:E11)</f>
        <v>541.3403622974995</v>
      </c>
      <c r="F12">
        <f t="shared" si="3"/>
        <v>873.93389987973251</v>
      </c>
      <c r="G12">
        <f t="shared" si="3"/>
        <v>978.65056971624563</v>
      </c>
      <c r="H12">
        <f t="shared" si="3"/>
        <v>1153.7150955810532</v>
      </c>
      <c r="I12">
        <f t="shared" si="3"/>
        <v>1412.4409254741549</v>
      </c>
      <c r="J12">
        <f t="shared" si="3"/>
        <v>1658.6248375590369</v>
      </c>
      <c r="K12">
        <f t="shared" si="3"/>
        <v>1904.0087496439194</v>
      </c>
      <c r="L12">
        <f t="shared" si="3"/>
        <v>2148.5926617288019</v>
      </c>
      <c r="M12">
        <f t="shared" si="3"/>
        <v>2392.376573813684</v>
      </c>
      <c r="N12">
        <f t="shared" si="3"/>
        <v>2486.1959753274477</v>
      </c>
      <c r="O12">
        <f t="shared" si="3"/>
        <v>2426.3701955689021</v>
      </c>
      <c r="P12">
        <f t="shared" si="3"/>
        <v>2421.6734284456143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45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>IF(ROUND(D12,2)=ROUND(D23,2),"OK",D12-D23)</f>
        <v>OK</v>
      </c>
      <c r="E25" s="66">
        <f t="shared" ref="E25:P25" si="7">IF(ROUND(E12,2)=ROUND(E23,2),"OK",E12-E23)</f>
        <v>-2.2314719575588242</v>
      </c>
      <c r="F25" s="66">
        <f t="shared" si="7"/>
        <v>-4.5968322325712734</v>
      </c>
      <c r="G25" s="66">
        <f t="shared" si="7"/>
        <v>-7.104114124084731</v>
      </c>
      <c r="H25" s="66">
        <f t="shared" si="7"/>
        <v>-9.7618329290883139</v>
      </c>
      <c r="I25" s="66">
        <f t="shared" si="7"/>
        <v>-12.579014862392341</v>
      </c>
      <c r="J25" s="66">
        <f t="shared" si="7"/>
        <v>-15.565227711695115</v>
      </c>
      <c r="K25" s="66">
        <f t="shared" si="7"/>
        <v>-18.73061333195551</v>
      </c>
      <c r="L25" s="66">
        <f t="shared" si="7"/>
        <v>-22.085922089431278</v>
      </c>
      <c r="M25" s="66">
        <f t="shared" si="7"/>
        <v>-25.642549372355916</v>
      </c>
      <c r="N25" s="66">
        <f t="shared" si="7"/>
        <v>-29.412574292256522</v>
      </c>
      <c r="O25" s="66">
        <f t="shared" si="7"/>
        <v>-32.808800707351566</v>
      </c>
      <c r="P25" s="66">
        <f t="shared" si="7"/>
        <v>-32.808800707351566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253620-29BC-48C1-8234-8733F440789E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D81B1771-9EC1-48CA-80B0-B8EDF50D82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370B7A-BBE3-4302-BA96-6E5BA65A7B8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Finance!Print_Area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2019-03-15T13:35:12Z</cp:lastPrinted>
  <dcterms:created xsi:type="dcterms:W3CDTF">2016-02-03T14:06:14Z</dcterms:created>
  <dcterms:modified xsi:type="dcterms:W3CDTF">2025-08-12T12:54:54Z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