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Desktop/8090 Building a Full Project Finance Model/17. Main Model - Syndicated Loan - Development/"/>
    </mc:Choice>
  </mc:AlternateContent>
  <xr:revisionPtr revIDLastSave="2" documentId="13_ncr:1_{84814102-1872-4673-9F65-314025ADBB2A}" xr6:coauthVersionLast="47" xr6:coauthVersionMax="47" xr10:uidLastSave="{C6F1EB8E-53A0-408E-808A-6BDD7B539C1D}"/>
  <bookViews>
    <workbookView xWindow="-98" yWindow="-98" windowWidth="21795" windowHeight="13875" activeTab="3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8" l="1"/>
  <c r="F19" i="18"/>
  <c r="G19" i="18"/>
  <c r="H19" i="18"/>
  <c r="I19" i="18"/>
  <c r="J19" i="18"/>
  <c r="K19" i="18"/>
  <c r="L19" i="18"/>
  <c r="M19" i="18"/>
  <c r="N19" i="18"/>
  <c r="O19" i="18"/>
  <c r="P19" i="18"/>
  <c r="D19" i="18"/>
  <c r="H14" i="15"/>
  <c r="I14" i="15"/>
  <c r="J14" i="15"/>
  <c r="K14" i="15"/>
  <c r="L14" i="15"/>
  <c r="M14" i="15"/>
  <c r="N14" i="15"/>
  <c r="O14" i="15"/>
  <c r="P14" i="15"/>
  <c r="G14" i="15"/>
  <c r="E18" i="18"/>
  <c r="F18" i="18"/>
  <c r="G18" i="18"/>
  <c r="H18" i="18"/>
  <c r="I18" i="18"/>
  <c r="J18" i="18"/>
  <c r="K18" i="18"/>
  <c r="L18" i="18"/>
  <c r="M18" i="18"/>
  <c r="N18" i="18"/>
  <c r="O18" i="18"/>
  <c r="P18" i="18"/>
  <c r="D18" i="18"/>
  <c r="G12" i="15" l="1"/>
  <c r="H12" i="15"/>
  <c r="I12" i="15"/>
  <c r="J12" i="15"/>
  <c r="K12" i="15"/>
  <c r="L12" i="15"/>
  <c r="M12" i="15"/>
  <c r="N12" i="15"/>
  <c r="O12" i="15"/>
  <c r="P12" i="15"/>
  <c r="B12" i="15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E21" i="18"/>
  <c r="F21" i="18"/>
  <c r="D24" i="18"/>
  <c r="D21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9" i="15" s="1"/>
  <c r="P11" i="15"/>
  <c r="P10" i="11"/>
  <c r="P5" i="14" s="1"/>
  <c r="B9" i="15"/>
  <c r="B11" i="15"/>
  <c r="B10" i="15"/>
  <c r="B8" i="15"/>
  <c r="C21" i="15" l="1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l="1"/>
  <c r="G16" i="11"/>
  <c r="H11" i="15" l="1"/>
  <c r="I11" i="15"/>
  <c r="J11" i="15"/>
  <c r="K11" i="15"/>
  <c r="L11" i="15"/>
  <c r="M11" i="15"/>
  <c r="N11" i="15"/>
  <c r="O11" i="15"/>
  <c r="G11" i="15"/>
  <c r="E8" i="17"/>
  <c r="D8" i="17"/>
  <c r="C28" i="15"/>
  <c r="H14" i="2"/>
  <c r="E26" i="16"/>
  <c r="C20" i="15" l="1"/>
  <c r="D11" i="18"/>
  <c r="E11" i="18"/>
  <c r="D9" i="2"/>
  <c r="E9" i="2"/>
  <c r="D23" i="15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F10" i="2" s="1"/>
  <c r="E47" i="2"/>
  <c r="E6" i="2" s="1"/>
  <c r="F47" i="2"/>
  <c r="F6" i="2" s="1"/>
  <c r="F14" i="18" s="1"/>
  <c r="D47" i="2"/>
  <c r="D6" i="2" s="1"/>
  <c r="D14" i="18" s="1"/>
  <c r="E8" i="18" l="1"/>
  <c r="E9" i="18" s="1"/>
  <c r="E12" i="18" s="1"/>
  <c r="E14" i="18"/>
  <c r="D12" i="18"/>
  <c r="M9" i="15"/>
  <c r="L9" i="15"/>
  <c r="H9" i="15"/>
  <c r="N9" i="15"/>
  <c r="J9" i="15"/>
  <c r="G9" i="15"/>
  <c r="I9" i="15"/>
  <c r="O9" i="15"/>
  <c r="K9" i="15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E22" i="12" l="1"/>
  <c r="E25" i="12" s="1"/>
  <c r="E9" i="16" s="1"/>
  <c r="H12" i="12"/>
  <c r="I12" i="12" s="1"/>
  <c r="J12" i="12" s="1"/>
  <c r="K12" i="12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F22" i="12" l="1"/>
  <c r="F25" i="12" s="1"/>
  <c r="F9" i="16" s="1"/>
  <c r="P11" i="1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P18" i="11" l="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P5" i="17" l="1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N12" i="12"/>
  <c r="A2" i="2"/>
  <c r="P21" i="11" l="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G12" i="14" l="1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H41" i="12" l="1"/>
  <c r="H5" i="18"/>
  <c r="H12" i="14"/>
  <c r="H14" i="14" s="1"/>
  <c r="G7" i="18"/>
  <c r="H43" i="12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H7" i="18" s="1"/>
  <c r="I22" i="12"/>
  <c r="I25" i="12" s="1"/>
  <c r="I9" i="16" s="1"/>
  <c r="J16" i="12"/>
  <c r="K14" i="12"/>
  <c r="K15" i="12" s="1"/>
  <c r="K16" i="12" s="1"/>
  <c r="L13" i="12"/>
  <c r="J41" i="12" l="1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I7" i="18" s="1"/>
  <c r="M14" i="12"/>
  <c r="M15" i="12" s="1"/>
  <c r="N13" i="12"/>
  <c r="J25" i="12"/>
  <c r="J9" i="16" s="1"/>
  <c r="L16" i="12"/>
  <c r="K41" i="12" l="1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J7" i="18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N5" i="18" l="1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K7" i="18" s="1"/>
  <c r="N22" i="12"/>
  <c r="N25" i="12" s="1"/>
  <c r="N9" i="16" s="1"/>
  <c r="N41" i="12"/>
  <c r="N43" i="12" s="1"/>
  <c r="N11" i="16" s="1"/>
  <c r="P5" i="18" l="1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7" i="18" s="1"/>
  <c r="P8" i="17" l="1"/>
  <c r="L49" i="12"/>
  <c r="L19" i="16" s="1"/>
  <c r="M46" i="12" l="1"/>
  <c r="M47" i="12" s="1"/>
  <c r="M7" i="18" s="1"/>
  <c r="M49" i="12" l="1"/>
  <c r="M19" i="16" s="1"/>
  <c r="N46" i="12" l="1"/>
  <c r="N47" i="12" s="1"/>
  <c r="N7" i="18" s="1"/>
  <c r="N49" i="12" l="1"/>
  <c r="N19" i="16" s="1"/>
  <c r="O46" i="12" l="1"/>
  <c r="O47" i="12" l="1"/>
  <c r="O49" i="12" l="1"/>
  <c r="O19" i="16" s="1"/>
  <c r="O7" i="18"/>
  <c r="G6" i="17"/>
  <c r="G6" i="16" s="1"/>
  <c r="G7" i="17"/>
  <c r="G15" i="16" s="1"/>
  <c r="P46" i="12" l="1"/>
  <c r="P47" i="12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G10" i="15" s="1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N10" i="15" s="1"/>
  <c r="J11" i="18"/>
  <c r="J10" i="15" s="1"/>
  <c r="P11" i="18"/>
  <c r="P10" i="15" s="1"/>
  <c r="O11" i="18"/>
  <c r="O10" i="15" s="1"/>
  <c r="I11" i="18"/>
  <c r="I10" i="15" s="1"/>
  <c r="H11" i="18"/>
  <c r="H10" i="15" s="1"/>
  <c r="K11" i="18"/>
  <c r="K10" i="15" s="1"/>
  <c r="L11" i="18"/>
  <c r="L10" i="15" s="1"/>
  <c r="M10" i="15"/>
  <c r="D25" i="15" l="1"/>
  <c r="E23" i="15" l="1"/>
  <c r="E25" i="15" s="1"/>
  <c r="E26" i="15"/>
  <c r="D26" i="15"/>
  <c r="D16" i="16"/>
  <c r="E28" i="15"/>
  <c r="E16" i="16"/>
  <c r="D28" i="15"/>
  <c r="F16" i="16"/>
  <c r="F23" i="15" l="1"/>
  <c r="F25" i="15" s="1"/>
  <c r="F26" i="15"/>
  <c r="E29" i="15"/>
  <c r="E30" i="15" s="1"/>
  <c r="D29" i="15"/>
  <c r="D30" i="15" s="1"/>
  <c r="D7" i="2"/>
  <c r="D15" i="18" s="1"/>
  <c r="G23" i="15" l="1"/>
  <c r="F28" i="15"/>
  <c r="F29" i="15" s="1"/>
  <c r="F30" i="15" s="1"/>
  <c r="E7" i="2"/>
  <c r="E15" i="18" s="1"/>
  <c r="F7" i="2"/>
  <c r="F15" i="18" s="1"/>
  <c r="C7" i="2" l="1"/>
  <c r="D16" i="18"/>
  <c r="E16" i="18"/>
  <c r="F16" i="18"/>
  <c r="D11" i="2"/>
  <c r="E11" i="2"/>
  <c r="F11" i="2"/>
  <c r="C11" i="2" l="1"/>
  <c r="D12" i="2"/>
  <c r="D15" i="2" s="1"/>
  <c r="F12" i="2" l="1"/>
  <c r="F15" i="2" s="1"/>
  <c r="C16" i="2"/>
  <c r="E12" i="2"/>
  <c r="E15" i="2" s="1"/>
  <c r="F16" i="2" l="1"/>
  <c r="F17" i="2" s="1"/>
  <c r="C17" i="2"/>
  <c r="D16" i="2"/>
  <c r="E16" i="2"/>
  <c r="E13" i="17" l="1"/>
  <c r="D13" i="17"/>
  <c r="D17" i="2"/>
  <c r="F13" i="17"/>
  <c r="E17" i="2"/>
  <c r="F20" i="18" l="1"/>
  <c r="D20" i="18"/>
  <c r="D22" i="18" s="1"/>
  <c r="D25" i="18" s="1"/>
  <c r="D26" i="18" s="1"/>
  <c r="D15" i="17"/>
  <c r="E20" i="18"/>
  <c r="D20" i="16"/>
  <c r="D4" i="16" l="1"/>
  <c r="D7" i="16" s="1"/>
  <c r="E24" i="18"/>
  <c r="D22" i="16"/>
  <c r="D23" i="16" s="1"/>
  <c r="E11" i="17"/>
  <c r="E15" i="17" s="1"/>
  <c r="F11" i="17" l="1"/>
  <c r="F15" i="17" s="1"/>
  <c r="E22" i="16"/>
  <c r="D55" i="2"/>
  <c r="E20" i="16"/>
  <c r="E23" i="16" s="1"/>
  <c r="E22" i="18"/>
  <c r="E25" i="18" s="1"/>
  <c r="E26" i="18" s="1"/>
  <c r="E4" i="16" l="1"/>
  <c r="E7" i="16" s="1"/>
  <c r="F24" i="18"/>
  <c r="D32" i="12"/>
  <c r="D34" i="12" s="1"/>
  <c r="G11" i="17"/>
  <c r="F22" i="16"/>
  <c r="E55" i="2" l="1"/>
  <c r="D10" i="16"/>
  <c r="D12" i="16" s="1"/>
  <c r="D25" i="16" s="1"/>
  <c r="E31" i="12"/>
  <c r="F20" i="16"/>
  <c r="F23" i="16" s="1"/>
  <c r="F22" i="18"/>
  <c r="F25" i="18" s="1"/>
  <c r="F26" i="18" s="1"/>
  <c r="F4" i="16" l="1"/>
  <c r="F7" i="16" s="1"/>
  <c r="G24" i="18"/>
  <c r="E32" i="12"/>
  <c r="E34" i="12" s="1"/>
  <c r="E10" i="16" l="1"/>
  <c r="E12" i="16" s="1"/>
  <c r="E25" i="16" s="1"/>
  <c r="F31" i="12"/>
  <c r="F55" i="2"/>
  <c r="F32" i="12" l="1"/>
  <c r="F34" i="12" s="1"/>
  <c r="F27" i="12"/>
  <c r="F28" i="12" s="1"/>
  <c r="G31" i="12" l="1"/>
  <c r="F10" i="16"/>
  <c r="F12" i="16" s="1"/>
  <c r="F25" i="16" s="1"/>
  <c r="J33" i="12"/>
  <c r="J17" i="14" s="1"/>
  <c r="G33" i="12"/>
  <c r="G17" i="14" s="1"/>
  <c r="K33" i="12"/>
  <c r="K17" i="14" s="1"/>
  <c r="O33" i="12"/>
  <c r="O17" i="14" s="1"/>
  <c r="H33" i="12"/>
  <c r="H17" i="14" s="1"/>
  <c r="N33" i="12"/>
  <c r="N17" i="14" s="1"/>
  <c r="I33" i="12"/>
  <c r="I17" i="14" s="1"/>
  <c r="P33" i="12"/>
  <c r="P17" i="14" s="1"/>
  <c r="L33" i="12"/>
  <c r="L17" i="14" s="1"/>
  <c r="M33" i="12"/>
  <c r="M17" i="14" s="1"/>
  <c r="M6" i="18" l="1"/>
  <c r="M19" i="14"/>
  <c r="H6" i="18"/>
  <c r="H19" i="14"/>
  <c r="J6" i="18"/>
  <c r="J19" i="14"/>
  <c r="G6" i="18"/>
  <c r="G19" i="14"/>
  <c r="N6" i="18"/>
  <c r="N19" i="14"/>
  <c r="L6" i="18"/>
  <c r="L19" i="14"/>
  <c r="P6" i="18"/>
  <c r="P19" i="14"/>
  <c r="O6" i="18"/>
  <c r="O19" i="14"/>
  <c r="I19" i="14"/>
  <c r="I6" i="18"/>
  <c r="K6" i="18"/>
  <c r="K19" i="14"/>
  <c r="G34" i="12"/>
  <c r="K7" i="15" l="1"/>
  <c r="H7" i="15"/>
  <c r="O7" i="15"/>
  <c r="G7" i="15"/>
  <c r="P7" i="15"/>
  <c r="N7" i="15"/>
  <c r="J7" i="15"/>
  <c r="M7" i="15"/>
  <c r="L7" i="15"/>
  <c r="H31" i="12"/>
  <c r="H34" i="12" s="1"/>
  <c r="G10" i="16"/>
  <c r="I7" i="15"/>
  <c r="H10" i="16" l="1"/>
  <c r="I31" i="12"/>
  <c r="I34" i="12" s="1"/>
  <c r="I10" i="16" l="1"/>
  <c r="J31" i="12"/>
  <c r="J34" i="12" s="1"/>
  <c r="K31" i="12" l="1"/>
  <c r="K34" i="12" s="1"/>
  <c r="J10" i="16"/>
  <c r="L31" i="12" l="1"/>
  <c r="L34" i="12" s="1"/>
  <c r="K10" i="16"/>
  <c r="L10" i="16" l="1"/>
  <c r="M31" i="12"/>
  <c r="M34" i="12" s="1"/>
  <c r="M10" i="16" l="1"/>
  <c r="N31" i="12"/>
  <c r="N34" i="12" s="1"/>
  <c r="O31" i="12" l="1"/>
  <c r="O34" i="12" s="1"/>
  <c r="N10" i="16"/>
  <c r="P31" i="12" l="1"/>
  <c r="P34" i="12" s="1"/>
  <c r="P10" i="16" s="1"/>
  <c r="O10" i="16"/>
  <c r="G24" i="14"/>
  <c r="G26" i="14" s="1"/>
  <c r="H24" i="14"/>
  <c r="H26" i="14" s="1"/>
  <c r="I24" i="14"/>
  <c r="J24" i="14"/>
  <c r="J26" i="14" s="1"/>
  <c r="J8" i="15" s="1"/>
  <c r="J13" i="15" s="1"/>
  <c r="K24" i="14"/>
  <c r="K26" i="14" s="1"/>
  <c r="L24" i="14"/>
  <c r="L26" i="14" s="1"/>
  <c r="M24" i="14"/>
  <c r="N24" i="14"/>
  <c r="N26" i="14" s="1"/>
  <c r="N8" i="15" s="1"/>
  <c r="N13" i="15" s="1"/>
  <c r="O24" i="14"/>
  <c r="O26" i="14" s="1"/>
  <c r="P24" i="14"/>
  <c r="P26" i="14" s="1"/>
  <c r="I26" i="14"/>
  <c r="I8" i="15" s="1"/>
  <c r="I13" i="15" s="1"/>
  <c r="M26" i="14"/>
  <c r="M8" i="15" s="1"/>
  <c r="M13" i="15" s="1"/>
  <c r="N27" i="14" l="1"/>
  <c r="N4" i="18" s="1"/>
  <c r="N9" i="18" s="1"/>
  <c r="N12" i="18" s="1"/>
  <c r="J27" i="14"/>
  <c r="J4" i="18" s="1"/>
  <c r="J9" i="18" s="1"/>
  <c r="J12" i="18" s="1"/>
  <c r="L8" i="15"/>
  <c r="L13" i="15" s="1"/>
  <c r="L27" i="14"/>
  <c r="O8" i="15"/>
  <c r="O13" i="15" s="1"/>
  <c r="O27" i="14"/>
  <c r="G8" i="15"/>
  <c r="G13" i="15" s="1"/>
  <c r="G27" i="14"/>
  <c r="P8" i="15"/>
  <c r="P13" i="15" s="1"/>
  <c r="P27" i="14"/>
  <c r="H8" i="15"/>
  <c r="H13" i="15" s="1"/>
  <c r="H27" i="14"/>
  <c r="K8" i="15"/>
  <c r="K13" i="15" s="1"/>
  <c r="K27" i="14"/>
  <c r="M27" i="14"/>
  <c r="I27" i="14"/>
  <c r="N12" i="17" l="1"/>
  <c r="J12" i="17"/>
  <c r="K4" i="18"/>
  <c r="K9" i="18" s="1"/>
  <c r="K12" i="18" s="1"/>
  <c r="K12" i="17"/>
  <c r="P12" i="17"/>
  <c r="P4" i="18"/>
  <c r="P9" i="18" s="1"/>
  <c r="P12" i="18" s="1"/>
  <c r="G4" i="18"/>
  <c r="G9" i="18" s="1"/>
  <c r="G12" i="18" s="1"/>
  <c r="G12" i="17"/>
  <c r="L12" i="17"/>
  <c r="L4" i="18"/>
  <c r="L9" i="18" s="1"/>
  <c r="L12" i="18" s="1"/>
  <c r="I12" i="17"/>
  <c r="I4" i="18"/>
  <c r="I9" i="18" s="1"/>
  <c r="I12" i="18" s="1"/>
  <c r="G15" i="15"/>
  <c r="M12" i="17"/>
  <c r="M4" i="18"/>
  <c r="M9" i="18" s="1"/>
  <c r="M12" i="18" s="1"/>
  <c r="H12" i="17"/>
  <c r="H4" i="18"/>
  <c r="H9" i="18" s="1"/>
  <c r="H12" i="18" s="1"/>
  <c r="O4" i="18"/>
  <c r="O9" i="18" s="1"/>
  <c r="O12" i="18" s="1"/>
  <c r="O12" i="17"/>
  <c r="G24" i="15" l="1"/>
  <c r="G25" i="15" l="1"/>
  <c r="G16" i="16" l="1"/>
  <c r="G26" i="15"/>
  <c r="G28" i="15"/>
  <c r="H23" i="15"/>
  <c r="G29" i="15" l="1"/>
  <c r="G30" i="15" s="1"/>
  <c r="G17" i="15" s="1"/>
  <c r="H16" i="16"/>
  <c r="H20" i="16" s="1"/>
  <c r="I16" i="16"/>
  <c r="J16" i="16"/>
  <c r="K16" i="16"/>
  <c r="K20" i="16" s="1"/>
  <c r="L16" i="16"/>
  <c r="L20" i="16" s="1"/>
  <c r="M16" i="16"/>
  <c r="N16" i="16"/>
  <c r="O16" i="16"/>
  <c r="O20" i="16" s="1"/>
  <c r="P16" i="16"/>
  <c r="P20" i="16" s="1"/>
  <c r="G20" i="16"/>
  <c r="I20" i="16"/>
  <c r="J20" i="16"/>
  <c r="M20" i="16"/>
  <c r="N20" i="16"/>
  <c r="G15" i="17"/>
  <c r="H11" i="17" s="1"/>
  <c r="H15" i="17" s="1"/>
  <c r="G21" i="18"/>
  <c r="G22" i="18" s="1"/>
  <c r="G25" i="18" s="1"/>
  <c r="G26" i="18" s="1"/>
  <c r="H21" i="18"/>
  <c r="H22" i="18" s="1"/>
  <c r="I21" i="18"/>
  <c r="J21" i="18"/>
  <c r="K21" i="18"/>
  <c r="K22" i="18" s="1"/>
  <c r="K25" i="18" s="1"/>
  <c r="L21" i="18"/>
  <c r="L22" i="18" s="1"/>
  <c r="L25" i="18" s="1"/>
  <c r="M21" i="18"/>
  <c r="N21" i="18"/>
  <c r="O21" i="18"/>
  <c r="P21" i="18"/>
  <c r="P22" i="18" s="1"/>
  <c r="P25" i="18" s="1"/>
  <c r="I22" i="18"/>
  <c r="I25" i="18" s="1"/>
  <c r="J22" i="18"/>
  <c r="J25" i="18" s="1"/>
  <c r="M22" i="18"/>
  <c r="M25" i="18" s="1"/>
  <c r="N22" i="18"/>
  <c r="N25" i="18" s="1"/>
  <c r="O22" i="18"/>
  <c r="O25" i="18" s="1"/>
  <c r="H25" i="18"/>
  <c r="I15" i="15"/>
  <c r="J15" i="15"/>
  <c r="M15" i="15"/>
  <c r="N15" i="15"/>
  <c r="H15" i="15"/>
  <c r="H24" i="15" s="1"/>
  <c r="H25" i="15" s="1"/>
  <c r="K15" i="15"/>
  <c r="L15" i="15"/>
  <c r="O15" i="15"/>
  <c r="P15" i="15"/>
  <c r="H28" i="15"/>
  <c r="G22" i="16" l="1"/>
  <c r="G23" i="16" s="1"/>
  <c r="H29" i="15"/>
  <c r="H22" i="16"/>
  <c r="H23" i="16" s="1"/>
  <c r="I11" i="17"/>
  <c r="I15" i="17" s="1"/>
  <c r="G4" i="16"/>
  <c r="G7" i="16" s="1"/>
  <c r="G12" i="16" s="1"/>
  <c r="G25" i="16" s="1"/>
  <c r="H24" i="18"/>
  <c r="H26" i="18" s="1"/>
  <c r="I23" i="15"/>
  <c r="I24" i="15" s="1"/>
  <c r="H26" i="15"/>
  <c r="H30" i="15" l="1"/>
  <c r="H17" i="15" s="1"/>
  <c r="I25" i="15"/>
  <c r="I22" i="16"/>
  <c r="I23" i="16" s="1"/>
  <c r="J11" i="17"/>
  <c r="J15" i="17" s="1"/>
  <c r="H4" i="16"/>
  <c r="H7" i="16" s="1"/>
  <c r="H12" i="16" s="1"/>
  <c r="H25" i="16" s="1"/>
  <c r="I24" i="18"/>
  <c r="I26" i="18" s="1"/>
  <c r="J24" i="18" l="1"/>
  <c r="J26" i="18" s="1"/>
  <c r="I4" i="16"/>
  <c r="I7" i="16" s="1"/>
  <c r="I12" i="16" s="1"/>
  <c r="I25" i="16" s="1"/>
  <c r="I28" i="15"/>
  <c r="J23" i="15"/>
  <c r="I26" i="15"/>
  <c r="K11" i="17"/>
  <c r="K15" i="17" s="1"/>
  <c r="J22" i="16"/>
  <c r="J23" i="16" s="1"/>
  <c r="I29" i="15" l="1"/>
  <c r="I30" i="15" s="1"/>
  <c r="I17" i="15" s="1"/>
  <c r="L11" i="17"/>
  <c r="L15" i="17" s="1"/>
  <c r="K22" i="16"/>
  <c r="K23" i="16" s="1"/>
  <c r="J24" i="15"/>
  <c r="J25" i="15" s="1"/>
  <c r="J4" i="16"/>
  <c r="J7" i="16" s="1"/>
  <c r="J12" i="16" s="1"/>
  <c r="J25" i="16" s="1"/>
  <c r="K24" i="18"/>
  <c r="K26" i="18" s="1"/>
  <c r="K23" i="15" l="1"/>
  <c r="J28" i="15"/>
  <c r="J26" i="15"/>
  <c r="L22" i="16"/>
  <c r="L23" i="16" s="1"/>
  <c r="M11" i="17"/>
  <c r="M15" i="17" s="1"/>
  <c r="K4" i="16"/>
  <c r="K7" i="16" s="1"/>
  <c r="K12" i="16" s="1"/>
  <c r="K25" i="16" s="1"/>
  <c r="L24" i="18"/>
  <c r="L26" i="18" s="1"/>
  <c r="M24" i="18" l="1"/>
  <c r="M26" i="18" s="1"/>
  <c r="L4" i="16"/>
  <c r="L7" i="16" s="1"/>
  <c r="L12" i="16" s="1"/>
  <c r="L25" i="16" s="1"/>
  <c r="J29" i="15"/>
  <c r="J30" i="15" s="1"/>
  <c r="J17" i="15" s="1"/>
  <c r="M22" i="16"/>
  <c r="M23" i="16" s="1"/>
  <c r="N11" i="17"/>
  <c r="N15" i="17" s="1"/>
  <c r="K24" i="15"/>
  <c r="K25" i="15" s="1"/>
  <c r="K28" i="15" l="1"/>
  <c r="L23" i="15"/>
  <c r="K26" i="15"/>
  <c r="O11" i="17"/>
  <c r="O15" i="17" s="1"/>
  <c r="N22" i="16"/>
  <c r="N23" i="16" s="1"/>
  <c r="M4" i="16"/>
  <c r="M7" i="16" s="1"/>
  <c r="M12" i="16" s="1"/>
  <c r="M25" i="16" s="1"/>
  <c r="N24" i="18"/>
  <c r="N26" i="18" s="1"/>
  <c r="N4" i="16" l="1"/>
  <c r="N7" i="16" s="1"/>
  <c r="N12" i="16" s="1"/>
  <c r="N25" i="16" s="1"/>
  <c r="O24" i="18"/>
  <c r="O26" i="18" s="1"/>
  <c r="L24" i="15"/>
  <c r="L25" i="15" s="1"/>
  <c r="P11" i="17"/>
  <c r="P15" i="17" s="1"/>
  <c r="P22" i="16" s="1"/>
  <c r="P23" i="16" s="1"/>
  <c r="O22" i="16"/>
  <c r="O23" i="16" s="1"/>
  <c r="K29" i="15"/>
  <c r="K30" i="15" s="1"/>
  <c r="K17" i="15" s="1"/>
  <c r="M23" i="15" l="1"/>
  <c r="L28" i="15"/>
  <c r="L26" i="15"/>
  <c r="O4" i="16"/>
  <c r="O7" i="16" s="1"/>
  <c r="O12" i="16" s="1"/>
  <c r="O25" i="16" s="1"/>
  <c r="P24" i="18"/>
  <c r="P26" i="18" s="1"/>
  <c r="P4" i="16" s="1"/>
  <c r="P7" i="16" s="1"/>
  <c r="P12" i="16" s="1"/>
  <c r="P25" i="16" s="1"/>
  <c r="L29" i="15" l="1"/>
  <c r="L30" i="15" s="1"/>
  <c r="L17" i="15" s="1"/>
  <c r="M24" i="15"/>
  <c r="M25" i="15" s="1"/>
  <c r="M28" i="15" l="1"/>
  <c r="N23" i="15"/>
  <c r="M26" i="15"/>
  <c r="N24" i="15" l="1"/>
  <c r="N25" i="15" s="1"/>
  <c r="M29" i="15"/>
  <c r="M30" i="15" s="1"/>
  <c r="M17" i="15" s="1"/>
  <c r="N28" i="15" l="1"/>
  <c r="O23" i="15"/>
  <c r="N26" i="15"/>
  <c r="N29" i="15" l="1"/>
  <c r="N30" i="15" s="1"/>
  <c r="N17" i="15" s="1"/>
  <c r="O24" i="15"/>
  <c r="O25" i="15" s="1"/>
  <c r="O28" i="15" l="1"/>
  <c r="P23" i="15"/>
  <c r="O26" i="15"/>
  <c r="O29" i="15" l="1"/>
  <c r="O30" i="15" s="1"/>
  <c r="O17" i="15" s="1"/>
  <c r="P24" i="15"/>
  <c r="P25" i="15" s="1"/>
  <c r="P28" i="15" l="1"/>
  <c r="P29" i="15" s="1"/>
  <c r="P26" i="15"/>
  <c r="P30" i="15" s="1"/>
  <c r="P17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<sst xmlns="http://schemas.openxmlformats.org/spreadsheetml/2006/main" count="355" uniqueCount="201">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</sst>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8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39" borderId="0" xfId="0" applyFill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 (1)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170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2026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C19" sqref="C19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>IS!G27</f>
        <v>92.974752028294148</v>
      </c>
      <c r="H4">
        <f>IS!H27</f>
        <v>163.32260805658825</v>
      </c>
      <c r="I4">
        <f>IS!I27</f>
        <v>246.98391208488229</v>
      </c>
      <c r="J4">
        <f>IS!J27</f>
        <v>246.18391208488219</v>
      </c>
      <c r="K4">
        <f>IS!K27</f>
        <v>245.3839120848823</v>
      </c>
      <c r="L4">
        <f>IS!L27</f>
        <v>244.58391208488229</v>
      </c>
      <c r="M4">
        <f>IS!M27</f>
        <v>243.78391208488227</v>
      </c>
      <c r="N4">
        <f>IS!N27</f>
        <v>120.25808644527058</v>
      </c>
      <c r="O4">
        <f>IS!O27</f>
        <v>14.264521611317656</v>
      </c>
      <c r="P4">
        <f>IS!P27</f>
        <v>0</v>
      </c>
    </row>
    <row r="5" spans="1:16" s="73" customFormat="1" ht="15" customHeight="1" x14ac:dyDescent="0.45">
      <c r="B5" s="16" t="str">
        <f>IS!B11</f>
        <v>Depletion</v>
      </c>
      <c r="D5" s="73">
        <f>-IS!D11</f>
        <v>0</v>
      </c>
      <c r="E5" s="73">
        <f>-IS!E11</f>
        <v>0</v>
      </c>
      <c r="F5" s="73">
        <f>-IS!F11</f>
        <v>0</v>
      </c>
      <c r="G5" s="73">
        <f>-IS!G11</f>
        <v>107.09999999999997</v>
      </c>
      <c r="H5" s="73">
        <f>-IS!H11</f>
        <v>214.19999999999993</v>
      </c>
      <c r="I5" s="73">
        <f>-IS!I11</f>
        <v>321.2999999999999</v>
      </c>
      <c r="J5" s="73">
        <f>-IS!J11</f>
        <v>321.30000000000007</v>
      </c>
      <c r="K5" s="73">
        <f>-IS!K11</f>
        <v>321.2999999999999</v>
      </c>
      <c r="L5" s="73">
        <f>-IS!L11</f>
        <v>321.29999999999995</v>
      </c>
      <c r="M5" s="73">
        <f>-IS!M11</f>
        <v>321.29999999999995</v>
      </c>
      <c r="N5" s="73">
        <f>-IS!N11</f>
        <v>171.36</v>
      </c>
      <c r="O5" s="73">
        <f>-IS!O11</f>
        <v>42.839999999999996</v>
      </c>
      <c r="P5" s="73">
        <f>-IS!P11</f>
        <v>0</v>
      </c>
    </row>
    <row r="6" spans="1:16" s="73" customFormat="1" ht="15" customHeight="1" x14ac:dyDescent="0.45">
      <c r="B6" s="16" t="str">
        <f>IS!B17</f>
        <v>Amortization</v>
      </c>
      <c r="D6" s="73">
        <f>-IS!D17</f>
        <v>0</v>
      </c>
      <c r="E6" s="73">
        <f>-IS!E17</f>
        <v>0</v>
      </c>
      <c r="F6" s="73">
        <f>-IS!F17</f>
        <v>0</v>
      </c>
      <c r="G6" s="73">
        <f>-IS!G17</f>
        <v>12.084559964632415</v>
      </c>
      <c r="H6" s="73">
        <f>-IS!H17</f>
        <v>24.169119929264831</v>
      </c>
      <c r="I6" s="73">
        <f>-IS!I17</f>
        <v>36.25367989389725</v>
      </c>
      <c r="J6" s="73">
        <f>-IS!J17</f>
        <v>36.253679893897271</v>
      </c>
      <c r="K6" s="73">
        <f>-IS!K17</f>
        <v>36.25367989389725</v>
      </c>
      <c r="L6" s="73">
        <f>-IS!L17</f>
        <v>36.253679893897264</v>
      </c>
      <c r="M6" s="73">
        <f>-IS!M17</f>
        <v>36.253679893897257</v>
      </c>
      <c r="N6" s="73">
        <f>-IS!N17</f>
        <v>19.335295943411875</v>
      </c>
      <c r="O6" s="73">
        <f>-IS!O17</f>
        <v>4.8338239858529679</v>
      </c>
      <c r="P6" s="73">
        <f>-IS!P17</f>
        <v>0</v>
      </c>
    </row>
    <row r="7" spans="1:16" s="73" customFormat="1" ht="15" customHeight="1" x14ac:dyDescent="0.45">
      <c r="B7" s="16" t="str">
        <f>IS!B23</f>
        <v>Interest on asset retirement obligation</v>
      </c>
      <c r="D7" s="73">
        <f>-IS!D23</f>
        <v>0</v>
      </c>
      <c r="E7" s="73">
        <f>-IS!E23</f>
        <v>0</v>
      </c>
      <c r="F7" s="73">
        <f>-IS!F23</f>
        <v>0</v>
      </c>
      <c r="G7" s="73">
        <f>-IS!G23</f>
        <v>0</v>
      </c>
      <c r="H7" s="73">
        <f>-IS!H23</f>
        <v>0</v>
      </c>
      <c r="I7" s="73">
        <f>-IS!I23</f>
        <v>0</v>
      </c>
      <c r="J7" s="73">
        <f>-IS!J23</f>
        <v>0</v>
      </c>
      <c r="K7" s="73">
        <f>-IS!K23</f>
        <v>0</v>
      </c>
      <c r="L7" s="73">
        <f>-IS!L23</f>
        <v>0</v>
      </c>
      <c r="M7" s="73">
        <f>-IS!M23</f>
        <v>0</v>
      </c>
      <c r="N7" s="73">
        <f>-IS!N23</f>
        <v>0</v>
      </c>
      <c r="O7" s="73">
        <f>-IS!O23</f>
        <v>0</v>
      </c>
      <c r="P7" s="73">
        <f>-IS!P23</f>
        <v>0</v>
      </c>
    </row>
    <row r="8" spans="1:16" ht="15" customHeight="1" x14ac:dyDescent="0.45">
      <c r="A8"/>
      <c r="B8" s="16" t="s">
        <v>174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si="2"/>
        <v>212.15931199292652</v>
      </c>
      <c r="H9">
        <f t="shared" si="2"/>
        <v>401.69172798585299</v>
      </c>
      <c r="I9">
        <f t="shared" si="2"/>
        <v>604.53759197877946</v>
      </c>
      <c r="J9">
        <f t="shared" si="2"/>
        <v>603.73759197877951</v>
      </c>
      <c r="K9">
        <f t="shared" si="2"/>
        <v>602.93759197877944</v>
      </c>
      <c r="L9">
        <f t="shared" si="2"/>
        <v>602.13759197877948</v>
      </c>
      <c r="M9">
        <f t="shared" si="2"/>
        <v>601.33759197877953</v>
      </c>
      <c r="N9">
        <f t="shared" si="2"/>
        <v>300.95338238868248</v>
      </c>
      <c r="O9">
        <f t="shared" si="2"/>
        <v>1.9383455971706169</v>
      </c>
      <c r="P9">
        <f t="shared" si="2"/>
        <v>0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si="3"/>
        <v>194.75684623950184</v>
      </c>
      <c r="H12">
        <f t="shared" si="3"/>
        <v>385.55067593105849</v>
      </c>
      <c r="I12">
        <f t="shared" si="3"/>
        <v>586.78733992398497</v>
      </c>
      <c r="J12">
        <f t="shared" si="3"/>
        <v>603.73759197877951</v>
      </c>
      <c r="K12">
        <f t="shared" si="3"/>
        <v>602.93759197877944</v>
      </c>
      <c r="L12">
        <f t="shared" si="3"/>
        <v>602.13759197877948</v>
      </c>
      <c r="M12">
        <f t="shared" si="3"/>
        <v>601.33759197877953</v>
      </c>
      <c r="N12">
        <f t="shared" si="3"/>
        <v>325.80373526539483</v>
      </c>
      <c r="O12">
        <f t="shared" si="3"/>
        <v>23.238648062924046</v>
      </c>
      <c r="P12">
        <f t="shared" si="3"/>
        <v>7.1001008219178106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>-'S&amp;U'!D7</f>
        <v>-203</v>
      </c>
      <c r="E15">
        <f>-'S&amp;U'!E7</f>
        <v>-0.8</v>
      </c>
      <c r="F15">
        <f>-'S&amp;U'!F7</f>
        <v>-0.7</v>
      </c>
    </row>
    <row r="16" spans="1:16" ht="15" customHeight="1" x14ac:dyDescent="0.45">
      <c r="A16"/>
      <c r="B16" s="16" t="s">
        <v>152</v>
      </c>
      <c r="D16">
        <f>SUM(D14:D15)</f>
        <v>-383</v>
      </c>
      <c r="E16">
        <f t="shared" ref="E16:F16" si="4">SUM(E14:E15)</f>
        <v>-1235.8</v>
      </c>
      <c r="F16">
        <f t="shared" si="4"/>
        <v>-727.7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>BS!G14-BS!F14</f>
        <v>0</v>
      </c>
      <c r="H18">
        <f>BS!H14-BS!G14</f>
        <v>0</v>
      </c>
      <c r="I18">
        <f>BS!I14-BS!H14</f>
        <v>0</v>
      </c>
      <c r="J18">
        <f>BS!J14-BS!I14</f>
        <v>0</v>
      </c>
      <c r="K18">
        <f>BS!K14-BS!J14</f>
        <v>0</v>
      </c>
      <c r="L18">
        <f>BS!L14-BS!K14</f>
        <v>0</v>
      </c>
      <c r="M18">
        <f>BS!M14-BS!L14</f>
        <v>0</v>
      </c>
      <c r="N18">
        <f>BS!N14-BS!M14</f>
        <v>0</v>
      </c>
      <c r="O18">
        <f>BS!O14-BS!N14</f>
        <v>0</v>
      </c>
      <c r="P18">
        <f>BS!P14-BS!O14</f>
        <v>0</v>
      </c>
    </row>
    <row r="19" spans="1:16" ht="15" customHeight="1" x14ac:dyDescent="0.45">
      <c r="A19"/>
      <c r="B19" s="16" t="s">
        <v>178</v>
      </c>
      <c r="D19">
        <f>Finance!D40+Finance!D41</f>
        <v>0</v>
      </c>
      <c r="E19">
        <f>Finance!E40+Finance!E41</f>
        <v>0</v>
      </c>
      <c r="F19">
        <f>Finance!F40+Finance!F41</f>
        <v>0</v>
      </c>
      <c r="G19">
        <f>Finance!G40+Finance!G41</f>
        <v>0</v>
      </c>
      <c r="H19">
        <f>Finance!H40+Finance!H41</f>
        <v>0</v>
      </c>
      <c r="I19">
        <f>Finance!I40+Finance!I41</f>
        <v>0</v>
      </c>
      <c r="J19">
        <f>Finance!J40+Finance!J41</f>
        <v>0</v>
      </c>
      <c r="K19">
        <f>Finance!K40+Finance!K41</f>
        <v>0</v>
      </c>
      <c r="L19">
        <f>Finance!L40+Finance!L41</f>
        <v>0</v>
      </c>
      <c r="M19">
        <f>Finance!M40+Finance!M41</f>
        <v>0</v>
      </c>
      <c r="N19">
        <f>Finance!N40+Finance!N41</f>
        <v>0</v>
      </c>
      <c r="O19">
        <f>Finance!O40+Finance!O41</f>
        <v>0</v>
      </c>
      <c r="P19">
        <f>Finance!P40+Finance!P41</f>
        <v>0</v>
      </c>
    </row>
    <row r="20" spans="1:16" ht="15" customHeight="1" x14ac:dyDescent="0.45">
      <c r="A20"/>
      <c r="B20" s="16" t="s">
        <v>159</v>
      </c>
      <c r="D20">
        <f>Calcs!D13</f>
        <v>119.27917558120706</v>
      </c>
      <c r="E20">
        <f>Calcs!E13</f>
        <v>384.86998742364403</v>
      </c>
      <c r="F20">
        <f>Calcs!F13</f>
        <v>332.59353758223295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>Calcs!G14</f>
        <v>0</v>
      </c>
      <c r="H21">
        <f>Calcs!H14</f>
        <v>0</v>
      </c>
      <c r="I21">
        <f>Calcs!I14</f>
        <v>0</v>
      </c>
      <c r="J21">
        <f>Calcs!J14</f>
        <v>0</v>
      </c>
      <c r="K21">
        <f>Calcs!K14</f>
        <v>0</v>
      </c>
      <c r="L21">
        <f>Calcs!L14</f>
        <v>0</v>
      </c>
      <c r="M21">
        <f>Calcs!M14</f>
        <v>0</v>
      </c>
      <c r="N21">
        <f>Calcs!N14</f>
        <v>0</v>
      </c>
      <c r="O21">
        <f>Calcs!O14</f>
        <v>0</v>
      </c>
      <c r="P21">
        <f>Calcs!P14</f>
        <v>0</v>
      </c>
    </row>
    <row r="22" spans="1:16" ht="15" customHeight="1" x14ac:dyDescent="0.45">
      <c r="B22" s="16" t="s">
        <v>155</v>
      </c>
      <c r="D22">
        <f>SUM(D18:D21)</f>
        <v>119.27917558120706</v>
      </c>
      <c r="E22">
        <f t="shared" ref="E22:P22" si="5">SUM(E18:E21)</f>
        <v>384.86998742364403</v>
      </c>
      <c r="F22">
        <f t="shared" si="5"/>
        <v>332.59353758223295</v>
      </c>
      <c r="G22">
        <f t="shared" si="5"/>
        <v>0</v>
      </c>
      <c r="H22">
        <f t="shared" si="5"/>
        <v>0</v>
      </c>
      <c r="I22">
        <f t="shared" si="5"/>
        <v>0</v>
      </c>
      <c r="J22">
        <f t="shared" si="5"/>
        <v>0</v>
      </c>
      <c r="K22">
        <f t="shared" si="5"/>
        <v>0</v>
      </c>
      <c r="L22">
        <f t="shared" si="5"/>
        <v>0</v>
      </c>
      <c r="M22">
        <f t="shared" si="5"/>
        <v>0</v>
      </c>
      <c r="N22">
        <f t="shared" si="5"/>
        <v>0</v>
      </c>
      <c r="O22">
        <f t="shared" si="5"/>
        <v>0</v>
      </c>
      <c r="P22">
        <f t="shared" si="5"/>
        <v>0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si="6">D26</f>
        <v>-263.72082441879297</v>
      </c>
      <c r="F24">
        <f t="shared" si="6"/>
        <v>-1114.6508369951489</v>
      </c>
      <c r="G24">
        <f t="shared" si="6"/>
        <v>-1511.7142857142858</v>
      </c>
      <c r="H24">
        <f t="shared" si="6"/>
        <v>-1316.957439474784</v>
      </c>
      <c r="I24">
        <f t="shared" si="6"/>
        <v>-931.40676354372545</v>
      </c>
      <c r="J24">
        <f t="shared" si="6"/>
        <v>-344.61942361974047</v>
      </c>
      <c r="K24">
        <f t="shared" si="6"/>
        <v>259.11816835903903</v>
      </c>
      <c r="L24">
        <f t="shared" si="6"/>
        <v>862.05576033781847</v>
      </c>
      <c r="M24">
        <f t="shared" si="6"/>
        <v>1464.1933523165981</v>
      </c>
      <c r="N24">
        <f t="shared" si="6"/>
        <v>2065.5309442953776</v>
      </c>
      <c r="O24">
        <f t="shared" si="6"/>
        <v>2391.3346795607722</v>
      </c>
      <c r="P24">
        <f t="shared" si="6"/>
        <v>2414.5733276236961</v>
      </c>
    </row>
    <row r="25" spans="1:16" ht="15" customHeight="1" x14ac:dyDescent="0.45">
      <c r="A25"/>
      <c r="B25" s="16" t="s">
        <v>157</v>
      </c>
      <c r="D25">
        <f>D12+D16+D22</f>
        <v>-263.72082441879297</v>
      </c>
      <c r="E25">
        <f t="shared" ref="E25:P25" si="7">E12+E16+E22</f>
        <v>-850.93001257635592</v>
      </c>
      <c r="F25">
        <f t="shared" si="7"/>
        <v>-397.06344871913694</v>
      </c>
      <c r="G25">
        <f t="shared" si="7"/>
        <v>194.75684623950184</v>
      </c>
      <c r="H25">
        <f t="shared" si="7"/>
        <v>385.55067593105849</v>
      </c>
      <c r="I25">
        <f t="shared" si="7"/>
        <v>586.78733992398497</v>
      </c>
      <c r="J25">
        <f t="shared" si="7"/>
        <v>603.73759197877951</v>
      </c>
      <c r="K25">
        <f t="shared" si="7"/>
        <v>602.93759197877944</v>
      </c>
      <c r="L25">
        <f t="shared" si="7"/>
        <v>602.13759197877948</v>
      </c>
      <c r="M25">
        <f t="shared" si="7"/>
        <v>601.33759197877953</v>
      </c>
      <c r="N25">
        <f t="shared" si="7"/>
        <v>325.80373526539483</v>
      </c>
      <c r="O25">
        <f t="shared" si="7"/>
        <v>23.238648062924046</v>
      </c>
      <c r="P25">
        <f t="shared" si="7"/>
        <v>7.1001008219178106</v>
      </c>
    </row>
    <row r="26" spans="1:16" ht="15" customHeight="1" x14ac:dyDescent="0.45">
      <c r="A26"/>
      <c r="B26" s="16" t="s">
        <v>158</v>
      </c>
      <c r="C26" s="63">
        <v>0</v>
      </c>
      <c r="D26">
        <f>SUM(D24:D25)</f>
        <v>-263.72082441879297</v>
      </c>
      <c r="E26">
        <f t="shared" ref="E26:P26" si="8">SUM(E24:E25)</f>
        <v>-1114.6508369951489</v>
      </c>
      <c r="F26">
        <f t="shared" si="8"/>
        <v>-1511.7142857142858</v>
      </c>
      <c r="G26">
        <f t="shared" si="8"/>
        <v>-1316.957439474784</v>
      </c>
      <c r="H26">
        <f t="shared" si="8"/>
        <v>-931.40676354372545</v>
      </c>
      <c r="I26">
        <f t="shared" si="8"/>
        <v>-344.61942361974047</v>
      </c>
      <c r="J26">
        <f t="shared" si="8"/>
        <v>259.11816835903903</v>
      </c>
      <c r="K26">
        <f t="shared" si="8"/>
        <v>862.05576033781847</v>
      </c>
      <c r="L26">
        <f t="shared" si="8"/>
        <v>1464.1933523165981</v>
      </c>
      <c r="M26">
        <f t="shared" si="8"/>
        <v>2065.5309442953776</v>
      </c>
      <c r="N26">
        <f t="shared" si="8"/>
        <v>2391.3346795607722</v>
      </c>
      <c r="O26">
        <f t="shared" si="8"/>
        <v>2414.5733276236961</v>
      </c>
      <c r="P26">
        <f t="shared" si="8"/>
        <v>2421.6734284456138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3" t="s">
        <v>0</v>
      </c>
      <c r="C4" s="83"/>
      <c r="D4" s="83"/>
      <c r="E4" s="83"/>
      <c r="F4" s="83"/>
      <c r="G4" s="83"/>
      <c r="H4" s="83"/>
      <c r="I4" s="83"/>
      <c r="K4" s="1"/>
      <c r="L4" s="83" t="s">
        <v>2</v>
      </c>
      <c r="M4" s="83"/>
      <c r="N4" s="83"/>
      <c r="O4" s="83"/>
      <c r="P4" s="83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5" t="s">
        <v>168</v>
      </c>
      <c r="O5" s="85"/>
      <c r="P5" s="85"/>
      <c r="Q5" s="85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6">
        <v>44196</v>
      </c>
      <c r="O6" s="86"/>
      <c r="P6" s="86"/>
      <c r="Q6" s="86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5" t="s">
        <v>26</v>
      </c>
      <c r="O7" s="85"/>
      <c r="P7" s="85"/>
      <c r="Q7" s="85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5" t="s">
        <v>9</v>
      </c>
      <c r="O8" s="85"/>
      <c r="P8" s="85"/>
      <c r="Q8" s="85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5" t="s">
        <v>10</v>
      </c>
      <c r="O9" s="85"/>
      <c r="P9" s="85"/>
      <c r="Q9" s="85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7">
        <v>1</v>
      </c>
      <c r="O10" s="87"/>
      <c r="P10" s="87"/>
      <c r="Q10" s="87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4" t="s">
        <v>17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N13" s="1"/>
      <c r="O13" s="83" t="s">
        <v>12</v>
      </c>
      <c r="P13" s="83"/>
      <c r="Q13" s="83"/>
      <c r="R13" s="58"/>
    </row>
    <row r="14" spans="1:18" s="2" customFormat="1" ht="15" customHeight="1" x14ac:dyDescent="0.45">
      <c r="A14" s="56"/>
      <c r="B14" s="82" t="s">
        <v>23</v>
      </c>
      <c r="C14" s="82"/>
      <c r="D14" s="82" t="s">
        <v>21</v>
      </c>
      <c r="E14" s="82"/>
      <c r="F14" s="82"/>
      <c r="G14" s="82"/>
      <c r="H14" s="82"/>
      <c r="I14" s="82"/>
      <c r="J14" s="82"/>
      <c r="K14" s="82"/>
      <c r="L14" s="82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2" t="s">
        <v>22</v>
      </c>
      <c r="C15" s="82"/>
      <c r="D15" s="82" t="s">
        <v>21</v>
      </c>
      <c r="E15" s="82"/>
      <c r="F15" s="82"/>
      <c r="G15" s="82"/>
      <c r="H15" s="82"/>
      <c r="I15" s="82"/>
      <c r="J15" s="82"/>
      <c r="K15" s="82"/>
      <c r="L15" s="82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zoomScaleNormal="100" workbookViewId="0">
      <pane xSplit="2" ySplit="2" topLeftCell="C5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D8" s="74"/>
      <c r="E8" s="74"/>
      <c r="F8" s="74"/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200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>SUM(D11:F11)</f>
        <v>2686.7427005870841</v>
      </c>
      <c r="D11" s="68">
        <f>SUM(D6:D10)</f>
        <v>383</v>
      </c>
      <c r="E11" s="68">
        <f t="shared" ref="E11:F11" si="1">SUM(E6:E10)</f>
        <v>1235.8</v>
      </c>
      <c r="F11" s="68">
        <f t="shared" si="1"/>
        <v>1067.9427005870841</v>
      </c>
    </row>
    <row r="12" spans="1:16" ht="15" customHeight="1" x14ac:dyDescent="0.45">
      <c r="A12" s="60"/>
      <c r="B12" s="16" t="s">
        <v>87</v>
      </c>
      <c r="D12" s="61">
        <f>D11/$C$11</f>
        <v>0.14255179698313133</v>
      </c>
      <c r="E12" s="61">
        <f>E11/$C$11</f>
        <v>0.45996216896019237</v>
      </c>
      <c r="F12" s="61">
        <f>F11/$C$11</f>
        <v>0.39748603405667626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176</v>
      </c>
      <c r="C15" s="63">
        <v>1850</v>
      </c>
      <c r="D15">
        <f t="shared" ref="D15:F16" si="2">$C15*D$12</f>
        <v>263.72082441879297</v>
      </c>
      <c r="E15">
        <f t="shared" si="2"/>
        <v>850.93001257635592</v>
      </c>
      <c r="F15">
        <f t="shared" si="2"/>
        <v>735.34916300485111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  <c r="C16">
        <f>C11-SUM(C15:C15)</f>
        <v>836.74270058708407</v>
      </c>
      <c r="D16">
        <f t="shared" si="2"/>
        <v>119.27917558120706</v>
      </c>
      <c r="E16">
        <f t="shared" si="2"/>
        <v>384.86998742364403</v>
      </c>
      <c r="F16">
        <f t="shared" si="2"/>
        <v>332.59353758223295</v>
      </c>
    </row>
    <row r="17" spans="1:17" ht="15" customHeight="1" x14ac:dyDescent="0.45">
      <c r="B17" s="67" t="s">
        <v>84</v>
      </c>
      <c r="C17" s="68">
        <f>SUM(C15:C16)</f>
        <v>2686.7427005870841</v>
      </c>
      <c r="D17" s="68">
        <f>SUM(D14:D16)</f>
        <v>383</v>
      </c>
      <c r="E17" s="68">
        <f>SUM(E14:E16)</f>
        <v>1235.8</v>
      </c>
      <c r="F17" s="68">
        <f>SUM(F14:F16)</f>
        <v>1067.9427005870841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</row>
    <row r="54" spans="1:16" ht="15" customHeight="1" x14ac:dyDescent="0.45">
      <c r="A54"/>
      <c r="B54" s="16" t="s">
        <v>163</v>
      </c>
    </row>
    <row r="55" spans="1:16" ht="15" customHeight="1" x14ac:dyDescent="0.45">
      <c r="A55"/>
      <c r="B55" s="16" t="s">
        <v>69</v>
      </c>
      <c r="D55">
        <f>SUM(D50:D54)</f>
        <v>203</v>
      </c>
      <c r="E55">
        <f>SUM(E50:E54)</f>
        <v>0.8</v>
      </c>
      <c r="F55">
        <f>SUM(F50:F54)</f>
        <v>0.7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10"/>
  <sheetViews>
    <sheetView tabSelected="1" zoomScaleNormal="100" zoomScaleSheetLayoutView="150" workbookViewId="0">
      <pane xSplit="2" ySplit="2" topLeftCell="C15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  <c r="G7">
        <f>IS!G19-IS!G17-IS!G11</f>
        <v>235.40300000000008</v>
      </c>
      <c r="H7">
        <f>IS!H19-IS!H17-IS!H11</f>
        <v>442.52238000000011</v>
      </c>
      <c r="I7">
        <f>IS!I19-IS!I17-IS!I11</f>
        <v>666.28357000000005</v>
      </c>
      <c r="J7">
        <f>IS!J19-IS!J17-IS!J11</f>
        <v>665.28357000000005</v>
      </c>
      <c r="K7">
        <f>IS!K19-IS!K17-IS!K11</f>
        <v>664.28357000000005</v>
      </c>
      <c r="L7">
        <f>IS!L19-IS!L17-IS!L11</f>
        <v>663.28357000000005</v>
      </c>
      <c r="M7">
        <f>IS!M19-IS!M17-IS!M11</f>
        <v>662.28357000000005</v>
      </c>
      <c r="N7">
        <f>IS!N19-IS!N17-IS!N11</f>
        <v>341.0179040000001</v>
      </c>
      <c r="O7">
        <f>IS!O19-IS!O17-IS!O11</f>
        <v>65.504476000000039</v>
      </c>
      <c r="P7">
        <f>IS!P19-IS!P17-IS!P11</f>
        <v>0</v>
      </c>
    </row>
    <row r="8" spans="1:16" ht="15" customHeight="1" x14ac:dyDescent="0.45">
      <c r="B8" s="16" t="str">
        <f>IS!B26</f>
        <v>Tax expense</v>
      </c>
      <c r="G8">
        <f>IS!G26</f>
        <v>-23.243688007073541</v>
      </c>
      <c r="H8">
        <f>IS!H26</f>
        <v>-40.830652014147063</v>
      </c>
      <c r="I8">
        <f>IS!I26</f>
        <v>-61.745978021220573</v>
      </c>
      <c r="J8">
        <f>IS!J26</f>
        <v>-61.545978021220549</v>
      </c>
      <c r="K8">
        <f>IS!K26</f>
        <v>-61.345978021220574</v>
      </c>
      <c r="L8">
        <f>IS!L26</f>
        <v>-61.145978021220571</v>
      </c>
      <c r="M8">
        <f>IS!M26</f>
        <v>-60.945978021220576</v>
      </c>
      <c r="N8">
        <f>IS!N26</f>
        <v>-30.064521611317645</v>
      </c>
      <c r="O8">
        <f>IS!O26</f>
        <v>-3.5661304028294141</v>
      </c>
      <c r="P8">
        <f>IS!P26</f>
        <v>0</v>
      </c>
    </row>
    <row r="9" spans="1:16" ht="15" customHeight="1" x14ac:dyDescent="0.45">
      <c r="B9" s="16" t="str">
        <f>CFS!B8</f>
        <v>(Asset retirement payments)</v>
      </c>
      <c r="G9">
        <f>CFS!G8</f>
        <v>0</v>
      </c>
      <c r="H9">
        <f>CFS!H8</f>
        <v>0</v>
      </c>
      <c r="I9">
        <f>CFS!I8</f>
        <v>0</v>
      </c>
      <c r="J9">
        <f>CFS!J8</f>
        <v>0</v>
      </c>
      <c r="K9">
        <f>CFS!K8</f>
        <v>0</v>
      </c>
      <c r="L9">
        <f>CFS!L8</f>
        <v>0</v>
      </c>
      <c r="M9">
        <f>CFS!M8</f>
        <v>0</v>
      </c>
      <c r="N9">
        <f>CFS!N8</f>
        <v>-10</v>
      </c>
      <c r="O9">
        <f>CFS!O8</f>
        <v>-60</v>
      </c>
      <c r="P9">
        <f>CFS!P8</f>
        <v>0</v>
      </c>
    </row>
    <row r="10" spans="1:16" ht="15" customHeight="1" x14ac:dyDescent="0.45">
      <c r="B10" s="16" t="str">
        <f>CFS!B11</f>
        <v>(Inc) dec in operating working capital</v>
      </c>
      <c r="G10">
        <f>CFS!G11</f>
        <v>-17.402465753424668</v>
      </c>
      <c r="H10">
        <f>CFS!H11</f>
        <v>-16.141052054794521</v>
      </c>
      <c r="I10">
        <f>CFS!I11</f>
        <v>-17.750252054794508</v>
      </c>
      <c r="J10">
        <f>CFS!J11</f>
        <v>0</v>
      </c>
      <c r="K10">
        <f>CFS!K11</f>
        <v>0</v>
      </c>
      <c r="L10">
        <f>CFS!L11</f>
        <v>0</v>
      </c>
      <c r="M10">
        <f>CFS!M11</f>
        <v>0</v>
      </c>
      <c r="N10">
        <f>CFS!N11</f>
        <v>24.850352876712321</v>
      </c>
      <c r="O10">
        <f>CFS!O11</f>
        <v>21.300302465753429</v>
      </c>
      <c r="P10">
        <f>CFS!P11</f>
        <v>7.1001008219178106</v>
      </c>
    </row>
    <row r="11" spans="1:16" ht="15" customHeight="1" x14ac:dyDescent="0.45">
      <c r="B11" s="16" t="str">
        <f>CFS!B14</f>
        <v>(Capital expenditure)</v>
      </c>
      <c r="G11">
        <f>CFS!G14</f>
        <v>0</v>
      </c>
      <c r="H11">
        <f>CFS!H14</f>
        <v>0</v>
      </c>
      <c r="I11">
        <f>CFS!I14</f>
        <v>0</v>
      </c>
      <c r="J11">
        <f>CFS!J14</f>
        <v>0</v>
      </c>
      <c r="K11">
        <f>CFS!K14</f>
        <v>0</v>
      </c>
      <c r="L11">
        <f>CFS!L14</f>
        <v>0</v>
      </c>
      <c r="M11">
        <f>CFS!M14</f>
        <v>0</v>
      </c>
      <c r="N11">
        <f>CFS!N14</f>
        <v>0</v>
      </c>
      <c r="O11">
        <f>CFS!O14</f>
        <v>0</v>
      </c>
      <c r="P11">
        <f>CFS!P14</f>
        <v>0</v>
      </c>
    </row>
    <row r="12" spans="1:16" ht="15" customHeight="1" x14ac:dyDescent="0.45">
      <c r="B12" s="16" t="str">
        <f>CFS!B15</f>
        <v>(Cash soft asset expenditure)</v>
      </c>
      <c r="G12">
        <f>CFS!G15</f>
        <v>0</v>
      </c>
      <c r="H12">
        <f>CFS!H15</f>
        <v>0</v>
      </c>
      <c r="I12">
        <f>CFS!I15</f>
        <v>0</v>
      </c>
      <c r="J12">
        <f>CFS!J15</f>
        <v>0</v>
      </c>
      <c r="K12">
        <f>CFS!K15</f>
        <v>0</v>
      </c>
      <c r="L12">
        <f>CFS!L15</f>
        <v>0</v>
      </c>
      <c r="M12">
        <f>CFS!M15</f>
        <v>0</v>
      </c>
      <c r="N12">
        <f>CFS!N15</f>
        <v>0</v>
      </c>
      <c r="O12">
        <f>CFS!O15</f>
        <v>0</v>
      </c>
      <c r="P12">
        <f>CFS!P15</f>
        <v>0</v>
      </c>
    </row>
    <row r="13" spans="1:16" ht="15" customHeight="1" x14ac:dyDescent="0.45">
      <c r="B13" s="16" t="s">
        <v>191</v>
      </c>
      <c r="G13">
        <f t="shared" ref="G13:P13" si="3">SUM(G7:G12)</f>
        <v>194.75684623950187</v>
      </c>
      <c r="H13">
        <f t="shared" si="3"/>
        <v>385.55067593105855</v>
      </c>
      <c r="I13">
        <f t="shared" si="3"/>
        <v>586.78733992398497</v>
      </c>
      <c r="J13">
        <f t="shared" si="3"/>
        <v>603.73759197877951</v>
      </c>
      <c r="K13">
        <f t="shared" si="3"/>
        <v>602.93759197877944</v>
      </c>
      <c r="L13">
        <f t="shared" si="3"/>
        <v>602.13759197877948</v>
      </c>
      <c r="M13">
        <f t="shared" si="3"/>
        <v>601.33759197877953</v>
      </c>
      <c r="N13">
        <f t="shared" si="3"/>
        <v>325.80373526539483</v>
      </c>
      <c r="O13">
        <f t="shared" si="3"/>
        <v>23.238648062924053</v>
      </c>
      <c r="P13">
        <f t="shared" si="3"/>
        <v>7.1001008219178106</v>
      </c>
    </row>
    <row r="14" spans="1:16" ht="15" customHeight="1" x14ac:dyDescent="0.45">
      <c r="B14" s="16" t="s">
        <v>181</v>
      </c>
      <c r="D14" s="72"/>
      <c r="E14" s="72"/>
      <c r="F14" s="72"/>
      <c r="G14" s="72">
        <f>'S&amp;U'!$D$22</f>
        <v>1.3</v>
      </c>
      <c r="H14" s="72">
        <f>'S&amp;U'!$D$22</f>
        <v>1.3</v>
      </c>
      <c r="I14" s="72">
        <f>'S&amp;U'!$D$22</f>
        <v>1.3</v>
      </c>
      <c r="J14" s="72">
        <f>'S&amp;U'!$D$22</f>
        <v>1.3</v>
      </c>
      <c r="K14" s="72">
        <f>'S&amp;U'!$D$22</f>
        <v>1.3</v>
      </c>
      <c r="L14" s="72">
        <f>'S&amp;U'!$D$22</f>
        <v>1.3</v>
      </c>
      <c r="M14" s="72">
        <f>'S&amp;U'!$D$22</f>
        <v>1.3</v>
      </c>
      <c r="N14" s="72">
        <f>'S&amp;U'!$D$22</f>
        <v>1.3</v>
      </c>
      <c r="O14" s="72">
        <f>'S&amp;U'!$D$22</f>
        <v>1.3</v>
      </c>
      <c r="P14" s="72">
        <f>'S&amp;U'!$D$22</f>
        <v>1.3</v>
      </c>
    </row>
    <row r="15" spans="1:16" ht="15" customHeight="1" x14ac:dyDescent="0.45">
      <c r="B15" s="16" t="s">
        <v>182</v>
      </c>
      <c r="G15">
        <f t="shared" ref="G15:O15" si="4">G13/G14</f>
        <v>149.81295864577066</v>
      </c>
      <c r="H15">
        <f t="shared" si="4"/>
        <v>296.57744302389119</v>
      </c>
      <c r="I15">
        <f t="shared" si="4"/>
        <v>451.37487686460383</v>
      </c>
      <c r="J15">
        <f t="shared" si="4"/>
        <v>464.41353229136882</v>
      </c>
      <c r="K15">
        <f t="shared" si="4"/>
        <v>463.79814767598418</v>
      </c>
      <c r="L15">
        <f t="shared" si="4"/>
        <v>463.1827630605996</v>
      </c>
      <c r="M15">
        <f t="shared" si="4"/>
        <v>462.56737844521501</v>
      </c>
      <c r="N15">
        <f t="shared" si="4"/>
        <v>250.61825789645755</v>
      </c>
      <c r="O15">
        <f t="shared" si="4"/>
        <v>17.875883125326194</v>
      </c>
      <c r="P15">
        <f t="shared" ref="P15" si="5">P13/P14</f>
        <v>5.4616160168598542</v>
      </c>
    </row>
    <row r="16" spans="1:16" ht="15" customHeight="1" x14ac:dyDescent="0.45">
      <c r="B16" s="16" t="s">
        <v>92</v>
      </c>
    </row>
    <row r="17" spans="1:16" ht="15" customHeight="1" x14ac:dyDescent="0.45">
      <c r="B17" s="16" t="s">
        <v>186</v>
      </c>
      <c r="G17">
        <f t="shared" ref="G17:O17" si="6">G15+G16</f>
        <v>149.81295864577066</v>
      </c>
      <c r="H17">
        <f t="shared" si="6"/>
        <v>296.57744302389119</v>
      </c>
      <c r="I17">
        <f t="shared" si="6"/>
        <v>451.37487686460383</v>
      </c>
      <c r="J17">
        <f t="shared" si="6"/>
        <v>464.41353229136882</v>
      </c>
      <c r="K17">
        <f t="shared" si="6"/>
        <v>463.79814767598418</v>
      </c>
      <c r="L17">
        <f t="shared" si="6"/>
        <v>463.1827630605996</v>
      </c>
      <c r="M17">
        <f t="shared" si="6"/>
        <v>462.56737844521501</v>
      </c>
      <c r="N17">
        <f t="shared" si="6"/>
        <v>250.61825789645755</v>
      </c>
      <c r="O17">
        <f t="shared" si="6"/>
        <v>17.875883125326194</v>
      </c>
      <c r="P17">
        <f t="shared" ref="P17" si="7">P15+P16</f>
        <v>5.4616160168598542</v>
      </c>
    </row>
    <row r="19" spans="1:16" ht="15" customHeight="1" x14ac:dyDescent="0.45">
      <c r="A19" s="15" t="s">
        <v>132</v>
      </c>
    </row>
    <row r="20" spans="1:16" ht="15" customHeight="1" x14ac:dyDescent="0.45">
      <c r="B20" s="16" t="s">
        <v>88</v>
      </c>
      <c r="C20" s="61">
        <f>'S&amp;U'!H14</f>
        <v>0.04</v>
      </c>
    </row>
    <row r="21" spans="1:16" ht="15" customHeight="1" x14ac:dyDescent="0.45">
      <c r="B21" s="16" t="s">
        <v>89</v>
      </c>
      <c r="C21" s="61">
        <f>'S&amp;U'!I14</f>
        <v>0.01</v>
      </c>
    </row>
    <row r="23" spans="1:16" ht="15" customHeight="1" x14ac:dyDescent="0.45">
      <c r="B23" s="16" t="s">
        <v>57</v>
      </c>
      <c r="D23">
        <f t="shared" ref="D23:P23" si="8">C25</f>
        <v>0</v>
      </c>
      <c r="E23">
        <f t="shared" si="8"/>
        <v>0</v>
      </c>
      <c r="F23">
        <f t="shared" si="8"/>
        <v>0</v>
      </c>
      <c r="G23">
        <f t="shared" si="8"/>
        <v>0</v>
      </c>
      <c r="H23">
        <f t="shared" si="8"/>
        <v>0</v>
      </c>
      <c r="I23">
        <f t="shared" si="8"/>
        <v>0</v>
      </c>
      <c r="J23">
        <f t="shared" si="8"/>
        <v>0</v>
      </c>
      <c r="K23">
        <f t="shared" si="8"/>
        <v>0</v>
      </c>
      <c r="L23">
        <f t="shared" si="8"/>
        <v>0</v>
      </c>
      <c r="M23">
        <f t="shared" si="8"/>
        <v>0</v>
      </c>
      <c r="N23">
        <f t="shared" si="8"/>
        <v>0</v>
      </c>
      <c r="O23">
        <f t="shared" si="8"/>
        <v>0</v>
      </c>
      <c r="P23">
        <f t="shared" si="8"/>
        <v>0</v>
      </c>
    </row>
    <row r="24" spans="1:16" ht="15" customHeight="1" x14ac:dyDescent="0.45">
      <c r="B24" s="16" t="s">
        <v>133</v>
      </c>
      <c r="G24">
        <f t="shared" ref="G24:P24" si="9">-MIN(G15,G23)</f>
        <v>0</v>
      </c>
      <c r="H24">
        <f t="shared" si="9"/>
        <v>0</v>
      </c>
      <c r="I24">
        <f t="shared" si="9"/>
        <v>0</v>
      </c>
      <c r="J24">
        <f t="shared" si="9"/>
        <v>0</v>
      </c>
      <c r="K24">
        <f t="shared" si="9"/>
        <v>0</v>
      </c>
      <c r="L24">
        <f t="shared" si="9"/>
        <v>0</v>
      </c>
      <c r="M24">
        <f t="shared" si="9"/>
        <v>0</v>
      </c>
      <c r="N24">
        <f t="shared" si="9"/>
        <v>0</v>
      </c>
      <c r="O24">
        <f t="shared" si="9"/>
        <v>0</v>
      </c>
      <c r="P24">
        <f t="shared" si="9"/>
        <v>0</v>
      </c>
    </row>
    <row r="25" spans="1:16" ht="15" customHeight="1" x14ac:dyDescent="0.45">
      <c r="B25" s="16" t="s">
        <v>59</v>
      </c>
      <c r="C25" s="63">
        <v>0</v>
      </c>
      <c r="D25">
        <f t="shared" ref="D25:P25" si="10">SUM(D23:D24)</f>
        <v>0</v>
      </c>
      <c r="E25">
        <f t="shared" si="10"/>
        <v>0</v>
      </c>
      <c r="F25">
        <f t="shared" si="10"/>
        <v>0</v>
      </c>
      <c r="G25">
        <f t="shared" si="10"/>
        <v>0</v>
      </c>
      <c r="H25">
        <f t="shared" si="10"/>
        <v>0</v>
      </c>
      <c r="I25">
        <f t="shared" si="10"/>
        <v>0</v>
      </c>
      <c r="J25">
        <f t="shared" si="10"/>
        <v>0</v>
      </c>
      <c r="K25">
        <f t="shared" si="10"/>
        <v>0</v>
      </c>
      <c r="L25">
        <f t="shared" si="10"/>
        <v>0</v>
      </c>
      <c r="M25">
        <f t="shared" si="10"/>
        <v>0</v>
      </c>
      <c r="N25">
        <f t="shared" si="10"/>
        <v>0</v>
      </c>
      <c r="O25">
        <f t="shared" si="10"/>
        <v>0</v>
      </c>
      <c r="P25">
        <f t="shared" si="10"/>
        <v>0</v>
      </c>
    </row>
    <row r="26" spans="1:16" ht="15" customHeight="1" x14ac:dyDescent="0.45">
      <c r="B26" s="16" t="s">
        <v>92</v>
      </c>
      <c r="D26">
        <f>-'S&amp;U'!$H$14*AVERAGE(Finance!C25:D25)</f>
        <v>0</v>
      </c>
      <c r="E26">
        <f>-'S&amp;U'!$H$14*AVERAGE(Finance!D25:E25)</f>
        <v>0</v>
      </c>
      <c r="F26">
        <f>-'S&amp;U'!$H$14*AVERAGE(Finance!E25:F25)</f>
        <v>0</v>
      </c>
      <c r="G26">
        <f>-'S&amp;U'!$H$14*AVERAGE(Finance!F25:G25)</f>
        <v>0</v>
      </c>
      <c r="H26">
        <f>-'S&amp;U'!$H$14*AVERAGE(Finance!G25:H25)</f>
        <v>0</v>
      </c>
      <c r="I26">
        <f>-'S&amp;U'!$H$14*AVERAGE(Finance!H25:I25)</f>
        <v>0</v>
      </c>
      <c r="J26">
        <f>-'S&amp;U'!$H$14*AVERAGE(Finance!I25:J25)</f>
        <v>0</v>
      </c>
      <c r="K26">
        <f>-'S&amp;U'!$H$14*AVERAGE(Finance!J25:K25)</f>
        <v>0</v>
      </c>
      <c r="L26">
        <f>-'S&amp;U'!$H$14*AVERAGE(Finance!K25:L25)</f>
        <v>0</v>
      </c>
      <c r="M26">
        <f>-'S&amp;U'!$H$14*AVERAGE(Finance!L25:M25)</f>
        <v>0</v>
      </c>
      <c r="N26">
        <f>-'S&amp;U'!$H$14*AVERAGE(Finance!M25:N25)</f>
        <v>0</v>
      </c>
      <c r="O26">
        <f>-'S&amp;U'!$H$14*AVERAGE(Finance!N25:O25)</f>
        <v>0</v>
      </c>
      <c r="P26">
        <f>-'S&amp;U'!$H$14*AVERAGE(Finance!O25:P25)</f>
        <v>0</v>
      </c>
    </row>
    <row r="28" spans="1:16" ht="15" customHeight="1" x14ac:dyDescent="0.45">
      <c r="B28" s="16" t="s">
        <v>93</v>
      </c>
      <c r="C28">
        <f>'S&amp;U'!$C$14-Finance!C25</f>
        <v>100</v>
      </c>
      <c r="D28">
        <f>'S&amp;U'!$C$14-Finance!D25</f>
        <v>100</v>
      </c>
      <c r="E28">
        <f>'S&amp;U'!$C$14-Finance!E25</f>
        <v>100</v>
      </c>
      <c r="F28">
        <f>'S&amp;U'!$C$14-Finance!F25</f>
        <v>100</v>
      </c>
      <c r="G28">
        <f>'S&amp;U'!$C$14-Finance!G25</f>
        <v>100</v>
      </c>
      <c r="H28">
        <f>'S&amp;U'!$C$14-Finance!H25</f>
        <v>100</v>
      </c>
      <c r="I28">
        <f>'S&amp;U'!$C$14-Finance!I25</f>
        <v>100</v>
      </c>
      <c r="J28">
        <f>'S&amp;U'!$C$14-Finance!J25</f>
        <v>100</v>
      </c>
      <c r="K28">
        <f>'S&amp;U'!$C$14-Finance!K25</f>
        <v>100</v>
      </c>
      <c r="L28">
        <f>'S&amp;U'!$C$14-Finance!L25</f>
        <v>100</v>
      </c>
      <c r="M28">
        <f>'S&amp;U'!$C$14-Finance!M25</f>
        <v>100</v>
      </c>
      <c r="N28">
        <f>'S&amp;U'!$C$14-Finance!N25</f>
        <v>100</v>
      </c>
      <c r="O28">
        <f>'S&amp;U'!$C$14-Finance!O25</f>
        <v>100</v>
      </c>
      <c r="P28">
        <f>'S&amp;U'!$C$14-Finance!P25</f>
        <v>100</v>
      </c>
    </row>
    <row r="29" spans="1:16" ht="15" customHeight="1" x14ac:dyDescent="0.45">
      <c r="B29" s="16" t="s">
        <v>89</v>
      </c>
      <c r="D29">
        <f>'S&amp;U'!$I$14*-AVERAGE(Finance!C28:D28)</f>
        <v>-1</v>
      </c>
      <c r="E29">
        <f>'S&amp;U'!$I$14*-AVERAGE(Finance!D28:E28)</f>
        <v>-1</v>
      </c>
      <c r="F29">
        <f>'S&amp;U'!$I$14*-AVERAGE(Finance!E28:F28)</f>
        <v>-1</v>
      </c>
      <c r="G29">
        <f>'S&amp;U'!$I$14*-AVERAGE(Finance!F28:G28)</f>
        <v>-1</v>
      </c>
      <c r="H29">
        <f>'S&amp;U'!$I$14*-AVERAGE(Finance!G28:H28)</f>
        <v>-1</v>
      </c>
      <c r="I29">
        <f>'S&amp;U'!$I$14*-AVERAGE(Finance!H28:I28)</f>
        <v>-1</v>
      </c>
      <c r="J29">
        <f>'S&amp;U'!$I$14*-AVERAGE(Finance!I28:J28)</f>
        <v>-1</v>
      </c>
      <c r="K29">
        <f>'S&amp;U'!$I$14*-AVERAGE(Finance!J28:K28)</f>
        <v>-1</v>
      </c>
      <c r="L29">
        <f>'S&amp;U'!$I$14*-AVERAGE(Finance!K28:L28)</f>
        <v>-1</v>
      </c>
      <c r="M29">
        <f>'S&amp;U'!$I$14*-AVERAGE(Finance!L28:M28)</f>
        <v>-1</v>
      </c>
      <c r="N29">
        <f>'S&amp;U'!$I$14*-AVERAGE(Finance!M28:N28)</f>
        <v>-1</v>
      </c>
      <c r="O29">
        <f>'S&amp;U'!$I$14*-AVERAGE(Finance!N28:O28)</f>
        <v>-1</v>
      </c>
      <c r="P29">
        <f>'S&amp;U'!$I$14*-AVERAGE(Finance!O28:P28)</f>
        <v>-1</v>
      </c>
    </row>
    <row r="30" spans="1:16" ht="15" customHeight="1" x14ac:dyDescent="0.45">
      <c r="B30" s="16" t="s">
        <v>175</v>
      </c>
      <c r="D30">
        <f t="shared" ref="D30:P30" si="11">IF(D4&gt;$C$35,D26+D29,0)</f>
        <v>-1</v>
      </c>
      <c r="E30">
        <f t="shared" si="11"/>
        <v>-1</v>
      </c>
      <c r="F30">
        <f t="shared" si="11"/>
        <v>-1</v>
      </c>
      <c r="G30">
        <f t="shared" si="11"/>
        <v>-1</v>
      </c>
      <c r="H30">
        <f t="shared" si="11"/>
        <v>-1</v>
      </c>
      <c r="I30">
        <f t="shared" si="11"/>
        <v>-1</v>
      </c>
      <c r="J30">
        <f t="shared" si="11"/>
        <v>-1</v>
      </c>
      <c r="K30">
        <f t="shared" si="11"/>
        <v>-1</v>
      </c>
      <c r="L30">
        <f t="shared" si="11"/>
        <v>-1</v>
      </c>
      <c r="M30">
        <f t="shared" si="11"/>
        <v>-1</v>
      </c>
      <c r="N30">
        <f t="shared" si="11"/>
        <v>-1</v>
      </c>
      <c r="O30">
        <f t="shared" si="11"/>
        <v>-1</v>
      </c>
      <c r="P30">
        <f t="shared" si="11"/>
        <v>-1</v>
      </c>
    </row>
    <row r="32" spans="1:16" ht="15" customHeight="1" x14ac:dyDescent="0.45">
      <c r="B32" s="16" t="s">
        <v>179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/>
    </row>
    <row r="36" spans="1:16" ht="15" customHeight="1" x14ac:dyDescent="0.45">
      <c r="B36" s="16" t="s">
        <v>88</v>
      </c>
      <c r="C36" s="61"/>
    </row>
    <row r="37" spans="1:16" ht="15" customHeight="1" x14ac:dyDescent="0.45">
      <c r="B37" s="16" t="s">
        <v>89</v>
      </c>
      <c r="C37" s="61"/>
    </row>
    <row r="38" spans="1:16" ht="15" customHeight="1" x14ac:dyDescent="0.45">
      <c r="C38" s="61"/>
    </row>
    <row r="39" spans="1:16" ht="15" customHeight="1" x14ac:dyDescent="0.45">
      <c r="B39" s="16" t="s">
        <v>57</v>
      </c>
    </row>
    <row r="40" spans="1:16" ht="15" customHeight="1" x14ac:dyDescent="0.45">
      <c r="B40" s="16" t="s">
        <v>90</v>
      </c>
    </row>
    <row r="41" spans="1:16" ht="15" customHeight="1" x14ac:dyDescent="0.45">
      <c r="B41" s="16" t="s">
        <v>91</v>
      </c>
    </row>
    <row r="42" spans="1:16" ht="15" customHeight="1" x14ac:dyDescent="0.45">
      <c r="B42" s="16" t="s">
        <v>193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</row>
    <row r="43" spans="1:16" ht="15" customHeight="1" x14ac:dyDescent="0.45">
      <c r="B43" s="16" t="s">
        <v>59</v>
      </c>
      <c r="C43" s="63">
        <v>0</v>
      </c>
    </row>
    <row r="44" spans="1:16" ht="15" customHeight="1" x14ac:dyDescent="0.45">
      <c r="B44" s="16" t="s">
        <v>92</v>
      </c>
    </row>
    <row r="46" spans="1:16" ht="15" customHeight="1" x14ac:dyDescent="0.45">
      <c r="B46" s="16" t="s">
        <v>93</v>
      </c>
    </row>
    <row r="47" spans="1:16" ht="15" customHeight="1" x14ac:dyDescent="0.45">
      <c r="B47" s="16" t="s">
        <v>89</v>
      </c>
    </row>
    <row r="48" spans="1:16" ht="15" customHeight="1" x14ac:dyDescent="0.45">
      <c r="B48" s="16" t="s">
        <v>185</v>
      </c>
    </row>
    <row r="50" spans="1:16" ht="15" customHeight="1" x14ac:dyDescent="0.45">
      <c r="B50" s="16" t="s">
        <v>188</v>
      </c>
    </row>
    <row r="52" spans="1:16" ht="15" customHeight="1" x14ac:dyDescent="0.45">
      <c r="B52" s="16" t="s">
        <v>187</v>
      </c>
    </row>
    <row r="53" spans="1:16" ht="15" customHeight="1" x14ac:dyDescent="0.45">
      <c r="B53" s="16" t="s">
        <v>183</v>
      </c>
    </row>
    <row r="54" spans="1:16" ht="15" customHeight="1" x14ac:dyDescent="0.45">
      <c r="B54" s="16" t="s">
        <v>180</v>
      </c>
    </row>
    <row r="55" spans="1:16" ht="15" customHeight="1" x14ac:dyDescent="0.45">
      <c r="B55" s="16" t="s">
        <v>189</v>
      </c>
    </row>
    <row r="60" spans="1:16" ht="15" customHeight="1" x14ac:dyDescent="0.45">
      <c r="A60" s="15" t="s">
        <v>94</v>
      </c>
    </row>
    <row r="61" spans="1:16" ht="15" customHeight="1" x14ac:dyDescent="0.45">
      <c r="B61" s="16" t="s">
        <v>95</v>
      </c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ht="15" customHeight="1" x14ac:dyDescent="0.45">
      <c r="B62" s="16" t="s">
        <v>141</v>
      </c>
      <c r="E62" s="65"/>
      <c r="F62" s="65"/>
    </row>
    <row r="63" spans="1:16" ht="15" customHeight="1" x14ac:dyDescent="0.45">
      <c r="B63" s="16" t="s">
        <v>199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 ht="15" customHeight="1" x14ac:dyDescent="0.45">
      <c r="B64" s="16" t="s">
        <v>100</v>
      </c>
    </row>
    <row r="65" spans="1:3" ht="15" customHeight="1" x14ac:dyDescent="0.45">
      <c r="B65" s="16" t="s">
        <v>101</v>
      </c>
      <c r="C65" s="61"/>
    </row>
    <row r="67" spans="1:3" ht="15" customHeight="1" x14ac:dyDescent="0.45">
      <c r="A67"/>
      <c r="B67"/>
    </row>
    <row r="68" spans="1:3" ht="15" customHeight="1" x14ac:dyDescent="0.45">
      <c r="A68"/>
      <c r="B68"/>
    </row>
    <row r="69" spans="1:3" ht="15" customHeight="1" x14ac:dyDescent="0.45">
      <c r="A69"/>
      <c r="B69"/>
    </row>
    <row r="70" spans="1:3" ht="15" customHeight="1" x14ac:dyDescent="0.45">
      <c r="A70"/>
      <c r="B70"/>
    </row>
    <row r="71" spans="1:3" ht="15" customHeight="1" x14ac:dyDescent="0.45">
      <c r="A71"/>
      <c r="B71"/>
    </row>
    <row r="72" spans="1:3" ht="15" customHeight="1" x14ac:dyDescent="0.45">
      <c r="A72"/>
      <c r="B72"/>
    </row>
    <row r="73" spans="1:3" ht="15" customHeight="1" x14ac:dyDescent="0.45">
      <c r="A73"/>
      <c r="B73"/>
    </row>
    <row r="74" spans="1:3" ht="15" customHeight="1" x14ac:dyDescent="0.45">
      <c r="A74"/>
      <c r="B74"/>
    </row>
    <row r="75" spans="1:3" ht="15" customHeight="1" x14ac:dyDescent="0.45">
      <c r="A75"/>
      <c r="B75"/>
    </row>
    <row r="76" spans="1:3" ht="15" customHeight="1" x14ac:dyDescent="0.45">
      <c r="A76"/>
      <c r="B76"/>
    </row>
    <row r="77" spans="1:3" ht="15" customHeight="1" x14ac:dyDescent="0.45">
      <c r="A77"/>
      <c r="B77"/>
    </row>
    <row r="78" spans="1:3" ht="15" customHeight="1" x14ac:dyDescent="0.45">
      <c r="A78"/>
      <c r="B78"/>
    </row>
    <row r="79" spans="1:3" ht="15" customHeight="1" x14ac:dyDescent="0.45">
      <c r="A79"/>
      <c r="B79"/>
    </row>
    <row r="80" spans="1:3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  <row r="108" spans="1:2" ht="15" customHeight="1" x14ac:dyDescent="0.45">
      <c r="A108"/>
      <c r="B108"/>
    </row>
    <row r="109" spans="1:2" ht="15" customHeight="1" x14ac:dyDescent="0.45">
      <c r="A109"/>
      <c r="B109"/>
    </row>
    <row r="110" spans="1:2" ht="15" customHeight="1" x14ac:dyDescent="0.45">
      <c r="A110"/>
      <c r="B110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>D15</f>
        <v>119.27917558120706</v>
      </c>
      <c r="F11">
        <f>E15</f>
        <v>504.14916300485106</v>
      </c>
      <c r="G11">
        <f>F15</f>
        <v>836.74270058708407</v>
      </c>
      <c r="H11">
        <f t="shared" ref="H11:P11" si="3">G15</f>
        <v>929.71745261537819</v>
      </c>
      <c r="I11">
        <f t="shared" si="3"/>
        <v>1093.0400606719663</v>
      </c>
      <c r="J11">
        <f t="shared" si="3"/>
        <v>1340.0239727568487</v>
      </c>
      <c r="K11">
        <f t="shared" si="3"/>
        <v>1586.2078848417309</v>
      </c>
      <c r="L11">
        <f t="shared" si="3"/>
        <v>1831.5917969266131</v>
      </c>
      <c r="M11">
        <f t="shared" si="3"/>
        <v>2076.1757090114952</v>
      </c>
      <c r="N11">
        <f t="shared" si="3"/>
        <v>2319.9596210963773</v>
      </c>
      <c r="O11">
        <f t="shared" si="3"/>
        <v>2440.217707541648</v>
      </c>
      <c r="P11">
        <f t="shared" si="3"/>
        <v>2454.4822291529658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>IS!G27</f>
        <v>92.974752028294148</v>
      </c>
      <c r="H12">
        <f>IS!H27</f>
        <v>163.32260805658825</v>
      </c>
      <c r="I12">
        <f>IS!I27</f>
        <v>246.98391208488229</v>
      </c>
      <c r="J12">
        <f>IS!J27</f>
        <v>246.18391208488219</v>
      </c>
      <c r="K12">
        <f>IS!K27</f>
        <v>245.3839120848823</v>
      </c>
      <c r="L12">
        <f>IS!L27</f>
        <v>244.58391208488229</v>
      </c>
      <c r="M12">
        <f>IS!M27</f>
        <v>243.78391208488227</v>
      </c>
      <c r="N12">
        <f>IS!N27</f>
        <v>120.25808644527058</v>
      </c>
      <c r="O12">
        <f>IS!O27</f>
        <v>14.264521611317656</v>
      </c>
      <c r="P12">
        <f>IS!P27</f>
        <v>0</v>
      </c>
    </row>
    <row r="13" spans="1:16" ht="15" customHeight="1" x14ac:dyDescent="0.45">
      <c r="B13" s="16" t="s">
        <v>140</v>
      </c>
      <c r="D13">
        <f>'S&amp;U'!D16</f>
        <v>119.27917558120706</v>
      </c>
      <c r="E13">
        <f>'S&amp;U'!E16</f>
        <v>384.86998742364403</v>
      </c>
      <c r="F13">
        <f>'S&amp;U'!F16</f>
        <v>332.59353758223295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  <c r="D15">
        <f t="shared" ref="D15:P15" si="4">SUM(D11:D14)</f>
        <v>119.27917558120706</v>
      </c>
      <c r="E15">
        <f t="shared" si="4"/>
        <v>504.14916300485106</v>
      </c>
      <c r="F15">
        <f t="shared" si="4"/>
        <v>836.74270058708407</v>
      </c>
      <c r="G15">
        <f t="shared" si="4"/>
        <v>929.71745261537819</v>
      </c>
      <c r="H15">
        <f t="shared" si="4"/>
        <v>1093.0400606719663</v>
      </c>
      <c r="I15">
        <f t="shared" si="4"/>
        <v>1340.0239727568487</v>
      </c>
      <c r="J15">
        <f t="shared" si="4"/>
        <v>1586.2078848417309</v>
      </c>
      <c r="K15">
        <f t="shared" si="4"/>
        <v>1831.5917969266131</v>
      </c>
      <c r="L15">
        <f t="shared" si="4"/>
        <v>2076.1757090114952</v>
      </c>
      <c r="M15">
        <f t="shared" si="4"/>
        <v>2319.9596210963773</v>
      </c>
      <c r="N15">
        <f t="shared" si="4"/>
        <v>2440.217707541648</v>
      </c>
      <c r="O15">
        <f t="shared" si="4"/>
        <v>2454.4822291529658</v>
      </c>
      <c r="P15">
        <f t="shared" si="4"/>
        <v>2454.4822291529658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9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>SUM('S&amp;U'!D55:F55)</f>
        <v>204.5</v>
      </c>
    </row>
    <row r="28" spans="1:16" ht="15" customHeight="1" x14ac:dyDescent="0.45">
      <c r="B28" s="16" t="s">
        <v>71</v>
      </c>
      <c r="F28">
        <f>F27/-F15</f>
        <v>-2.2874720357941833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>D34</f>
        <v>203</v>
      </c>
      <c r="F31">
        <f>E34</f>
        <v>203.8</v>
      </c>
      <c r="G31">
        <f>F34</f>
        <v>204.5</v>
      </c>
      <c r="H31">
        <f t="shared" ref="H31:P31" si="11">G34</f>
        <v>194.27500000000001</v>
      </c>
      <c r="I31">
        <f t="shared" si="11"/>
        <v>173.82500000000002</v>
      </c>
      <c r="J31">
        <f t="shared" si="11"/>
        <v>143.15000000000003</v>
      </c>
      <c r="K31">
        <f t="shared" si="11"/>
        <v>112.47500000000002</v>
      </c>
      <c r="L31">
        <f t="shared" si="11"/>
        <v>81.80000000000004</v>
      </c>
      <c r="M31">
        <f t="shared" si="11"/>
        <v>51.125000000000043</v>
      </c>
      <c r="N31">
        <f t="shared" si="11"/>
        <v>20.450000000000049</v>
      </c>
      <c r="O31">
        <f t="shared" si="11"/>
        <v>4.090000000000046</v>
      </c>
      <c r="P31">
        <f t="shared" si="11"/>
        <v>4.6185277824406512E-14</v>
      </c>
    </row>
    <row r="32" spans="1:16" ht="15" customHeight="1" x14ac:dyDescent="0.45">
      <c r="B32" s="16" t="s">
        <v>72</v>
      </c>
      <c r="D32">
        <f>'S&amp;U'!D55</f>
        <v>203</v>
      </c>
      <c r="E32">
        <f>'S&amp;U'!E55</f>
        <v>0.8</v>
      </c>
      <c r="F32">
        <f>'S&amp;U'!F55</f>
        <v>0.7</v>
      </c>
    </row>
    <row r="33" spans="1:16" ht="15" customHeight="1" x14ac:dyDescent="0.45">
      <c r="B33" s="16" t="s">
        <v>73</v>
      </c>
      <c r="G33">
        <f>$F$28*G16</f>
        <v>-10.224999999999996</v>
      </c>
      <c r="H33">
        <f t="shared" ref="H33:O33" si="12">$F$28*H16</f>
        <v>-20.449999999999992</v>
      </c>
      <c r="I33">
        <f t="shared" si="12"/>
        <v>-30.67499999999999</v>
      </c>
      <c r="J33">
        <f t="shared" si="12"/>
        <v>-30.675000000000008</v>
      </c>
      <c r="K33">
        <f t="shared" si="12"/>
        <v>-30.67499999999999</v>
      </c>
      <c r="L33">
        <f t="shared" si="12"/>
        <v>-30.675000000000001</v>
      </c>
      <c r="M33">
        <f t="shared" si="12"/>
        <v>-30.674999999999994</v>
      </c>
      <c r="N33">
        <f t="shared" si="12"/>
        <v>-16.360000000000003</v>
      </c>
      <c r="O33">
        <f t="shared" si="12"/>
        <v>-4.09</v>
      </c>
      <c r="P33">
        <f t="shared" ref="P33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>SUM(D31:D33)</f>
        <v>203</v>
      </c>
      <c r="E34">
        <f>SUM(E31:E33)</f>
        <v>203.8</v>
      </c>
      <c r="F34">
        <f>SUM(F31:F33)</f>
        <v>204.5</v>
      </c>
      <c r="G34">
        <f>SUM(G31:G33)</f>
        <v>194.27500000000001</v>
      </c>
      <c r="H34">
        <f t="shared" ref="H34:O34" si="14">SUM(H31:H33)</f>
        <v>173.82500000000002</v>
      </c>
      <c r="I34">
        <f t="shared" si="14"/>
        <v>143.15000000000003</v>
      </c>
      <c r="J34">
        <f t="shared" si="14"/>
        <v>112.47500000000002</v>
      </c>
      <c r="K34">
        <f t="shared" si="14"/>
        <v>81.80000000000004</v>
      </c>
      <c r="L34">
        <f t="shared" si="14"/>
        <v>51.125000000000043</v>
      </c>
      <c r="M34">
        <f t="shared" si="14"/>
        <v>20.450000000000049</v>
      </c>
      <c r="N34">
        <f t="shared" si="14"/>
        <v>4.090000000000046</v>
      </c>
      <c r="O34">
        <f t="shared" si="14"/>
        <v>4.6185277824406512E-14</v>
      </c>
      <c r="P34">
        <f t="shared" ref="P34" si="15">SUM(P31:P33)</f>
        <v>4.6185277824406512E-14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>Depletion!G33+Depletion!G42</f>
        <v>-12.084559964632415</v>
      </c>
      <c r="H17">
        <f>Depletion!H33+Depletion!H42</f>
        <v>-24.169119929264831</v>
      </c>
      <c r="I17">
        <f>Depletion!I33+Depletion!I42</f>
        <v>-36.25367989389725</v>
      </c>
      <c r="J17">
        <f>Depletion!J33+Depletion!J42</f>
        <v>-36.253679893897271</v>
      </c>
      <c r="K17">
        <f>Depletion!K33+Depletion!K42</f>
        <v>-36.25367989389725</v>
      </c>
      <c r="L17">
        <f>Depletion!L33+Depletion!L42</f>
        <v>-36.253679893897264</v>
      </c>
      <c r="M17">
        <f>Depletion!M33+Depletion!M42</f>
        <v>-36.253679893897257</v>
      </c>
      <c r="N17">
        <f>Depletion!N33+Depletion!N42</f>
        <v>-19.335295943411875</v>
      </c>
      <c r="O17">
        <f>Depletion!O33+Depletion!O42</f>
        <v>-4.8338239858529679</v>
      </c>
      <c r="P17">
        <f>Depletion!P33+Depletion!P42</f>
        <v>0</v>
      </c>
    </row>
    <row r="18" spans="1:16" ht="15" customHeight="1" x14ac:dyDescent="0.45">
      <c r="A18"/>
      <c r="B18" s="16" t="s">
        <v>173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>SUM(G14,G16:G18)</f>
        <v>116.21844003536769</v>
      </c>
      <c r="H19">
        <f t="shared" ref="H19:P19" si="5">SUM(H14,H16:H18)</f>
        <v>204.15326007073531</v>
      </c>
      <c r="I19">
        <f t="shared" si="5"/>
        <v>308.72989010610286</v>
      </c>
      <c r="J19">
        <f t="shared" si="5"/>
        <v>307.72989010610274</v>
      </c>
      <c r="K19">
        <f t="shared" si="5"/>
        <v>306.72989010610286</v>
      </c>
      <c r="L19">
        <f t="shared" si="5"/>
        <v>305.72989010610286</v>
      </c>
      <c r="M19">
        <f t="shared" si="5"/>
        <v>304.72989010610286</v>
      </c>
      <c r="N19">
        <f t="shared" si="5"/>
        <v>150.32260805658822</v>
      </c>
      <c r="O19">
        <f t="shared" si="5"/>
        <v>17.83065201414707</v>
      </c>
      <c r="P19">
        <f t="shared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</row>
    <row r="22" spans="1:16" ht="15" customHeight="1" x14ac:dyDescent="0.45">
      <c r="A22"/>
      <c r="B22" s="16" t="s">
        <v>177</v>
      </c>
    </row>
    <row r="23" spans="1:16" ht="15" customHeight="1" x14ac:dyDescent="0.45">
      <c r="A23"/>
      <c r="B23" s="16" t="s">
        <v>112</v>
      </c>
    </row>
    <row r="24" spans="1:16" ht="15" customHeight="1" x14ac:dyDescent="0.45">
      <c r="A24"/>
      <c r="B24" s="16" t="s">
        <v>113</v>
      </c>
      <c r="G24">
        <f>SUM(G19,G21:G23)</f>
        <v>116.21844003536769</v>
      </c>
      <c r="H24">
        <f t="shared" ref="H24:P24" si="6">SUM(H19,H21:H23)</f>
        <v>204.15326007073531</v>
      </c>
      <c r="I24">
        <f t="shared" si="6"/>
        <v>308.72989010610286</v>
      </c>
      <c r="J24">
        <f t="shared" si="6"/>
        <v>307.72989010610274</v>
      </c>
      <c r="K24">
        <f t="shared" si="6"/>
        <v>306.72989010610286</v>
      </c>
      <c r="L24">
        <f t="shared" si="6"/>
        <v>305.72989010610286</v>
      </c>
      <c r="M24">
        <f t="shared" si="6"/>
        <v>304.72989010610286</v>
      </c>
      <c r="N24">
        <f t="shared" si="6"/>
        <v>150.32260805658822</v>
      </c>
      <c r="O24">
        <f t="shared" si="6"/>
        <v>17.83065201414707</v>
      </c>
      <c r="P24">
        <f t="shared" si="6"/>
        <v>0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>'S&amp;U'!G41*IS!G24</f>
        <v>-23.243688007073541</v>
      </c>
      <c r="H26">
        <f>'S&amp;U'!H41*IS!H24</f>
        <v>-40.830652014147063</v>
      </c>
      <c r="I26">
        <f>'S&amp;U'!I41*IS!I24</f>
        <v>-61.745978021220573</v>
      </c>
      <c r="J26">
        <f>'S&amp;U'!J41*IS!J24</f>
        <v>-61.545978021220549</v>
      </c>
      <c r="K26">
        <f>'S&amp;U'!K41*IS!K24</f>
        <v>-61.345978021220574</v>
      </c>
      <c r="L26">
        <f>'S&amp;U'!L41*IS!L24</f>
        <v>-61.145978021220571</v>
      </c>
      <c r="M26">
        <f>'S&amp;U'!M41*IS!M24</f>
        <v>-60.945978021220576</v>
      </c>
      <c r="N26">
        <f>'S&amp;U'!N41*IS!N24</f>
        <v>-30.064521611317645</v>
      </c>
      <c r="O26">
        <f>'S&amp;U'!O41*IS!O24</f>
        <v>-3.5661304028294141</v>
      </c>
      <c r="P26">
        <f>'S&amp;U'!P41*IS!P24</f>
        <v>0</v>
      </c>
    </row>
    <row r="27" spans="1:16" ht="15" customHeight="1" x14ac:dyDescent="0.45">
      <c r="A27"/>
      <c r="B27" s="16" t="s">
        <v>116</v>
      </c>
      <c r="G27">
        <f>G24+G26</f>
        <v>92.974752028294148</v>
      </c>
      <c r="H27">
        <f t="shared" ref="H27:P27" si="7">H24+H26</f>
        <v>163.32260805658825</v>
      </c>
      <c r="I27">
        <f t="shared" si="7"/>
        <v>246.98391208488229</v>
      </c>
      <c r="J27">
        <f t="shared" si="7"/>
        <v>246.18391208488219</v>
      </c>
      <c r="K27">
        <f t="shared" si="7"/>
        <v>245.3839120848823</v>
      </c>
      <c r="L27">
        <f t="shared" si="7"/>
        <v>244.58391208488229</v>
      </c>
      <c r="M27">
        <f t="shared" si="7"/>
        <v>243.78391208488227</v>
      </c>
      <c r="N27">
        <f t="shared" si="7"/>
        <v>120.25808644527058</v>
      </c>
      <c r="O27">
        <f t="shared" si="7"/>
        <v>14.264521611317656</v>
      </c>
      <c r="P27">
        <f t="shared" si="7"/>
        <v>0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>CFS!D26</f>
        <v>-263.72082441879297</v>
      </c>
      <c r="E4">
        <f>CFS!E26</f>
        <v>-1114.6508369951489</v>
      </c>
      <c r="F4">
        <f>CFS!F26</f>
        <v>-1511.7142857142858</v>
      </c>
      <c r="G4">
        <f>CFS!G26</f>
        <v>-1316.957439474784</v>
      </c>
      <c r="H4">
        <f>CFS!H26</f>
        <v>-931.40676354372545</v>
      </c>
      <c r="I4">
        <f>CFS!I26</f>
        <v>-344.61942361974047</v>
      </c>
      <c r="J4">
        <f>CFS!J26</f>
        <v>259.11816835903903</v>
      </c>
      <c r="K4">
        <f>CFS!K26</f>
        <v>862.05576033781847</v>
      </c>
      <c r="L4">
        <f>CFS!L26</f>
        <v>1464.1933523165981</v>
      </c>
      <c r="M4">
        <f>CFS!M26</f>
        <v>2065.5309442953776</v>
      </c>
      <c r="N4">
        <f>CFS!N26</f>
        <v>2391.3346795607722</v>
      </c>
      <c r="O4">
        <f>CFS!O26</f>
        <v>2414.5733276236961</v>
      </c>
      <c r="P4">
        <f>CFS!P26</f>
        <v>2421.6734284456138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>SUM(D4:D6)</f>
        <v>-263.72082441879297</v>
      </c>
      <c r="E7">
        <f t="shared" ref="E7:P7" si="2">SUM(E4:E6)</f>
        <v>-1114.6508369951489</v>
      </c>
      <c r="F7">
        <f t="shared" si="2"/>
        <v>-1509.7572994129159</v>
      </c>
      <c r="G7">
        <f t="shared" si="2"/>
        <v>-1285.8560696117704</v>
      </c>
      <c r="H7">
        <f t="shared" si="2"/>
        <v>-872.42242381769813</v>
      </c>
      <c r="I7">
        <f t="shared" si="2"/>
        <v>-256.14291403069939</v>
      </c>
      <c r="J7">
        <f t="shared" si="2"/>
        <v>347.59467794808012</v>
      </c>
      <c r="K7">
        <f t="shared" si="2"/>
        <v>950.53226992685961</v>
      </c>
      <c r="L7">
        <f t="shared" si="2"/>
        <v>1552.6698619056392</v>
      </c>
      <c r="M7">
        <f t="shared" si="2"/>
        <v>2154.0074538844187</v>
      </c>
      <c r="N7">
        <f t="shared" si="2"/>
        <v>2438.5221513415941</v>
      </c>
      <c r="O7">
        <f t="shared" si="2"/>
        <v>2426.3701955689016</v>
      </c>
      <c r="P7">
        <f t="shared" si="2"/>
        <v>2421.6734284456138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>Depletion!D34</f>
        <v>203</v>
      </c>
      <c r="E10">
        <f>Depletion!E34</f>
        <v>203.8</v>
      </c>
      <c r="F10">
        <f>Depletion!F34</f>
        <v>204.5</v>
      </c>
      <c r="G10">
        <f>Depletion!G34</f>
        <v>194.27500000000001</v>
      </c>
      <c r="H10">
        <f>Depletion!H34</f>
        <v>173.82500000000002</v>
      </c>
      <c r="I10">
        <f>Depletion!I34</f>
        <v>143.15000000000003</v>
      </c>
      <c r="J10">
        <f>Depletion!J34</f>
        <v>112.47500000000002</v>
      </c>
      <c r="K10">
        <f>Depletion!K34</f>
        <v>81.80000000000004</v>
      </c>
      <c r="L10">
        <f>Depletion!L34</f>
        <v>51.125000000000043</v>
      </c>
      <c r="M10">
        <f>Depletion!M34</f>
        <v>20.450000000000049</v>
      </c>
      <c r="N10">
        <f>Depletion!N34</f>
        <v>4.090000000000046</v>
      </c>
      <c r="O10">
        <f>Depletion!O34</f>
        <v>4.6185277824406512E-14</v>
      </c>
      <c r="P10">
        <f>Depletion!P34</f>
        <v>4.6185277824406512E-14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>SUM(D7,D9:D11)</f>
        <v>156.47037487385543</v>
      </c>
      <c r="E12">
        <f t="shared" ref="E12:P12" si="3">SUM(E7,E9:E11)</f>
        <v>541.3403622974995</v>
      </c>
      <c r="F12">
        <f t="shared" si="3"/>
        <v>873.93389987973251</v>
      </c>
      <c r="G12">
        <f t="shared" si="3"/>
        <v>978.65056971624563</v>
      </c>
      <c r="H12">
        <f t="shared" si="3"/>
        <v>1153.7150955810532</v>
      </c>
      <c r="I12">
        <f t="shared" si="3"/>
        <v>1412.4409254741549</v>
      </c>
      <c r="J12">
        <f t="shared" si="3"/>
        <v>1658.6248375590369</v>
      </c>
      <c r="K12">
        <f t="shared" si="3"/>
        <v>1904.0087496439194</v>
      </c>
      <c r="L12">
        <f t="shared" si="3"/>
        <v>2148.5926617288019</v>
      </c>
      <c r="M12">
        <f t="shared" si="3"/>
        <v>2392.376573813684</v>
      </c>
      <c r="N12">
        <f t="shared" si="3"/>
        <v>2486.1959753274477</v>
      </c>
      <c r="O12">
        <f t="shared" si="3"/>
        <v>2426.3701955689021</v>
      </c>
      <c r="P12">
        <f t="shared" si="3"/>
        <v>2421.6734284456143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si="4"/>
        <v>11.741917808219174</v>
      </c>
      <c r="H16">
        <f t="shared" si="4"/>
        <v>23.483835616438348</v>
      </c>
      <c r="I16">
        <f t="shared" si="4"/>
        <v>35.225753424657526</v>
      </c>
      <c r="J16">
        <f t="shared" si="4"/>
        <v>35.225753424657533</v>
      </c>
      <c r="K16">
        <f t="shared" si="4"/>
        <v>35.225753424657526</v>
      </c>
      <c r="L16">
        <f t="shared" si="4"/>
        <v>35.225753424657526</v>
      </c>
      <c r="M16">
        <f t="shared" si="4"/>
        <v>35.225753424657526</v>
      </c>
      <c r="N16">
        <f t="shared" si="4"/>
        <v>18.787068493150684</v>
      </c>
      <c r="O16">
        <f t="shared" si="4"/>
        <v>4.6967671232876702</v>
      </c>
      <c r="P16">
        <f t="shared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>SUM(D16,D18:D19)</f>
        <v>37.191199292648413</v>
      </c>
      <c r="E20">
        <f t="shared" ref="E20:P20" si="5">SUM(E16,E18:E19)</f>
        <v>39.422671250207316</v>
      </c>
      <c r="F20">
        <f t="shared" si="5"/>
        <v>41.788031525219758</v>
      </c>
      <c r="G20">
        <f t="shared" si="5"/>
        <v>56.037231224952123</v>
      </c>
      <c r="H20">
        <f t="shared" si="5"/>
        <v>70.43686783817526</v>
      </c>
      <c r="I20">
        <f t="shared" si="5"/>
        <v>84.995967579698657</v>
      </c>
      <c r="J20">
        <f t="shared" si="5"/>
        <v>87.982180429001133</v>
      </c>
      <c r="K20">
        <f t="shared" si="5"/>
        <v>91.147566049261741</v>
      </c>
      <c r="L20">
        <f t="shared" si="5"/>
        <v>94.502874806737992</v>
      </c>
      <c r="M20">
        <f t="shared" si="5"/>
        <v>98.059502089662828</v>
      </c>
      <c r="N20">
        <f t="shared" si="5"/>
        <v>75.390842078056295</v>
      </c>
      <c r="O20">
        <f t="shared" si="5"/>
        <v>4.6967671232876702</v>
      </c>
      <c r="P20">
        <f t="shared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>Calcs!D15</f>
        <v>119.27917558120706</v>
      </c>
      <c r="E22">
        <f>Calcs!E15</f>
        <v>504.14916300485106</v>
      </c>
      <c r="F22">
        <f>Calcs!F15</f>
        <v>836.74270058708407</v>
      </c>
      <c r="G22">
        <f>Calcs!G15</f>
        <v>929.71745261537819</v>
      </c>
      <c r="H22">
        <f>Calcs!H15</f>
        <v>1093.0400606719663</v>
      </c>
      <c r="I22">
        <f>Calcs!I15</f>
        <v>1340.0239727568487</v>
      </c>
      <c r="J22">
        <f>Calcs!J15</f>
        <v>1586.2078848417309</v>
      </c>
      <c r="K22">
        <f>Calcs!K15</f>
        <v>1831.5917969266131</v>
      </c>
      <c r="L22">
        <f>Calcs!L15</f>
        <v>2076.1757090114952</v>
      </c>
      <c r="M22">
        <f>Calcs!M15</f>
        <v>2319.9596210963773</v>
      </c>
      <c r="N22">
        <f>Calcs!N15</f>
        <v>2440.217707541648</v>
      </c>
      <c r="O22">
        <f>Calcs!O15</f>
        <v>2454.4822291529658</v>
      </c>
      <c r="P22">
        <f>Calcs!P15</f>
        <v>2454.4822291529658</v>
      </c>
    </row>
    <row r="23" spans="1:16" ht="15" customHeight="1" x14ac:dyDescent="0.45">
      <c r="A23"/>
      <c r="B23" s="16" t="s">
        <v>145</v>
      </c>
      <c r="D23">
        <f>D20+D22</f>
        <v>156.47037487385546</v>
      </c>
      <c r="E23">
        <f t="shared" ref="E23:P23" si="6">E20+E22</f>
        <v>543.57183425505832</v>
      </c>
      <c r="F23">
        <f t="shared" si="6"/>
        <v>878.53073211230378</v>
      </c>
      <c r="G23">
        <f t="shared" si="6"/>
        <v>985.75468384033036</v>
      </c>
      <c r="H23">
        <f t="shared" si="6"/>
        <v>1163.4769285101415</v>
      </c>
      <c r="I23">
        <f t="shared" si="6"/>
        <v>1425.0199403365473</v>
      </c>
      <c r="J23">
        <f t="shared" si="6"/>
        <v>1674.190065270732</v>
      </c>
      <c r="K23">
        <f t="shared" si="6"/>
        <v>1922.7393629758749</v>
      </c>
      <c r="L23">
        <f t="shared" si="6"/>
        <v>2170.6785838182332</v>
      </c>
      <c r="M23">
        <f t="shared" si="6"/>
        <v>2418.0191231860399</v>
      </c>
      <c r="N23">
        <f t="shared" si="6"/>
        <v>2515.6085496197043</v>
      </c>
      <c r="O23">
        <f t="shared" si="6"/>
        <v>2459.1789962762537</v>
      </c>
      <c r="P23">
        <f t="shared" si="6"/>
        <v>2454.4822291529658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 t="str">
        <f>IF(ROUND(D12,2)=ROUND(D23,2),"OK",D12-D23)</f>
        <v>OK</v>
      </c>
      <c r="E25" s="66">
        <f t="shared" ref="E25:P25" si="7">IF(ROUND(E12,2)=ROUND(E23,2),"OK",E12-E23)</f>
        <v>-2.2314719575588242</v>
      </c>
      <c r="F25" s="66">
        <f t="shared" si="7"/>
        <v>-4.5968322325712734</v>
      </c>
      <c r="G25" s="66">
        <f t="shared" si="7"/>
        <v>-7.104114124084731</v>
      </c>
      <c r="H25" s="66">
        <f t="shared" si="7"/>
        <v>-9.7618329290883139</v>
      </c>
      <c r="I25" s="66">
        <f t="shared" si="7"/>
        <v>-12.579014862392341</v>
      </c>
      <c r="J25" s="66">
        <f t="shared" si="7"/>
        <v>-15.565227711695115</v>
      </c>
      <c r="K25" s="66">
        <f t="shared" si="7"/>
        <v>-18.73061333195551</v>
      </c>
      <c r="L25" s="66">
        <f t="shared" si="7"/>
        <v>-22.085922089431278</v>
      </c>
      <c r="M25" s="66">
        <f t="shared" si="7"/>
        <v>-25.642549372355916</v>
      </c>
      <c r="N25" s="66">
        <f t="shared" si="7"/>
        <v>-29.412574292256522</v>
      </c>
      <c r="O25" s="66">
        <f t="shared" si="7"/>
        <v>-32.808800707351566</v>
      </c>
      <c r="P25" s="66">
        <f t="shared" si="7"/>
        <v>-32.808800707351566</v>
      </c>
    </row>
    <row r="26" spans="1:16" ht="15" customHeight="1" x14ac:dyDescent="0.45">
      <c r="A26"/>
      <c r="E26" t="e">
        <f ca="1">[1]!FR(D26)</f>
        <v>#NAME?</v>
      </c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85B305-8838-44B4-8FBB-8CFCD8583B10}"/>
</file>

<file path=customXml/itemProps2.xml><?xml version="1.0" encoding="utf-8"?>
<ds:datastoreItem xmlns:ds="http://schemas.openxmlformats.org/officeDocument/2006/customXml" ds:itemID="{33696EE8-74F7-46DF-BD7B-72369FB330B3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E526315C-87E9-4558-B86A-E79BF1A6D2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2026-01-29T18:44:12Z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