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4. Main Model - Loan Life Coverage Ratio - Final/"/>
    </mc:Choice>
  </mc:AlternateContent>
  <xr:revisionPtr revIDLastSave="0" documentId="13_ncr:1_{DF64433F-9494-4F71-B621-D5375C242E1A}" xr6:coauthVersionLast="47" xr6:coauthVersionMax="47" xr10:uidLastSave="{00000000-0000-0000-0000-000000000000}"/>
  <bookViews>
    <workbookView xWindow="2363" yWindow="2363" windowWidth="16200" windowHeight="9982" firstSheet="1" activeTab="2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G8" i="2"/>
  <c r="G67" i="15"/>
  <c r="G53" i="2"/>
  <c r="G66" i="15"/>
  <c r="I40" i="15" l="1"/>
  <c r="J40" i="15"/>
  <c r="L40" i="15"/>
  <c r="M40" i="15"/>
  <c r="N40" i="15"/>
  <c r="O40" i="15"/>
  <c r="P40" i="15"/>
  <c r="C35" i="15"/>
  <c r="C46" i="15"/>
  <c r="G40" i="15"/>
  <c r="D39" i="15"/>
  <c r="C37" i="15"/>
  <c r="D37" i="15"/>
  <c r="D35" i="15"/>
  <c r="D36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D24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F22" i="12" l="1"/>
  <c r="F25" i="12" s="1"/>
  <c r="F9" i="16" s="1"/>
  <c r="L4" i="15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23" i="14" l="1"/>
  <c r="J7" i="18" s="1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D14" i="16"/>
  <c r="D18" i="18" s="1"/>
  <c r="E26" i="15"/>
  <c r="D26" i="15"/>
  <c r="E28" i="15"/>
  <c r="D28" i="15"/>
  <c r="D16" i="16" l="1"/>
  <c r="F23" i="15"/>
  <c r="F25" i="15" s="1"/>
  <c r="E14" i="16"/>
  <c r="E29" i="15"/>
  <c r="E30" i="15" s="1"/>
  <c r="D29" i="15"/>
  <c r="D30" i="15" s="1"/>
  <c r="D7" i="2"/>
  <c r="E18" i="18" l="1"/>
  <c r="E16" i="16"/>
  <c r="F14" i="16"/>
  <c r="F28" i="15"/>
  <c r="F29" i="15" s="1"/>
  <c r="F30" i="15" s="1"/>
  <c r="G23" i="15"/>
  <c r="F26" i="15"/>
  <c r="E7" i="2"/>
  <c r="F7" i="2"/>
  <c r="F18" i="18" l="1"/>
  <c r="F16" i="16"/>
  <c r="C7" i="2"/>
  <c r="D42" i="15" l="1"/>
  <c r="E42" i="15"/>
  <c r="E54" i="2" s="1"/>
  <c r="D54" i="2" l="1"/>
  <c r="D21" i="18"/>
  <c r="E21" i="18"/>
  <c r="F21" i="18"/>
  <c r="K40" i="15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G14" i="16"/>
  <c r="H14" i="16"/>
  <c r="I14" i="16"/>
  <c r="J14" i="16"/>
  <c r="K14" i="16"/>
  <c r="L14" i="16"/>
  <c r="M14" i="16"/>
  <c r="N14" i="16"/>
  <c r="O14" i="16"/>
  <c r="P14" i="16"/>
  <c r="G16" i="16"/>
  <c r="H16" i="16"/>
  <c r="I16" i="16"/>
  <c r="J16" i="16"/>
  <c r="K16" i="16"/>
  <c r="L16" i="16"/>
  <c r="M16" i="16"/>
  <c r="N16" i="16"/>
  <c r="O16" i="16"/>
  <c r="P16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E11" i="17"/>
  <c r="F11" i="17"/>
  <c r="G11" i="17"/>
  <c r="H11" i="17"/>
  <c r="I11" i="17"/>
  <c r="J11" i="17"/>
  <c r="K11" i="17"/>
  <c r="L11" i="17"/>
  <c r="M11" i="17"/>
  <c r="N11" i="17"/>
  <c r="O11" i="17"/>
  <c r="P11" i="17"/>
  <c r="G12" i="17"/>
  <c r="H12" i="17"/>
  <c r="I12" i="17"/>
  <c r="J12" i="17"/>
  <c r="K12" i="17"/>
  <c r="L12" i="17"/>
  <c r="M12" i="17"/>
  <c r="N12" i="17"/>
  <c r="O12" i="17"/>
  <c r="P12" i="17"/>
  <c r="D13" i="17"/>
  <c r="E13" i="17"/>
  <c r="F13" i="17"/>
  <c r="G14" i="17"/>
  <c r="H14" i="17"/>
  <c r="I14" i="17"/>
  <c r="J14" i="17"/>
  <c r="K14" i="17"/>
  <c r="L14" i="17"/>
  <c r="M14" i="17"/>
  <c r="N14" i="17"/>
  <c r="O14" i="17"/>
  <c r="P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G4" i="18"/>
  <c r="H4" i="18"/>
  <c r="I4" i="18"/>
  <c r="J4" i="18"/>
  <c r="K4" i="18"/>
  <c r="L4" i="18"/>
  <c r="M4" i="18"/>
  <c r="N4" i="18"/>
  <c r="O4" i="18"/>
  <c r="P4" i="18"/>
  <c r="G6" i="18"/>
  <c r="H6" i="18"/>
  <c r="I6" i="18"/>
  <c r="J6" i="18"/>
  <c r="K6" i="18"/>
  <c r="L6" i="18"/>
  <c r="M6" i="18"/>
  <c r="N6" i="18"/>
  <c r="O6" i="18"/>
  <c r="P6" i="18"/>
  <c r="G9" i="18"/>
  <c r="H9" i="18"/>
  <c r="I9" i="18"/>
  <c r="J9" i="18"/>
  <c r="K9" i="18"/>
  <c r="L9" i="18"/>
  <c r="M9" i="18"/>
  <c r="N9" i="18"/>
  <c r="O9" i="18"/>
  <c r="P9" i="18"/>
  <c r="G12" i="18"/>
  <c r="H12" i="18"/>
  <c r="I12" i="18"/>
  <c r="J12" i="18"/>
  <c r="K12" i="18"/>
  <c r="L12" i="18"/>
  <c r="M12" i="18"/>
  <c r="N12" i="18"/>
  <c r="O12" i="18"/>
  <c r="P12" i="18"/>
  <c r="D15" i="18"/>
  <c r="E15" i="18"/>
  <c r="F15" i="18"/>
  <c r="D16" i="18"/>
  <c r="E16" i="18"/>
  <c r="F16" i="18"/>
  <c r="G18" i="18"/>
  <c r="H18" i="18"/>
  <c r="I18" i="18"/>
  <c r="J18" i="18"/>
  <c r="K18" i="18"/>
  <c r="L18" i="18"/>
  <c r="M18" i="18"/>
  <c r="N18" i="18"/>
  <c r="O18" i="18"/>
  <c r="P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20" i="18"/>
  <c r="E20" i="18"/>
  <c r="F20" i="18"/>
  <c r="G21" i="18"/>
  <c r="H21" i="18"/>
  <c r="I21" i="18"/>
  <c r="J21" i="18"/>
  <c r="K21" i="18"/>
  <c r="L21" i="18"/>
  <c r="M21" i="18"/>
  <c r="N21" i="18"/>
  <c r="O21" i="18"/>
  <c r="P21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F27" i="12"/>
  <c r="F28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D32" i="12"/>
  <c r="E32" i="12"/>
  <c r="F32" i="12"/>
  <c r="G33" i="12"/>
  <c r="H33" i="12"/>
  <c r="I33" i="12"/>
  <c r="J33" i="12"/>
  <c r="K33" i="12"/>
  <c r="L33" i="12"/>
  <c r="M33" i="12"/>
  <c r="N33" i="12"/>
  <c r="O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G7" i="15"/>
  <c r="H7" i="15"/>
  <c r="I7" i="15"/>
  <c r="J7" i="15"/>
  <c r="K7" i="15"/>
  <c r="L7" i="15"/>
  <c r="M7" i="15"/>
  <c r="N7" i="15"/>
  <c r="O7" i="15"/>
  <c r="P7" i="15"/>
  <c r="G8" i="15"/>
  <c r="H8" i="15"/>
  <c r="I8" i="15"/>
  <c r="J8" i="15"/>
  <c r="K8" i="15"/>
  <c r="L8" i="15"/>
  <c r="M8" i="15"/>
  <c r="N8" i="15"/>
  <c r="O8" i="15"/>
  <c r="P8" i="15"/>
  <c r="G13" i="15"/>
  <c r="H13" i="15"/>
  <c r="I13" i="15"/>
  <c r="J13" i="15"/>
  <c r="K13" i="15"/>
  <c r="L13" i="15"/>
  <c r="M13" i="15"/>
  <c r="N13" i="15"/>
  <c r="O13" i="15"/>
  <c r="P13" i="15"/>
  <c r="G15" i="15"/>
  <c r="H15" i="15"/>
  <c r="I15" i="15"/>
  <c r="J15" i="15"/>
  <c r="K15" i="15"/>
  <c r="L15" i="15"/>
  <c r="M15" i="15"/>
  <c r="N15" i="15"/>
  <c r="O15" i="15"/>
  <c r="P15" i="15"/>
  <c r="G16" i="15"/>
  <c r="H16" i="15"/>
  <c r="I16" i="15"/>
  <c r="J16" i="15"/>
  <c r="K16" i="15"/>
  <c r="L16" i="15"/>
  <c r="M16" i="15"/>
  <c r="N16" i="15"/>
  <c r="O16" i="15"/>
  <c r="P16" i="15"/>
  <c r="G17" i="15"/>
  <c r="H17" i="15"/>
  <c r="I17" i="15"/>
  <c r="J17" i="15"/>
  <c r="K17" i="15"/>
  <c r="L17" i="15"/>
  <c r="M17" i="15"/>
  <c r="N17" i="15"/>
  <c r="O17" i="15"/>
  <c r="P17" i="15"/>
  <c r="H23" i="15"/>
  <c r="I23" i="15"/>
  <c r="J23" i="15"/>
  <c r="K23" i="15"/>
  <c r="L23" i="15"/>
  <c r="M23" i="15"/>
  <c r="N23" i="15"/>
  <c r="O23" i="15"/>
  <c r="P23" i="15"/>
  <c r="G24" i="15"/>
  <c r="H24" i="15"/>
  <c r="I24" i="15"/>
  <c r="J24" i="15"/>
  <c r="K24" i="15"/>
  <c r="L24" i="15"/>
  <c r="M24" i="15"/>
  <c r="N24" i="15"/>
  <c r="O24" i="15"/>
  <c r="P24" i="15"/>
  <c r="G25" i="15"/>
  <c r="H25" i="15"/>
  <c r="I25" i="15"/>
  <c r="J25" i="15"/>
  <c r="K25" i="15"/>
  <c r="L25" i="15"/>
  <c r="M25" i="15"/>
  <c r="N25" i="15"/>
  <c r="O25" i="15"/>
  <c r="P25" i="15"/>
  <c r="G26" i="15"/>
  <c r="H26" i="15"/>
  <c r="I26" i="15"/>
  <c r="J26" i="15"/>
  <c r="K26" i="15"/>
  <c r="L26" i="15"/>
  <c r="M26" i="15"/>
  <c r="N26" i="15"/>
  <c r="O26" i="15"/>
  <c r="P26" i="15"/>
  <c r="G28" i="15"/>
  <c r="H28" i="15"/>
  <c r="I28" i="15"/>
  <c r="J28" i="15"/>
  <c r="K28" i="15"/>
  <c r="L28" i="15"/>
  <c r="M28" i="15"/>
  <c r="N28" i="15"/>
  <c r="O28" i="15"/>
  <c r="P28" i="15"/>
  <c r="G29" i="15"/>
  <c r="H29" i="15"/>
  <c r="I29" i="15"/>
  <c r="J29" i="15"/>
  <c r="K29" i="15"/>
  <c r="L29" i="15"/>
  <c r="M29" i="15"/>
  <c r="N29" i="15"/>
  <c r="O29" i="15"/>
  <c r="P29" i="15"/>
  <c r="G30" i="15"/>
  <c r="H30" i="15"/>
  <c r="I30" i="15"/>
  <c r="J30" i="15"/>
  <c r="K30" i="15"/>
  <c r="L30" i="15"/>
  <c r="M30" i="15"/>
  <c r="N30" i="15"/>
  <c r="O30" i="15"/>
  <c r="P30" i="15"/>
  <c r="G32" i="15"/>
  <c r="H32" i="15"/>
  <c r="I32" i="15"/>
  <c r="J32" i="15"/>
  <c r="K32" i="15"/>
  <c r="L32" i="15"/>
  <c r="M32" i="15"/>
  <c r="N32" i="15"/>
  <c r="O32" i="15"/>
  <c r="P32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D40" i="15"/>
  <c r="E40" i="15"/>
  <c r="F40" i="15"/>
  <c r="G41" i="15"/>
  <c r="H41" i="15"/>
  <c r="I41" i="15"/>
  <c r="J41" i="15"/>
  <c r="K41" i="15"/>
  <c r="L41" i="15"/>
  <c r="M41" i="15"/>
  <c r="N41" i="15"/>
  <c r="O41" i="15"/>
  <c r="P41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D46" i="15"/>
  <c r="E46" i="15"/>
  <c r="F46" i="15"/>
  <c r="D47" i="15"/>
  <c r="E47" i="15"/>
  <c r="F47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G50" i="15"/>
  <c r="H50" i="15"/>
  <c r="I50" i="15"/>
  <c r="J50" i="15"/>
  <c r="K50" i="15"/>
  <c r="L50" i="15"/>
  <c r="M50" i="15"/>
  <c r="N50" i="15"/>
  <c r="O50" i="15"/>
  <c r="H52" i="15"/>
  <c r="I52" i="15"/>
  <c r="J52" i="15"/>
  <c r="K52" i="15"/>
  <c r="L52" i="15"/>
  <c r="M52" i="15"/>
  <c r="N52" i="15"/>
  <c r="O52" i="15"/>
  <c r="P52" i="15"/>
  <c r="G53" i="15"/>
  <c r="H53" i="15"/>
  <c r="I53" i="15"/>
  <c r="J53" i="15"/>
  <c r="K53" i="15"/>
  <c r="L53" i="15"/>
  <c r="M53" i="15"/>
  <c r="N53" i="15"/>
  <c r="O53" i="15"/>
  <c r="P53" i="15"/>
  <c r="G54" i="15"/>
  <c r="H54" i="15"/>
  <c r="I54" i="15"/>
  <c r="J54" i="15"/>
  <c r="K54" i="15"/>
  <c r="L54" i="15"/>
  <c r="M54" i="15"/>
  <c r="N54" i="15"/>
  <c r="O54" i="15"/>
  <c r="P54" i="15"/>
  <c r="G55" i="15"/>
  <c r="H55" i="15"/>
  <c r="I55" i="15"/>
  <c r="J55" i="15"/>
  <c r="K55" i="15"/>
  <c r="L55" i="15"/>
  <c r="M55" i="15"/>
  <c r="N55" i="15"/>
  <c r="O55" i="15"/>
  <c r="P55" i="15"/>
  <c r="G58" i="15"/>
  <c r="H58" i="15"/>
  <c r="I58" i="15"/>
  <c r="J58" i="15"/>
  <c r="K58" i="15"/>
  <c r="L58" i="15"/>
  <c r="M58" i="15"/>
  <c r="N58" i="15"/>
  <c r="O58" i="15"/>
  <c r="P58" i="15"/>
  <c r="P59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G64" i="15"/>
  <c r="H64" i="15"/>
  <c r="I64" i="15"/>
  <c r="J64" i="15"/>
  <c r="K64" i="15"/>
  <c r="L64" i="15"/>
  <c r="M64" i="15"/>
  <c r="N64" i="15"/>
  <c r="O64" i="15"/>
  <c r="P64" i="15"/>
  <c r="G65" i="15"/>
  <c r="H65" i="15"/>
  <c r="I65" i="15"/>
  <c r="J65" i="15"/>
  <c r="K65" i="15"/>
  <c r="L65" i="15"/>
  <c r="M65" i="15"/>
  <c r="N65" i="15"/>
  <c r="O65" i="15"/>
  <c r="P65" i="15"/>
  <c r="F66" i="15"/>
  <c r="F67" i="15"/>
  <c r="G17" i="14"/>
  <c r="H17" i="14"/>
  <c r="I17" i="14"/>
  <c r="J17" i="14"/>
  <c r="K17" i="14"/>
  <c r="L17" i="14"/>
  <c r="M17" i="14"/>
  <c r="N17" i="14"/>
  <c r="O17" i="14"/>
  <c r="P17" i="14"/>
  <c r="G19" i="14"/>
  <c r="H19" i="14"/>
  <c r="I19" i="14"/>
  <c r="J19" i="14"/>
  <c r="K19" i="14"/>
  <c r="L19" i="14"/>
  <c r="M19" i="14"/>
  <c r="N19" i="14"/>
  <c r="O19" i="14"/>
  <c r="P19" i="14"/>
  <c r="G21" i="14"/>
  <c r="H21" i="14"/>
  <c r="I21" i="14"/>
  <c r="J21" i="14"/>
  <c r="K21" i="14"/>
  <c r="L21" i="14"/>
  <c r="M21" i="14"/>
  <c r="N21" i="14"/>
  <c r="O21" i="14"/>
  <c r="P21" i="14"/>
  <c r="G22" i="14"/>
  <c r="H22" i="14"/>
  <c r="I22" i="14"/>
  <c r="J22" i="14"/>
  <c r="K22" i="14"/>
  <c r="L22" i="14"/>
  <c r="M22" i="14"/>
  <c r="N22" i="14"/>
  <c r="O22" i="14"/>
  <c r="P22" i="14"/>
  <c r="G24" i="14"/>
  <c r="H24" i="14"/>
  <c r="I24" i="14"/>
  <c r="J24" i="14"/>
  <c r="K24" i="14"/>
  <c r="L24" i="14"/>
  <c r="M24" i="14"/>
  <c r="N24" i="14"/>
  <c r="O24" i="14"/>
  <c r="P24" i="14"/>
  <c r="G26" i="14"/>
  <c r="H26" i="14"/>
  <c r="I26" i="14"/>
  <c r="J26" i="14"/>
  <c r="K26" i="14"/>
  <c r="L26" i="14"/>
  <c r="M26" i="14"/>
  <c r="N26" i="14"/>
  <c r="O26" i="14"/>
  <c r="P26" i="14"/>
  <c r="G27" i="14"/>
  <c r="H27" i="14"/>
  <c r="I27" i="14"/>
  <c r="J27" i="14"/>
  <c r="K27" i="14"/>
  <c r="L27" i="14"/>
  <c r="M27" i="14"/>
  <c r="N27" i="14"/>
  <c r="O27" i="14"/>
  <c r="P27" i="14"/>
  <c r="D8" i="2"/>
  <c r="E8" i="2"/>
  <c r="F8" i="2"/>
  <c r="C11" i="2"/>
  <c r="D11" i="2"/>
  <c r="E11" i="2"/>
  <c r="F11" i="2"/>
  <c r="D12" i="2"/>
  <c r="E12" i="2"/>
  <c r="F12" i="2"/>
  <c r="D15" i="2"/>
  <c r="E15" i="2"/>
  <c r="F15" i="2"/>
  <c r="C16" i="2"/>
  <c r="D16" i="2"/>
  <c r="E16" i="2"/>
  <c r="F16" i="2"/>
  <c r="C17" i="2"/>
  <c r="D17" i="2"/>
  <c r="E17" i="2"/>
  <c r="F17" i="2"/>
  <c r="D19" i="2"/>
  <c r="D20" i="2"/>
  <c r="D23" i="2"/>
  <c r="D53" i="2"/>
  <c r="E53" i="2"/>
  <c r="F53" i="2"/>
  <c r="D55" i="2"/>
  <c r="E55" i="2"/>
  <c r="F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<sst xmlns="http://schemas.openxmlformats.org/spreadsheetml/2006/main" count="358" uniqueCount="204">
  <si>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</si>
  <si>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</si>
  <si>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</si>
  <si>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</si>
  <si>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</si>
  <si>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</si>
  <si>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</si>
  <si>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</si>
  <si>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</si>
  <si>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</si>
  <si>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</si>
  <si>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</si>
  <si>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</si>
  <si>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</si>
  <si>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</si>
  <si>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</si>
  <si>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</si>
  <si>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</si>
  <si>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</si>
  <si>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</si>
  <si>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</si>
  <si>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</si>
  <si>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</si>
  <si>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</si>
  <si>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</si>
  <si>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</si>
  <si>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</si>
  <si>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</si>
  <si>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</si>
  <si>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</si>
  <si>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</si>
  <si>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</si>
  <si>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</si>
  <si>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</si>
  <si>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</si>
  <si>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</si>
  <si>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</si>
  <si>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</si>
  <si>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</si>
  <si>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</si>
  <si>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</si>
  <si>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</si>
  <si>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</si>
  <si>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</si>
  <si>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</si>
  <si>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</si>
  <si>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</si>
  <si>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</si>
  <si>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</si>
  <si>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</si>
  <si>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</si>
  <si>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</si>
  <si>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</si>
  <si>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</si>
  <si>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</si>
  <si>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</si>
  <si>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</si>
  <si>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</si>
  <si>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</si>
  <si>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</si>
  <si>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</si>
  <si>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</si>
  <si>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</si>
  <si>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</si>
  <si>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</si>
  <si>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</si>
  <si>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</si>
  <si>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</si>
  <si>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</si>
  <si>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</si>
  <si>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</si>
  <si>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</si>
  <si>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</si>
  <si>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</si>
  <si>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</si>
  <si>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</si>
  <si>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</si>
  <si>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</si>
  <si>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</si>
  <si>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</si>
  <si>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</si>
  <si>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</si>
  <si>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</si>
  <si>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</si>
  <si>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</si>
  <si>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</si>
  <si>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</si>
  <si>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</si>
  <si>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</si>
  <si>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</si>
  <si>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</si>
  <si>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</si>
  <si>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</si>
  <si>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</si>
  <si>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</si>
  <si>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</si>
  <si>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</si>
  <si>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</si>
  <si>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</si>
  <si>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</si>
  <si>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</si>
  <si>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</si>
  <si>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</si>
  <si>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</si>
  <si>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</si>
  <si>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</si>
  <si>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</si>
  <si>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</si>
  <si>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</si>
  <si>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</si>
  <si>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</si>
  <si>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</si>
  <si>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</si>
  <si>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</si>
  <si>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</si>
  <si>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</si>
  <si>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</si>
  <si>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</si>
  <si>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</si>
  <si>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</si>
  <si>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</si>
  <si>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</si>
  <si>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</si>
  <si>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</si>
  <si>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</si>
  <si>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</si>
  <si>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</si>
  <si>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</si>
  <si>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</si>
  <si>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</si>
  <si>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</si>
  <si>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</si>
  <si>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</si>
  <si>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</si>
  <si>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</si>
  <si>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</si>
  <si>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</si>
  <si>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</si>
  <si>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</si>
  <si>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</si>
  <si>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</si>
  <si>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</si>
  <si>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</si>
  <si>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</si>
  <si>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</si>
  <si>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</si>
  <si>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</si>
  <si>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</si>
  <si>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</si>
  <si>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</si>
  <si>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</si>
  <si>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</si>
  <si>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</si>
  <si>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</si>
  <si>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</si>
  <si>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</si>
  <si>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</si>
  <si>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</si>
  <si>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</si>
  <si>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</si>
  <si>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</si>
  <si>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</si>
  <si>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</si>
  <si>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</si>
  <si>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</si>
  <si>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</si>
  <si>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</si>
  <si>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</si>
  <si>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</si>
  <si>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</si>
  <si>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</si>
  <si>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</si>
  <si>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</si>
  <si>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</si>
  <si>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</si>
  <si>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</si>
  <si>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</si>
  <si>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</si>
  <si>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</si>
  <si>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</si>
  <si>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</si>
  <si>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</si>
  <si>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</si>
  <si>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</si>
  <si>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</si>
  <si>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</si>
  <si>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</si>
  <si>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</si>
  <si>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</si>
  <si>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</si>
  <si>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</si>
  <si>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</si>
  <si>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</si>
  <si>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</si>
  <si>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</si>
  <si>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</si>
  <si>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</si>
  <si>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</si>
  <si>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</si>
  <si>
    <t>LLCR</t>
  </si>
  <si>
    <t>Loan Life Coverage Ratio (LLCR)</t>
  </si>
  <si>
    <t>Syndicated loan outstanding?</t>
  </si>
  <si>
    <t>Cash flow</t>
  </si>
  <si>
    <t>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</si>
</sst>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stair%20Matchett/AppData/Roaming/Microsoft/AddIns/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  <sheetName val="Shortcuts"/>
      <sheetName val="Constants"/>
      <sheetName val="FE Training (1)"/>
    </sheetNames>
    <definedNames>
      <definedName name="F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169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9" t="s">
        <v>11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2025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13" activePane="bottomRight" state="frozen"/>
      <selection activeCell="D19" sqref="D19"/>
      <selection pane="topRight" activeCell="D19" sqref="D19"/>
      <selection pane="bottomLeft" activeCell="D19" sqref="D19"/>
      <selection pane="bottomRight" activeCell="D19" sqref="D19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 ca="1">IS!G27</f>
        <v>27.115082822194587</v>
      </c>
      <c r="H4">
        <f ca="1">IS!H27</f>
        <v>97.371034014266712</v>
      </c>
      <c r="I4">
        <f ca="1">IS!I27</f>
        <v>186.05808650071512</v>
      </c>
      <c r="J4">
        <f ca="1">IS!J27</f>
        <v>198.66679036874621</v>
      </c>
      <c r="K4">
        <f ca="1">IS!K27</f>
        <v>211.93691059874965</v>
      </c>
      <c r="L4">
        <f ca="1">IS!L27</f>
        <v>221.73086482073759</v>
      </c>
      <c r="M4">
        <f ca="1">IS!M27</f>
        <v>224.29340834002505</v>
      </c>
      <c r="N4">
        <f ca="1">IS!N27</f>
        <v>107.9912921528077</v>
      </c>
      <c r="O4">
        <f ca="1">IS!O27</f>
        <v>8.6348468901065392</v>
      </c>
      <c r="P4">
        <f ca="1">IS!P27</f>
        <v>-0.8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 ca="1">-IS!G17</f>
        <v>18.686727430681319</v>
      </c>
      <c r="H6" s="73">
        <f ca="1">-IS!H17</f>
        <v>37.373454861362639</v>
      </c>
      <c r="I6" s="73">
        <f ca="1">-IS!I17</f>
        <v>56.060182292043962</v>
      </c>
      <c r="J6" s="73">
        <f ca="1">-IS!J17</f>
        <v>56.06018229204399</v>
      </c>
      <c r="K6" s="73">
        <f ca="1">-IS!K17</f>
        <v>56.060182292043962</v>
      </c>
      <c r="L6" s="73">
        <f ca="1">-IS!L17</f>
        <v>56.060182292043976</v>
      </c>
      <c r="M6" s="73">
        <f ca="1">-IS!M17</f>
        <v>56.060182292043969</v>
      </c>
      <c r="N6" s="73">
        <f ca="1">-IS!N17</f>
        <v>29.898763889090123</v>
      </c>
      <c r="O6" s="73">
        <f ca="1">-IS!O17</f>
        <v>7.4746909722725299</v>
      </c>
      <c r="P6" s="73">
        <f ca="1"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173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ca="1" si="2"/>
        <v>155.40909214438904</v>
      </c>
      <c r="H9">
        <f t="shared" ca="1" si="2"/>
        <v>351.60220768063323</v>
      </c>
      <c r="I9">
        <f t="shared" ca="1" si="2"/>
        <v>566.23545072606316</v>
      </c>
      <c r="J9">
        <f t="shared" ca="1" si="2"/>
        <v>579.01318551009274</v>
      </c>
      <c r="K9">
        <f t="shared" ca="1" si="2"/>
        <v>592.46247851105409</v>
      </c>
      <c r="L9">
        <f t="shared" ca="1" si="2"/>
        <v>602.44635587025778</v>
      </c>
      <c r="M9">
        <f t="shared" ca="1" si="2"/>
        <v>605.21021791499379</v>
      </c>
      <c r="N9">
        <f t="shared" ca="1" si="2"/>
        <v>303.02008096179816</v>
      </c>
      <c r="O9">
        <f t="shared" ca="1" si="2"/>
        <v>2.3457642774733998</v>
      </c>
      <c r="P9">
        <f t="shared" ca="1" si="2"/>
        <v>-0.8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ca="1" si="3"/>
        <v>138.00662639096436</v>
      </c>
      <c r="H12">
        <f t="shared" ca="1" si="3"/>
        <v>335.46115562583873</v>
      </c>
      <c r="I12">
        <f t="shared" ca="1" si="3"/>
        <v>548.48519867126868</v>
      </c>
      <c r="J12">
        <f t="shared" ca="1" si="3"/>
        <v>579.01318551009274</v>
      </c>
      <c r="K12">
        <f t="shared" ca="1" si="3"/>
        <v>592.46247851105409</v>
      </c>
      <c r="L12">
        <f t="shared" ca="1" si="3"/>
        <v>602.44635587025778</v>
      </c>
      <c r="M12">
        <f t="shared" ca="1" si="3"/>
        <v>605.21021791499379</v>
      </c>
      <c r="N12">
        <f t="shared" ca="1" si="3"/>
        <v>327.87043383851051</v>
      </c>
      <c r="O12">
        <f t="shared" ca="1" si="3"/>
        <v>23.646066743226829</v>
      </c>
      <c r="P12">
        <f t="shared" ca="1" si="3"/>
        <v>6.3001008219178107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 ca="1">-'S&amp;U'!D7-'S&amp;U'!D8</f>
        <v>-226.50847609707336</v>
      </c>
      <c r="E15">
        <f ca="1">-'S&amp;U'!E7-'S&amp;U'!E8</f>
        <v>-40.898258544203387</v>
      </c>
      <c r="F15">
        <f ca="1">-'S&amp;U'!F7-'S&amp;U'!F8</f>
        <v>-64.539782447130023</v>
      </c>
    </row>
    <row r="16" spans="1:16" ht="15" customHeight="1" x14ac:dyDescent="0.45">
      <c r="A16"/>
      <c r="B16" s="16" t="s">
        <v>152</v>
      </c>
      <c r="D16">
        <f ca="1">SUM(D14:D15)</f>
        <v>-406.50847609707336</v>
      </c>
      <c r="E16">
        <f t="shared" ref="E16:F16" ca="1" si="4">SUM(E14:E15)</f>
        <v>-1275.8982585442034</v>
      </c>
      <c r="F16">
        <f t="shared" ca="1" si="4"/>
        <v>-791.53978244713005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 ca="1">BS!G14-BS!F14</f>
        <v>0</v>
      </c>
      <c r="H18">
        <f ca="1">BS!H14-BS!G14</f>
        <v>0</v>
      </c>
      <c r="I18">
        <f ca="1">BS!I14-BS!H14</f>
        <v>0</v>
      </c>
      <c r="J18">
        <f ca="1">BS!J14-BS!I14</f>
        <v>0</v>
      </c>
      <c r="K18">
        <f ca="1">BS!K14-BS!J14</f>
        <v>0</v>
      </c>
      <c r="L18">
        <f ca="1">BS!L14-BS!K14</f>
        <v>0</v>
      </c>
      <c r="M18">
        <f ca="1">BS!M14-BS!L14</f>
        <v>0</v>
      </c>
      <c r="N18">
        <f ca="1">BS!N14-BS!M14</f>
        <v>0</v>
      </c>
      <c r="O18">
        <f ca="1">BS!O14-BS!N14</f>
        <v>0</v>
      </c>
      <c r="P18">
        <f ca="1">BS!P14-BS!O14</f>
        <v>0</v>
      </c>
    </row>
    <row r="19" spans="1:16" ht="15" customHeight="1" x14ac:dyDescent="0.45">
      <c r="A19"/>
      <c r="B19" s="16" t="s">
        <v>177</v>
      </c>
      <c r="D19">
        <f ca="1">BS!D18-BS!C18</f>
        <v>267.23173980489071</v>
      </c>
      <c r="E19">
        <f ca="1">BS!E18-BS!D18</f>
        <v>838.7537566704442</v>
      </c>
      <c r="F19">
        <f ca="1">BS!F18-BS!E18</f>
        <v>744.01450352466509</v>
      </c>
      <c r="G19">
        <f ca="1">BS!G18-BS!F18</f>
        <v>-89.243142496881319</v>
      </c>
      <c r="H19">
        <f ca="1">BS!H18-BS!G18</f>
        <v>-242.64302421622983</v>
      </c>
      <c r="I19">
        <f ca="1">BS!I18-BS!H18</f>
        <v>-409.54778413587792</v>
      </c>
      <c r="J19">
        <f ca="1">BS!J18-BS!I18</f>
        <v>-436.94775341598188</v>
      </c>
      <c r="K19">
        <f ca="1">BS!K18-BS!J18</f>
        <v>-451.39339950713583</v>
      </c>
      <c r="L19">
        <f ca="1">BS!L18-BS!K18</f>
        <v>-220.22489622789323</v>
      </c>
      <c r="M19">
        <f ca="1">BS!M18-BS!L18</f>
        <v>0</v>
      </c>
      <c r="N19">
        <f ca="1">BS!N18-BS!M18</f>
        <v>0</v>
      </c>
      <c r="O19">
        <f ca="1">BS!O18-BS!N18</f>
        <v>0</v>
      </c>
      <c r="P19">
        <f ca="1">BS!P18-BS!O18</f>
        <v>0</v>
      </c>
    </row>
    <row r="20" spans="1:16" ht="15" customHeight="1" x14ac:dyDescent="0.45">
      <c r="A20"/>
      <c r="B20" s="16" t="s">
        <v>159</v>
      </c>
      <c r="D20">
        <f ca="1">Calcs!D13</f>
        <v>139.27673629218265</v>
      </c>
      <c r="E20">
        <f ca="1">Calcs!E13</f>
        <v>437.14450187375922</v>
      </c>
      <c r="F20">
        <f ca="1">Calcs!F13</f>
        <v>387.76797950954904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 ca="1">Calcs!G14</f>
        <v>-78.768760147767466</v>
      </c>
      <c r="H21">
        <f ca="1">Calcs!H14</f>
        <v>0</v>
      </c>
      <c r="I21">
        <f ca="1">Calcs!I14</f>
        <v>-67.414543663327038</v>
      </c>
      <c r="J21">
        <f ca="1">Calcs!J14</f>
        <v>-145.38660906141934</v>
      </c>
      <c r="K21">
        <f ca="1">Calcs!K14</f>
        <v>-385.66994819786152</v>
      </c>
      <c r="L21">
        <f ca="1">Calcs!L14</f>
        <v>-606.85085379481563</v>
      </c>
      <c r="M21">
        <f ca="1">Calcs!M14</f>
        <v>-605.21021791499379</v>
      </c>
      <c r="N21">
        <f ca="1">Calcs!N14</f>
        <v>-327.87043383851051</v>
      </c>
      <c r="O21">
        <f ca="1">Calcs!O14</f>
        <v>-23.646066743226836</v>
      </c>
      <c r="P21">
        <f ca="1">Calcs!P14</f>
        <v>-6.3001008219178107</v>
      </c>
    </row>
    <row r="22" spans="1:16" ht="15" customHeight="1" x14ac:dyDescent="0.45">
      <c r="B22" s="16" t="s">
        <v>155</v>
      </c>
      <c r="D22">
        <f ca="1">SUM(D18:D21)</f>
        <v>406.50847609707336</v>
      </c>
      <c r="E22">
        <f t="shared" ref="E22:P22" ca="1" si="5">SUM(E18:E21)</f>
        <v>1275.8982585442034</v>
      </c>
      <c r="F22">
        <f t="shared" ca="1" si="5"/>
        <v>1131.7824830342142</v>
      </c>
      <c r="G22">
        <f t="shared" ca="1" si="5"/>
        <v>-168.01190264464879</v>
      </c>
      <c r="H22">
        <f t="shared" ca="1" si="5"/>
        <v>-242.64302421622983</v>
      </c>
      <c r="I22">
        <f t="shared" ca="1" si="5"/>
        <v>-476.96232779920496</v>
      </c>
      <c r="J22">
        <f t="shared" ca="1" si="5"/>
        <v>-582.33436247740121</v>
      </c>
      <c r="K22">
        <f t="shared" ca="1" si="5"/>
        <v>-837.06334770499734</v>
      </c>
      <c r="L22">
        <f t="shared" ca="1" si="5"/>
        <v>-827.07575002270892</v>
      </c>
      <c r="M22">
        <f t="shared" ca="1" si="5"/>
        <v>-605.21021791499379</v>
      </c>
      <c r="N22">
        <f t="shared" ca="1" si="5"/>
        <v>-327.87043383851051</v>
      </c>
      <c r="O22">
        <f t="shared" ca="1" si="5"/>
        <v>-23.646066743226836</v>
      </c>
      <c r="P22">
        <f t="shared" ca="1" si="5"/>
        <v>-6.3001008219178107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ca="1" si="6">D26</f>
        <v>0</v>
      </c>
      <c r="F24">
        <f t="shared" ca="1" si="6"/>
        <v>0</v>
      </c>
      <c r="G24">
        <f t="shared" ca="1" si="6"/>
        <v>338.28571428571433</v>
      </c>
      <c r="H24">
        <f t="shared" ca="1" si="6"/>
        <v>308.28043803202991</v>
      </c>
      <c r="I24">
        <f t="shared" ca="1" si="6"/>
        <v>401.0985694416388</v>
      </c>
      <c r="J24">
        <f t="shared" ca="1" si="6"/>
        <v>472.62144031370252</v>
      </c>
      <c r="K24">
        <f t="shared" ca="1" si="6"/>
        <v>469.30026334639405</v>
      </c>
      <c r="L24">
        <f t="shared" ca="1" si="6"/>
        <v>224.69939415245079</v>
      </c>
      <c r="M24">
        <f t="shared" ca="1" si="6"/>
        <v>6.9999999999652118E-2</v>
      </c>
      <c r="N24">
        <f t="shared" ca="1" si="6"/>
        <v>6.9999999999652118E-2</v>
      </c>
      <c r="O24">
        <f t="shared" ca="1" si="6"/>
        <v>6.9999999999652118E-2</v>
      </c>
      <c r="P24">
        <f t="shared" ca="1" si="6"/>
        <v>6.9999999999652118E-2</v>
      </c>
    </row>
    <row r="25" spans="1:16" ht="15" customHeight="1" x14ac:dyDescent="0.45">
      <c r="A25"/>
      <c r="B25" s="16" t="s">
        <v>157</v>
      </c>
      <c r="D25">
        <f ca="1">D12+D16+D22</f>
        <v>0</v>
      </c>
      <c r="E25">
        <f t="shared" ref="E25:P25" ca="1" si="7">E12+E16+E22</f>
        <v>0</v>
      </c>
      <c r="F25">
        <f t="shared" ca="1" si="7"/>
        <v>338.28571428571433</v>
      </c>
      <c r="G25">
        <f t="shared" ca="1" si="7"/>
        <v>-30.005276253684428</v>
      </c>
      <c r="H25">
        <f t="shared" ca="1" si="7"/>
        <v>92.818131409608895</v>
      </c>
      <c r="I25">
        <f t="shared" ca="1" si="7"/>
        <v>71.52287087206372</v>
      </c>
      <c r="J25">
        <f t="shared" ca="1" si="7"/>
        <v>-3.3211769673084746</v>
      </c>
      <c r="K25">
        <f t="shared" ca="1" si="7"/>
        <v>-244.60086919394325</v>
      </c>
      <c r="L25">
        <f t="shared" ca="1" si="7"/>
        <v>-224.62939415245114</v>
      </c>
      <c r="M25">
        <f t="shared" ca="1" si="7"/>
        <v>0</v>
      </c>
      <c r="N25">
        <f t="shared" ca="1" si="7"/>
        <v>0</v>
      </c>
      <c r="O25">
        <f t="shared" ca="1" si="7"/>
        <v>0</v>
      </c>
      <c r="P25">
        <f t="shared" ca="1" si="7"/>
        <v>0</v>
      </c>
    </row>
    <row r="26" spans="1:16" ht="15" customHeight="1" x14ac:dyDescent="0.45">
      <c r="A26"/>
      <c r="B26" s="16" t="s">
        <v>158</v>
      </c>
      <c r="C26" s="63">
        <v>0</v>
      </c>
      <c r="D26">
        <f ca="1">SUM(D24:D25)</f>
        <v>0</v>
      </c>
      <c r="E26">
        <f t="shared" ref="E26:P26" ca="1" si="8">SUM(E24:E25)</f>
        <v>0</v>
      </c>
      <c r="F26">
        <f t="shared" ca="1" si="8"/>
        <v>338.28571428571433</v>
      </c>
      <c r="G26">
        <f t="shared" ca="1" si="8"/>
        <v>308.28043803202991</v>
      </c>
      <c r="H26">
        <f t="shared" ca="1" si="8"/>
        <v>401.0985694416388</v>
      </c>
      <c r="I26">
        <f t="shared" ca="1" si="8"/>
        <v>472.62144031370252</v>
      </c>
      <c r="J26">
        <f t="shared" ca="1" si="8"/>
        <v>469.30026334639405</v>
      </c>
      <c r="K26">
        <f t="shared" ca="1" si="8"/>
        <v>224.69939415245079</v>
      </c>
      <c r="L26">
        <f t="shared" ca="1" si="8"/>
        <v>6.9999999999652118E-2</v>
      </c>
      <c r="M26">
        <f t="shared" ca="1" si="8"/>
        <v>6.9999999999652118E-2</v>
      </c>
      <c r="N26">
        <f t="shared" ca="1" si="8"/>
        <v>6.9999999999652118E-2</v>
      </c>
      <c r="O26">
        <f t="shared" ca="1" si="8"/>
        <v>6.9999999999652118E-2</v>
      </c>
      <c r="P26">
        <f t="shared" ca="1" si="8"/>
        <v>6.9999999999652118E-2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5" t="s">
        <v>0</v>
      </c>
      <c r="C4" s="85"/>
      <c r="D4" s="85"/>
      <c r="E4" s="85"/>
      <c r="F4" s="85"/>
      <c r="G4" s="85"/>
      <c r="H4" s="85"/>
      <c r="I4" s="85"/>
      <c r="K4" s="1"/>
      <c r="L4" s="85" t="s">
        <v>2</v>
      </c>
      <c r="M4" s="85"/>
      <c r="N4" s="85"/>
      <c r="O4" s="85"/>
      <c r="P4" s="85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2" t="s">
        <v>167</v>
      </c>
      <c r="O5" s="82"/>
      <c r="P5" s="82"/>
      <c r="Q5" s="82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3">
        <v>44196</v>
      </c>
      <c r="O6" s="83"/>
      <c r="P6" s="83"/>
      <c r="Q6" s="83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2" t="s">
        <v>26</v>
      </c>
      <c r="O7" s="82"/>
      <c r="P7" s="82"/>
      <c r="Q7" s="82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2" t="s">
        <v>9</v>
      </c>
      <c r="O8" s="82"/>
      <c r="P8" s="82"/>
      <c r="Q8" s="82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2" t="s">
        <v>10</v>
      </c>
      <c r="O9" s="82"/>
      <c r="P9" s="82"/>
      <c r="Q9" s="82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4">
        <v>1</v>
      </c>
      <c r="O10" s="84"/>
      <c r="P10" s="84"/>
      <c r="Q10" s="84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6" t="s">
        <v>17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N13" s="1"/>
      <c r="O13" s="85" t="s">
        <v>12</v>
      </c>
      <c r="P13" s="85"/>
      <c r="Q13" s="85"/>
      <c r="R13" s="58"/>
    </row>
    <row r="14" spans="1:18" s="2" customFormat="1" ht="15" customHeight="1" x14ac:dyDescent="0.45">
      <c r="A14" s="56"/>
      <c r="B14" s="81" t="s">
        <v>23</v>
      </c>
      <c r="C14" s="81"/>
      <c r="D14" s="81" t="s">
        <v>21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1" t="s">
        <v>22</v>
      </c>
      <c r="C15" s="81"/>
      <c r="D15" s="81" t="s">
        <v>21</v>
      </c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tabSelected="1" zoomScaleNormal="100" workbookViewId="0">
      <pane xSplit="2" ySplit="2" topLeftCell="C2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23" sqref="D2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196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190</v>
      </c>
      <c r="D8">
        <f ca="1">IF(switch=1,'S&amp;U'!D53,0)</f>
        <v>23.508476097073359</v>
      </c>
      <c r="E8">
        <f ca="1">IF(switch=1,'S&amp;U'!E53,0)</f>
        <v>40.098258544203389</v>
      </c>
      <c r="F8">
        <f ca="1">IF(switch=1,'S&amp;U'!F53,0)</f>
        <v>63.83978244713002</v>
      </c>
      <c r="G8" t="e">
        <f ca="1">[1]!FR(F8)</f>
        <v>#NAME?</v>
      </c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198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 ca="1">SUM(D11:F11)</f>
        <v>2814.1892176754909</v>
      </c>
      <c r="D11" s="68">
        <f ca="1">SUM(D6:D10)</f>
        <v>406.50847609707336</v>
      </c>
      <c r="E11" s="68">
        <f t="shared" ref="E11:F11" ca="1" si="1">SUM(E6:E10)</f>
        <v>1275.8982585442034</v>
      </c>
      <c r="F11" s="68">
        <f t="shared" ca="1" si="1"/>
        <v>1131.7824830342142</v>
      </c>
    </row>
    <row r="12" spans="1:16" ht="15" customHeight="1" x14ac:dyDescent="0.45">
      <c r="A12" s="60"/>
      <c r="B12" s="16" t="s">
        <v>87</v>
      </c>
      <c r="D12" s="61">
        <f ca="1">D11/$C$11</f>
        <v>0.14444958908372471</v>
      </c>
      <c r="E12" s="61">
        <f ca="1">E11/$C$11</f>
        <v>0.45338040901105087</v>
      </c>
      <c r="F12" s="61">
        <f ca="1">F11/$C$11</f>
        <v>0.40217000190522445</v>
      </c>
      <c r="G12" s="66" t="s">
        <v>96</v>
      </c>
      <c r="H12" s="66"/>
      <c r="I12" s="66" t="s">
        <v>98</v>
      </c>
      <c r="J12" s="66" t="s">
        <v>193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194</v>
      </c>
      <c r="K13" s="66"/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175</v>
      </c>
      <c r="C15" s="63">
        <v>1850</v>
      </c>
      <c r="D15">
        <f t="shared" ref="D15:F16" ca="1" si="2">$C15*D$12</f>
        <v>267.23173980489071</v>
      </c>
      <c r="E15">
        <f t="shared" ca="1" si="2"/>
        <v>838.75375667044409</v>
      </c>
      <c r="F15">
        <f t="shared" ca="1" si="2"/>
        <v>744.0145035246652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171</v>
      </c>
      <c r="C16">
        <f ca="1">C11-SUM(C15:C15)</f>
        <v>964.18921767549091</v>
      </c>
      <c r="D16">
        <f t="shared" ca="1" si="2"/>
        <v>139.27673629218265</v>
      </c>
      <c r="E16">
        <f t="shared" ca="1" si="2"/>
        <v>437.14450187375922</v>
      </c>
      <c r="F16">
        <f t="shared" ca="1" si="2"/>
        <v>387.76797950954904</v>
      </c>
    </row>
    <row r="17" spans="1:17" ht="15" customHeight="1" x14ac:dyDescent="0.45">
      <c r="B17" s="67" t="s">
        <v>84</v>
      </c>
      <c r="C17" s="68">
        <f ca="1">SUM(C15:C16)</f>
        <v>2814.1892176754909</v>
      </c>
      <c r="D17" s="68">
        <f ca="1">SUM(D14:D16)</f>
        <v>406.50847609707336</v>
      </c>
      <c r="E17" s="68">
        <f ca="1">SUM(E14:E16)</f>
        <v>1275.8982585442034</v>
      </c>
      <c r="F17" s="68">
        <f ca="1">SUM(F14:F16)</f>
        <v>1131.7824830342142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>
        <f ca="1">F16/F17</f>
        <v>0.34261705347300969</v>
      </c>
      <c r="E19" s="61"/>
    </row>
    <row r="20" spans="1:17" ht="15" customHeight="1" x14ac:dyDescent="0.45">
      <c r="B20" s="16" t="s">
        <v>166</v>
      </c>
      <c r="C20" s="61"/>
      <c r="D20" s="61">
        <f ca="1">Finance!C61</f>
        <v>0.13602228022811436</v>
      </c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180</v>
      </c>
      <c r="D22" s="71">
        <v>1.3</v>
      </c>
    </row>
    <row r="23" spans="1:17" ht="15" customHeight="1" x14ac:dyDescent="0.45">
      <c r="B23" s="16" t="s">
        <v>199</v>
      </c>
      <c r="D23" s="72">
        <f ca="1">Finance!F67</f>
        <v>1.4157115493215555</v>
      </c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  <c r="D53">
        <f ca="1">-(Finance!D30+Finance!D48)</f>
        <v>23.508476097073359</v>
      </c>
      <c r="E53">
        <f ca="1">-(Finance!E30+Finance!E48)</f>
        <v>40.098258544203389</v>
      </c>
      <c r="F53">
        <f ca="1">-(Finance!F30+Finance!F48)</f>
        <v>63.83978244713002</v>
      </c>
      <c r="G53" t="e">
        <f ca="1">[1]!FR(F53)</f>
        <v>#NAME?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 ca="1">SUM(D50:D54)</f>
        <v>226.50847609707336</v>
      </c>
      <c r="E55">
        <f ca="1">SUM(E50:E54)</f>
        <v>43.129730501762289</v>
      </c>
      <c r="F55">
        <f ca="1">SUM(F50:F54)</f>
        <v>66.905142722142458</v>
      </c>
    </row>
    <row r="56" spans="1:16" ht="15" customHeight="1" x14ac:dyDescent="0.45">
      <c r="B56" s="16" t="s">
        <v>195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6"/>
  <sheetViews>
    <sheetView zoomScaleNormal="100" zoomScaleSheetLayoutView="150" workbookViewId="0">
      <pane xSplit="2" ySplit="2" topLeftCell="F56" activePane="bottomRight" state="frozen"/>
      <selection activeCell="D19" sqref="D19"/>
      <selection pane="topRight" activeCell="D19" sqref="D19"/>
      <selection pane="bottomLeft" activeCell="D19" sqref="D19"/>
      <selection pane="bottomRight" activeCell="D19" sqref="D1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183</v>
      </c>
      <c r="G7">
        <f ca="1">IS!G19-IS!G17-IS!G11</f>
        <v>235.40300000000008</v>
      </c>
      <c r="H7">
        <f ca="1">IS!H19-IS!H17-IS!H11</f>
        <v>442.52238000000011</v>
      </c>
      <c r="I7">
        <f ca="1">IS!I19-IS!I17-IS!I11</f>
        <v>666.28357000000005</v>
      </c>
      <c r="J7">
        <f ca="1">IS!J19-IS!J17-IS!J11</f>
        <v>665.28357000000005</v>
      </c>
      <c r="K7">
        <f ca="1">IS!K19-IS!K17-IS!K11</f>
        <v>664.28357000000005</v>
      </c>
      <c r="L7">
        <f ca="1">IS!L19-IS!L17-IS!L11</f>
        <v>663.28357000000005</v>
      </c>
      <c r="M7">
        <f ca="1">IS!M19-IS!M17-IS!M11</f>
        <v>662.28357000000005</v>
      </c>
      <c r="N7">
        <f ca="1">IS!N19-IS!N17-IS!N11</f>
        <v>341.0179040000001</v>
      </c>
      <c r="O7">
        <f ca="1">IS!O19-IS!O17-IS!O11</f>
        <v>65.504476000000039</v>
      </c>
      <c r="P7">
        <f ca="1">IS!P19-IS!P17-IS!P11</f>
        <v>0</v>
      </c>
    </row>
    <row r="8" spans="1:16" ht="15" customHeight="1" x14ac:dyDescent="0.45">
      <c r="B8" s="16" t="str">
        <f>IS!B26</f>
        <v>Tax expense</v>
      </c>
      <c r="G8">
        <f ca="1">IS!G26</f>
        <v>-6.7787707055486468</v>
      </c>
      <c r="H8">
        <f ca="1">IS!H26</f>
        <v>-24.342758503566678</v>
      </c>
      <c r="I8">
        <f ca="1">IS!I26</f>
        <v>-46.514521625178787</v>
      </c>
      <c r="J8">
        <f ca="1">IS!J26</f>
        <v>-49.666697592186551</v>
      </c>
      <c r="K8">
        <f ca="1">IS!K26</f>
        <v>-52.984227649687412</v>
      </c>
      <c r="L8">
        <f ca="1">IS!L26</f>
        <v>-55.432716205184398</v>
      </c>
      <c r="M8">
        <f ca="1">IS!M26</f>
        <v>-56.073352085006263</v>
      </c>
      <c r="N8">
        <f ca="1">IS!N26</f>
        <v>-26.997823038201929</v>
      </c>
      <c r="O8">
        <f ca="1">IS!O26</f>
        <v>-2.1587117225266348</v>
      </c>
      <c r="P8">
        <f ca="1">IS!P26</f>
        <v>0.2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189</v>
      </c>
      <c r="G13">
        <f t="shared" ref="G13:P13" ca="1" si="3">SUM(G7:G12)</f>
        <v>211.22176354102675</v>
      </c>
      <c r="H13">
        <f t="shared" ca="1" si="3"/>
        <v>402.03856944163891</v>
      </c>
      <c r="I13">
        <f t="shared" ca="1" si="3"/>
        <v>602.01879632002681</v>
      </c>
      <c r="J13">
        <f t="shared" ca="1" si="3"/>
        <v>615.6168724078135</v>
      </c>
      <c r="K13">
        <f t="shared" ca="1" si="3"/>
        <v>611.2993423503126</v>
      </c>
      <c r="L13">
        <f t="shared" ca="1" si="3"/>
        <v>607.85085379481563</v>
      </c>
      <c r="M13">
        <f t="shared" ca="1" si="3"/>
        <v>606.21021791499379</v>
      </c>
      <c r="N13">
        <f t="shared" ca="1" si="3"/>
        <v>328.87043383851051</v>
      </c>
      <c r="O13">
        <f t="shared" ca="1" si="3"/>
        <v>24.646066743226836</v>
      </c>
      <c r="P13">
        <f t="shared" ca="1" si="3"/>
        <v>7.3001008219178107</v>
      </c>
    </row>
    <row r="14" spans="1:16" ht="15" customHeight="1" x14ac:dyDescent="0.45">
      <c r="B14" s="16" t="s">
        <v>180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181</v>
      </c>
      <c r="G15">
        <f t="shared" ref="G15:O15" ca="1" si="4">G13/G14</f>
        <v>162.47827964694363</v>
      </c>
      <c r="H15">
        <f t="shared" ca="1" si="4"/>
        <v>309.26043803202992</v>
      </c>
      <c r="I15">
        <f t="shared" ca="1" si="4"/>
        <v>463.09138178463598</v>
      </c>
      <c r="J15">
        <f t="shared" ca="1" si="4"/>
        <v>473.5514403137027</v>
      </c>
      <c r="K15">
        <f t="shared" ca="1" si="4"/>
        <v>470.23026334639428</v>
      </c>
      <c r="L15">
        <f t="shared" ca="1" si="4"/>
        <v>467.57757984216585</v>
      </c>
      <c r="M15">
        <f t="shared" ca="1" si="4"/>
        <v>466.31555224230289</v>
      </c>
      <c r="N15">
        <f t="shared" ca="1" si="4"/>
        <v>252.97725679885423</v>
      </c>
      <c r="O15">
        <f t="shared" ca="1" si="4"/>
        <v>18.958512879405259</v>
      </c>
      <c r="P15">
        <f t="shared" ref="P15" ca="1" si="5">P13/P14</f>
        <v>5.6154621707060084</v>
      </c>
    </row>
    <row r="16" spans="1:16" ht="15" customHeight="1" x14ac:dyDescent="0.45">
      <c r="B16" s="16" t="s">
        <v>92</v>
      </c>
      <c r="G16">
        <f t="shared" ref="G16:P16" ca="1" si="6">IF(switch=1,G30+G48,0)</f>
        <v>-73.215137150062375</v>
      </c>
      <c r="H16">
        <f t="shared" ca="1" si="6"/>
        <v>-66.577413815800156</v>
      </c>
      <c r="I16">
        <f t="shared" ca="1" si="6"/>
        <v>-53.533597648757997</v>
      </c>
      <c r="J16">
        <f t="shared" ca="1" si="6"/>
        <v>-36.603686897720799</v>
      </c>
      <c r="K16">
        <f t="shared" ca="1" si="6"/>
        <v>-18.836863839258445</v>
      </c>
      <c r="L16">
        <f t="shared" ca="1" si="6"/>
        <v>-5.404497924557865</v>
      </c>
      <c r="M16">
        <f t="shared" ca="1" si="6"/>
        <v>-1</v>
      </c>
      <c r="N16">
        <f t="shared" ca="1" si="6"/>
        <v>-1</v>
      </c>
      <c r="O16">
        <f t="shared" ca="1" si="6"/>
        <v>-1</v>
      </c>
      <c r="P16">
        <f t="shared" ca="1" si="6"/>
        <v>-1</v>
      </c>
    </row>
    <row r="17" spans="1:16" ht="15" customHeight="1" x14ac:dyDescent="0.45">
      <c r="B17" s="16" t="s">
        <v>185</v>
      </c>
      <c r="G17">
        <f t="shared" ref="G17:O17" ca="1" si="7">G15+G16</f>
        <v>89.263142496881258</v>
      </c>
      <c r="H17">
        <f t="shared" ca="1" si="7"/>
        <v>242.68302421622977</v>
      </c>
      <c r="I17">
        <f t="shared" ca="1" si="7"/>
        <v>409.55778413587797</v>
      </c>
      <c r="J17">
        <f t="shared" ca="1" si="7"/>
        <v>436.94775341598188</v>
      </c>
      <c r="K17">
        <f t="shared" ca="1" si="7"/>
        <v>451.39339950713583</v>
      </c>
      <c r="L17">
        <f t="shared" ca="1" si="7"/>
        <v>462.17308191760799</v>
      </c>
      <c r="M17">
        <f t="shared" ca="1" si="7"/>
        <v>465.31555224230289</v>
      </c>
      <c r="N17">
        <f t="shared" ca="1" si="7"/>
        <v>251.97725679885423</v>
      </c>
      <c r="O17">
        <f t="shared" ca="1" si="7"/>
        <v>17.958512879405259</v>
      </c>
      <c r="P17">
        <f t="shared" ref="P17" ca="1" si="8">P15+P16</f>
        <v>4.6154621707060084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9">C25</f>
        <v>0</v>
      </c>
      <c r="E23">
        <f t="shared" si="9"/>
        <v>0</v>
      </c>
      <c r="F23">
        <f t="shared" si="9"/>
        <v>0</v>
      </c>
      <c r="G23">
        <f t="shared" si="9"/>
        <v>0</v>
      </c>
      <c r="H23">
        <f t="shared" ca="1" si="9"/>
        <v>0</v>
      </c>
      <c r="I23">
        <f t="shared" ca="1" si="9"/>
        <v>0</v>
      </c>
      <c r="J23">
        <f t="shared" ca="1" si="9"/>
        <v>0</v>
      </c>
      <c r="K23">
        <f t="shared" ca="1" si="9"/>
        <v>0</v>
      </c>
      <c r="L23">
        <f t="shared" ca="1" si="9"/>
        <v>0</v>
      </c>
      <c r="M23">
        <f t="shared" ca="1" si="9"/>
        <v>0</v>
      </c>
      <c r="N23">
        <f t="shared" ca="1" si="9"/>
        <v>0</v>
      </c>
      <c r="O23">
        <f t="shared" ca="1" si="9"/>
        <v>0</v>
      </c>
      <c r="P23">
        <f t="shared" ca="1" si="9"/>
        <v>0</v>
      </c>
    </row>
    <row r="24" spans="1:16" ht="15" customHeight="1" x14ac:dyDescent="0.45">
      <c r="B24" s="16" t="s">
        <v>133</v>
      </c>
      <c r="G24">
        <f t="shared" ref="G24:P24" ca="1" si="10">-MIN(G15,G23)</f>
        <v>0</v>
      </c>
      <c r="H24">
        <f t="shared" ca="1" si="10"/>
        <v>0</v>
      </c>
      <c r="I24">
        <f t="shared" ca="1" si="10"/>
        <v>0</v>
      </c>
      <c r="J24">
        <f t="shared" ca="1" si="10"/>
        <v>0</v>
      </c>
      <c r="K24">
        <f t="shared" ca="1" si="10"/>
        <v>0</v>
      </c>
      <c r="L24">
        <f t="shared" ca="1" si="10"/>
        <v>0</v>
      </c>
      <c r="M24">
        <f t="shared" ca="1" si="10"/>
        <v>0</v>
      </c>
      <c r="N24">
        <f t="shared" ca="1" si="10"/>
        <v>0</v>
      </c>
      <c r="O24">
        <f t="shared" ca="1" si="10"/>
        <v>0</v>
      </c>
      <c r="P24">
        <f t="shared" ca="1" si="10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1">SUM(D23:D24)</f>
        <v>0</v>
      </c>
      <c r="E25">
        <f t="shared" si="11"/>
        <v>0</v>
      </c>
      <c r="F25">
        <f t="shared" si="11"/>
        <v>0</v>
      </c>
      <c r="G25">
        <f t="shared" ca="1" si="11"/>
        <v>0</v>
      </c>
      <c r="H25">
        <f t="shared" ca="1" si="11"/>
        <v>0</v>
      </c>
      <c r="I25">
        <f t="shared" ca="1" si="11"/>
        <v>0</v>
      </c>
      <c r="J25">
        <f t="shared" ca="1" si="11"/>
        <v>0</v>
      </c>
      <c r="K25">
        <f t="shared" ca="1" si="11"/>
        <v>0</v>
      </c>
      <c r="L25">
        <f t="shared" ca="1" si="11"/>
        <v>0</v>
      </c>
      <c r="M25">
        <f t="shared" ca="1" si="11"/>
        <v>0</v>
      </c>
      <c r="N25">
        <f t="shared" ca="1" si="11"/>
        <v>0</v>
      </c>
      <c r="O25">
        <f t="shared" ca="1" si="11"/>
        <v>0</v>
      </c>
      <c r="P25">
        <f t="shared" ca="1" si="11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 ca="1">-'S&amp;U'!$H$14*AVERAGE(Finance!F25:G25)</f>
        <v>0</v>
      </c>
      <c r="H26">
        <f ca="1">-'S&amp;U'!$H$14*AVERAGE(Finance!G25:H25)</f>
        <v>0</v>
      </c>
      <c r="I26">
        <f ca="1">-'S&amp;U'!$H$14*AVERAGE(Finance!H25:I25)</f>
        <v>0</v>
      </c>
      <c r="J26">
        <f ca="1">-'S&amp;U'!$H$14*AVERAGE(Finance!I25:J25)</f>
        <v>0</v>
      </c>
      <c r="K26">
        <f ca="1">-'S&amp;U'!$H$14*AVERAGE(Finance!J25:K25)</f>
        <v>0</v>
      </c>
      <c r="L26">
        <f ca="1">-'S&amp;U'!$H$14*AVERAGE(Finance!K25:L25)</f>
        <v>0</v>
      </c>
      <c r="M26">
        <f ca="1">-'S&amp;U'!$H$14*AVERAGE(Finance!L25:M25)</f>
        <v>0</v>
      </c>
      <c r="N26">
        <f ca="1">-'S&amp;U'!$H$14*AVERAGE(Finance!M25:N25)</f>
        <v>0</v>
      </c>
      <c r="O26">
        <f ca="1">-'S&amp;U'!$H$14*AVERAGE(Finance!N25:O25)</f>
        <v>0</v>
      </c>
      <c r="P26">
        <f ca="1"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 ca="1">'S&amp;U'!$C$14-Finance!G25</f>
        <v>100</v>
      </c>
      <c r="H28">
        <f ca="1">'S&amp;U'!$C$14-Finance!H25</f>
        <v>100</v>
      </c>
      <c r="I28">
        <f ca="1">'S&amp;U'!$C$14-Finance!I25</f>
        <v>100</v>
      </c>
      <c r="J28">
        <f ca="1">'S&amp;U'!$C$14-Finance!J25</f>
        <v>100</v>
      </c>
      <c r="K28">
        <f ca="1">'S&amp;U'!$C$14-Finance!K25</f>
        <v>100</v>
      </c>
      <c r="L28">
        <f ca="1">'S&amp;U'!$C$14-Finance!L25</f>
        <v>100</v>
      </c>
      <c r="M28">
        <f ca="1">'S&amp;U'!$C$14-Finance!M25</f>
        <v>100</v>
      </c>
      <c r="N28">
        <f ca="1">'S&amp;U'!$C$14-Finance!N25</f>
        <v>100</v>
      </c>
      <c r="O28">
        <f ca="1">'S&amp;U'!$C$14-Finance!O25</f>
        <v>100</v>
      </c>
      <c r="P28">
        <f ca="1"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 ca="1">'S&amp;U'!$I$14*-AVERAGE(Finance!F28:G28)</f>
        <v>-1</v>
      </c>
      <c r="H29">
        <f ca="1">'S&amp;U'!$I$14*-AVERAGE(Finance!G28:H28)</f>
        <v>-1</v>
      </c>
      <c r="I29">
        <f ca="1">'S&amp;U'!$I$14*-AVERAGE(Finance!H28:I28)</f>
        <v>-1</v>
      </c>
      <c r="J29">
        <f ca="1">'S&amp;U'!$I$14*-AVERAGE(Finance!I28:J28)</f>
        <v>-1</v>
      </c>
      <c r="K29">
        <f ca="1">'S&amp;U'!$I$14*-AVERAGE(Finance!J28:K28)</f>
        <v>-1</v>
      </c>
      <c r="L29">
        <f ca="1">'S&amp;U'!$I$14*-AVERAGE(Finance!K28:L28)</f>
        <v>-1</v>
      </c>
      <c r="M29">
        <f ca="1">'S&amp;U'!$I$14*-AVERAGE(Finance!L28:M28)</f>
        <v>-1</v>
      </c>
      <c r="N29">
        <f ca="1">'S&amp;U'!$I$14*-AVERAGE(Finance!M28:N28)</f>
        <v>-1</v>
      </c>
      <c r="O29">
        <f ca="1">'S&amp;U'!$I$14*-AVERAGE(Finance!N28:O28)</f>
        <v>-1</v>
      </c>
      <c r="P29">
        <f ca="1">'S&amp;U'!$I$14*-AVERAGE(Finance!O28:P28)</f>
        <v>-1</v>
      </c>
    </row>
    <row r="30" spans="1:16" ht="15" customHeight="1" x14ac:dyDescent="0.45">
      <c r="B30" s="16" t="s">
        <v>174</v>
      </c>
      <c r="D30">
        <f t="shared" ref="D30:P30" si="12">IF(D4&gt;$C$35,D26+D29,0)</f>
        <v>-1</v>
      </c>
      <c r="E30">
        <f t="shared" si="12"/>
        <v>-1</v>
      </c>
      <c r="F30">
        <f t="shared" si="12"/>
        <v>-1</v>
      </c>
      <c r="G30">
        <f t="shared" ca="1" si="12"/>
        <v>-1</v>
      </c>
      <c r="H30">
        <f t="shared" ca="1" si="12"/>
        <v>-1</v>
      </c>
      <c r="I30">
        <f t="shared" ca="1" si="12"/>
        <v>-1</v>
      </c>
      <c r="J30">
        <f t="shared" ca="1" si="12"/>
        <v>-1</v>
      </c>
      <c r="K30">
        <f t="shared" ca="1" si="12"/>
        <v>-1</v>
      </c>
      <c r="L30">
        <f t="shared" ca="1" si="12"/>
        <v>-1</v>
      </c>
      <c r="M30">
        <f t="shared" ca="1" si="12"/>
        <v>-1</v>
      </c>
      <c r="N30">
        <f t="shared" ca="1" si="12"/>
        <v>-1</v>
      </c>
      <c r="O30">
        <f t="shared" ca="1" si="12"/>
        <v>-1</v>
      </c>
      <c r="P30">
        <f t="shared" ca="1" si="12"/>
        <v>-1</v>
      </c>
    </row>
    <row r="32" spans="1:16" ht="15" customHeight="1" x14ac:dyDescent="0.45">
      <c r="B32" s="16" t="s">
        <v>178</v>
      </c>
      <c r="G32">
        <f ca="1">G17+G24</f>
        <v>89.263142496881258</v>
      </c>
      <c r="H32">
        <f t="shared" ref="H32:P32" ca="1" si="13">H17+H24</f>
        <v>242.68302421622977</v>
      </c>
      <c r="I32">
        <f t="shared" ca="1" si="13"/>
        <v>409.55778413587797</v>
      </c>
      <c r="J32">
        <f t="shared" ca="1" si="13"/>
        <v>436.94775341598188</v>
      </c>
      <c r="K32">
        <f t="shared" ca="1" si="13"/>
        <v>451.39339950713583</v>
      </c>
      <c r="L32">
        <f t="shared" ca="1" si="13"/>
        <v>462.17308191760799</v>
      </c>
      <c r="M32">
        <f t="shared" ca="1" si="13"/>
        <v>465.31555224230289</v>
      </c>
      <c r="N32">
        <f t="shared" ca="1" si="13"/>
        <v>251.97725679885423</v>
      </c>
      <c r="O32">
        <f t="shared" ca="1" si="13"/>
        <v>17.958512879405259</v>
      </c>
      <c r="P32">
        <f t="shared" ca="1" si="13"/>
        <v>4.6154621707060084</v>
      </c>
    </row>
    <row r="34" spans="1:16" ht="15" customHeight="1" x14ac:dyDescent="0.45">
      <c r="A34" s="15" t="s">
        <v>175</v>
      </c>
    </row>
    <row r="35" spans="1:16" ht="15" customHeight="1" x14ac:dyDescent="0.45">
      <c r="B35" s="16" t="s">
        <v>192</v>
      </c>
      <c r="C35" s="69">
        <f>'S&amp;U'!J15</f>
        <v>0</v>
      </c>
      <c r="D35" t="e">
        <f ca="1">[1]!FR(C35)</f>
        <v>#NAME?</v>
      </c>
    </row>
    <row r="36" spans="1:16" ht="15" customHeight="1" x14ac:dyDescent="0.45">
      <c r="B36" s="16" t="s">
        <v>88</v>
      </c>
      <c r="C36" s="61">
        <f>'S&amp;U'!H15</f>
        <v>0.04</v>
      </c>
      <c r="D36" t="e">
        <f ca="1">[1]!FR(C36)</f>
        <v>#NAME?</v>
      </c>
    </row>
    <row r="37" spans="1:16" ht="15" customHeight="1" x14ac:dyDescent="0.45">
      <c r="B37" s="16" t="s">
        <v>89</v>
      </c>
      <c r="C37" s="61">
        <f>'S&amp;U'!I15</f>
        <v>0.01</v>
      </c>
      <c r="D37" t="e">
        <f ca="1">[1]!FR(C37)</f>
        <v>#NAME?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ca="1" si="14">D43</f>
        <v>267.23173980489071</v>
      </c>
      <c r="F39">
        <f t="shared" ca="1" si="14"/>
        <v>1105.9854964753349</v>
      </c>
      <c r="G39">
        <f t="shared" ca="1" si="14"/>
        <v>1850</v>
      </c>
      <c r="H39">
        <f t="shared" ref="H39:P39" ca="1" si="15">G43</f>
        <v>1760.7568575031187</v>
      </c>
      <c r="I39">
        <f t="shared" ca="1" si="15"/>
        <v>1518.1138332868888</v>
      </c>
      <c r="J39">
        <f t="shared" ca="1" si="15"/>
        <v>1108.5660491510109</v>
      </c>
      <c r="K39">
        <f t="shared" ca="1" si="15"/>
        <v>671.61829573502905</v>
      </c>
      <c r="L39">
        <f t="shared" ca="1" si="15"/>
        <v>220.22489622789323</v>
      </c>
      <c r="M39">
        <f t="shared" ca="1" si="15"/>
        <v>0</v>
      </c>
      <c r="N39">
        <f t="shared" ca="1" si="15"/>
        <v>0</v>
      </c>
      <c r="O39">
        <f t="shared" ca="1" si="15"/>
        <v>0</v>
      </c>
      <c r="P39">
        <f t="shared" ca="1" si="15"/>
        <v>0</v>
      </c>
    </row>
    <row r="40" spans="1:16" ht="15" customHeight="1" x14ac:dyDescent="0.45">
      <c r="B40" s="16" t="s">
        <v>90</v>
      </c>
      <c r="D40">
        <f ca="1">'S&amp;U'!D15</f>
        <v>267.23173980489071</v>
      </c>
      <c r="E40">
        <f ca="1">'S&amp;U'!E15</f>
        <v>838.75375667044409</v>
      </c>
      <c r="F40">
        <f ca="1">'S&amp;U'!F15</f>
        <v>744.0145035246652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 ca="1">-MIN(G39,G32)</f>
        <v>-89.263142496881258</v>
      </c>
      <c r="H41">
        <f t="shared" ref="H41:P41" ca="1" si="16">-MIN(H39,H32)</f>
        <v>-242.68302421622977</v>
      </c>
      <c r="I41">
        <f t="shared" ca="1" si="16"/>
        <v>-409.55778413587797</v>
      </c>
      <c r="J41">
        <f t="shared" ca="1" si="16"/>
        <v>-436.94775341598188</v>
      </c>
      <c r="K41">
        <f t="shared" ca="1" si="16"/>
        <v>-451.39339950713583</v>
      </c>
      <c r="L41">
        <f t="shared" ca="1" si="16"/>
        <v>-220.22489622789323</v>
      </c>
      <c r="M41">
        <f t="shared" ca="1" si="16"/>
        <v>0</v>
      </c>
      <c r="N41">
        <f t="shared" ca="1" si="16"/>
        <v>0</v>
      </c>
      <c r="O41">
        <f t="shared" ca="1" si="16"/>
        <v>0</v>
      </c>
      <c r="P41">
        <f t="shared" ca="1" si="16"/>
        <v>0</v>
      </c>
    </row>
    <row r="42" spans="1:16" ht="15" customHeight="1" x14ac:dyDescent="0.45">
      <c r="B42" s="16" t="s">
        <v>191</v>
      </c>
      <c r="D42" s="74">
        <f>IF(AND(D4&lt;=$C$35,switch=1),-Finance!D44-Finance!D47,0)</f>
        <v>0</v>
      </c>
      <c r="E42" s="74">
        <f>IF(AND(E4&lt;=$C$35,switch=1),-Finance!E44-Finance!E47,0)</f>
        <v>0</v>
      </c>
      <c r="F42" s="74">
        <f>IF(AND(F4&lt;=$C$35,switch=1),-Finance!F44-Finance!F47,0)</f>
        <v>0</v>
      </c>
      <c r="G42" s="74">
        <f>IF(AND(G4&lt;=$C$35,switch=1),-Finance!G44-Finance!G47,0)</f>
        <v>0</v>
      </c>
      <c r="H42" s="74">
        <f>IF(AND(H4&lt;=$C$35,switch=1),-Finance!H44-Finance!H47,0)</f>
        <v>0</v>
      </c>
      <c r="I42" s="74">
        <f>IF(AND(I4&lt;=$C$35,switch=1),-Finance!I44-Finance!I47,0)</f>
        <v>0</v>
      </c>
      <c r="J42" s="74">
        <f>IF(AND(J4&lt;=$C$35,switch=1),-Finance!J44-Finance!J47,0)</f>
        <v>0</v>
      </c>
      <c r="K42" s="74">
        <f>IF(AND(K4&lt;=$C$35,switch=1),-Finance!K44-Finance!K47,0)</f>
        <v>0</v>
      </c>
      <c r="L42" s="74">
        <f>IF(AND(L4&lt;=$C$35,switch=1),-Finance!L44-Finance!L47,0)</f>
        <v>0</v>
      </c>
      <c r="M42" s="74">
        <f>IF(AND(M4&lt;=$C$35,switch=1),-Finance!M44-Finance!M47,0)</f>
        <v>0</v>
      </c>
      <c r="N42" s="74">
        <f>IF(AND(N4&lt;=$C$35,switch=1),-Finance!N44-Finance!N47,0)</f>
        <v>0</v>
      </c>
      <c r="O42" s="74">
        <f>IF(AND(O4&lt;=$C$35,switch=1),-Finance!O44-Finance!O47,0)</f>
        <v>0</v>
      </c>
      <c r="P42" s="74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 ca="1">SUM(D39:D42)</f>
        <v>267.23173980489071</v>
      </c>
      <c r="E43">
        <f t="shared" ref="E43:G43" ca="1" si="17">SUM(E39:E42)</f>
        <v>1105.9854964753349</v>
      </c>
      <c r="F43">
        <f t="shared" ca="1" si="17"/>
        <v>1850</v>
      </c>
      <c r="G43">
        <f t="shared" ca="1" si="17"/>
        <v>1760.7568575031187</v>
      </c>
      <c r="H43">
        <f t="shared" ref="H43" ca="1" si="18">SUM(H39:H42)</f>
        <v>1518.1138332868888</v>
      </c>
      <c r="I43">
        <f t="shared" ref="I43" ca="1" si="19">SUM(I39:I42)</f>
        <v>1108.5660491510109</v>
      </c>
      <c r="J43">
        <f t="shared" ref="J43" ca="1" si="20">SUM(J39:J42)</f>
        <v>671.61829573502905</v>
      </c>
      <c r="K43">
        <f t="shared" ref="K43" ca="1" si="21">SUM(K39:K42)</f>
        <v>220.22489622789323</v>
      </c>
      <c r="L43">
        <f t="shared" ref="L43" ca="1" si="22">SUM(L39:L42)</f>
        <v>0</v>
      </c>
      <c r="M43">
        <f t="shared" ref="M43" ca="1" si="23">SUM(M39:M42)</f>
        <v>0</v>
      </c>
      <c r="N43">
        <f t="shared" ref="N43" ca="1" si="24">SUM(N39:N42)</f>
        <v>0</v>
      </c>
      <c r="O43">
        <f t="shared" ref="O43" ca="1" si="25">SUM(O39:O42)</f>
        <v>0</v>
      </c>
      <c r="P43">
        <f t="shared" ref="P43" ca="1" si="26">SUM(P39:P42)</f>
        <v>0</v>
      </c>
    </row>
    <row r="44" spans="1:16" ht="15" customHeight="1" x14ac:dyDescent="0.45">
      <c r="B44" s="16" t="s">
        <v>92</v>
      </c>
      <c r="D44">
        <f ca="1">-$C$36*AVERAGE(C43:D43)</f>
        <v>-5.3446347960978144</v>
      </c>
      <c r="E44">
        <f t="shared" ref="E44:G44" ca="1" si="27">-$C$36*AVERAGE(D43:E43)</f>
        <v>-27.464344725604516</v>
      </c>
      <c r="F44">
        <f t="shared" ca="1" si="27"/>
        <v>-59.119709929506698</v>
      </c>
      <c r="G44">
        <f t="shared" ca="1" si="27"/>
        <v>-72.215137150062375</v>
      </c>
      <c r="H44">
        <f t="shared" ref="H44" ca="1" si="28">-$C$36*AVERAGE(G43:H43)</f>
        <v>-65.577413815800156</v>
      </c>
      <c r="I44">
        <f t="shared" ref="I44" ca="1" si="29">-$C$36*AVERAGE(H43:I43)</f>
        <v>-52.533597648757997</v>
      </c>
      <c r="J44">
        <f t="shared" ref="J44" ca="1" si="30">-$C$36*AVERAGE(I43:J43)</f>
        <v>-35.603686897720799</v>
      </c>
      <c r="K44">
        <f t="shared" ref="K44" ca="1" si="31">-$C$36*AVERAGE(J43:K43)</f>
        <v>-17.836863839258445</v>
      </c>
      <c r="L44">
        <f t="shared" ref="L44" ca="1" si="32">-$C$36*AVERAGE(K43:L43)</f>
        <v>-4.404497924557865</v>
      </c>
      <c r="M44">
        <f t="shared" ref="M44" ca="1" si="33">-$C$36*AVERAGE(L43:M43)</f>
        <v>0</v>
      </c>
      <c r="N44">
        <f t="shared" ref="N44" ca="1" si="34">-$C$36*AVERAGE(M43:N43)</f>
        <v>0</v>
      </c>
      <c r="O44">
        <f t="shared" ref="O44" ca="1" si="35">-$C$36*AVERAGE(N43:O43)</f>
        <v>0</v>
      </c>
      <c r="P44">
        <f t="shared" ref="P44" ca="1" si="36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 ca="1">'S&amp;U'!$C$15-Finance!D43</f>
        <v>1582.7682601951092</v>
      </c>
      <c r="E46">
        <f ca="1">'S&amp;U'!$C$15-Finance!E43</f>
        <v>744.01450352466509</v>
      </c>
      <c r="F46">
        <f ca="1">'S&amp;U'!$C$15-Finance!F43</f>
        <v>0</v>
      </c>
    </row>
    <row r="47" spans="1:16" ht="15" customHeight="1" x14ac:dyDescent="0.45">
      <c r="B47" s="16" t="s">
        <v>89</v>
      </c>
      <c r="D47">
        <f ca="1">-$C$37*AVERAGE(C46:D46)</f>
        <v>-17.163841300975545</v>
      </c>
      <c r="E47">
        <f t="shared" ref="E47:F47" ca="1" si="37">-$C$37*AVERAGE(D46:E46)</f>
        <v>-11.633913818598872</v>
      </c>
      <c r="F47">
        <f t="shared" ca="1" si="37"/>
        <v>-3.7200725176233256</v>
      </c>
    </row>
    <row r="48" spans="1:16" ht="15" customHeight="1" x14ac:dyDescent="0.45">
      <c r="B48" s="16" t="s">
        <v>184</v>
      </c>
      <c r="D48">
        <f ca="1">IF(AND(D4&gt;$C$35,switch=1),Finance!D44+Finance!D47,0)</f>
        <v>-22.508476097073359</v>
      </c>
      <c r="E48">
        <f ca="1">IF(AND(E4&gt;$C$35,switch=1),Finance!E44+Finance!E47,0)</f>
        <v>-39.098258544203389</v>
      </c>
      <c r="F48">
        <f ca="1">IF(AND(F4&gt;$C$35,switch=1),Finance!F44+Finance!F47,0)</f>
        <v>-62.83978244713002</v>
      </c>
      <c r="G48">
        <f ca="1">IF(AND(G4&gt;$C$35,switch=1),Finance!G44+Finance!G47,0)</f>
        <v>-72.215137150062375</v>
      </c>
      <c r="H48">
        <f ca="1">IF(AND(H4&gt;$C$35,switch=1),Finance!H44+Finance!H47,0)</f>
        <v>-65.577413815800156</v>
      </c>
      <c r="I48">
        <f ca="1">IF(AND(I4&gt;$C$35,switch=1),Finance!I44+Finance!I47,0)</f>
        <v>-52.533597648757997</v>
      </c>
      <c r="J48">
        <f ca="1">IF(AND(J4&gt;$C$35,switch=1),Finance!J44+Finance!J47,0)</f>
        <v>-35.603686897720799</v>
      </c>
      <c r="K48">
        <f ca="1">IF(AND(K4&gt;$C$35,switch=1),Finance!K44+Finance!K47,0)</f>
        <v>-17.836863839258445</v>
      </c>
      <c r="L48">
        <f ca="1">IF(AND(L4&gt;$C$35,switch=1),Finance!L44+Finance!L47,0)</f>
        <v>-4.404497924557865</v>
      </c>
      <c r="M48">
        <f ca="1">IF(AND(M4&gt;$C$35,switch=1),Finance!M44+Finance!M47,0)</f>
        <v>0</v>
      </c>
      <c r="N48">
        <f ca="1">IF(AND(N4&gt;$C$35,switch=1),Finance!N44+Finance!N47,0)</f>
        <v>0</v>
      </c>
      <c r="O48">
        <f ca="1">IF(AND(O4&gt;$C$35,switch=1),Finance!O44+Finance!O47,0)</f>
        <v>0</v>
      </c>
      <c r="P48">
        <f ca="1">IF(AND(P4&gt;$C$35,switch=1),Finance!P44+Finance!P47,0)</f>
        <v>0</v>
      </c>
    </row>
    <row r="50" spans="1:16" ht="15" customHeight="1" x14ac:dyDescent="0.45">
      <c r="B50" s="16" t="s">
        <v>187</v>
      </c>
      <c r="G50">
        <f ca="1">-(H41+H48)</f>
        <v>308.26043803202992</v>
      </c>
      <c r="H50">
        <f t="shared" ref="H50:P50" ca="1" si="38">-(I41+I48)</f>
        <v>462.09138178463598</v>
      </c>
      <c r="I50">
        <f t="shared" ca="1" si="38"/>
        <v>472.5514403137027</v>
      </c>
      <c r="J50">
        <f t="shared" ca="1" si="38"/>
        <v>469.23026334639428</v>
      </c>
      <c r="K50">
        <f t="shared" ca="1" si="38"/>
        <v>224.62939415245108</v>
      </c>
      <c r="L50">
        <f t="shared" ca="1" si="38"/>
        <v>0</v>
      </c>
      <c r="M50">
        <f t="shared" ca="1" si="38"/>
        <v>0</v>
      </c>
      <c r="N50">
        <f t="shared" ca="1" si="38"/>
        <v>0</v>
      </c>
      <c r="O50">
        <f t="shared" ca="1" si="38"/>
        <v>0</v>
      </c>
      <c r="P50">
        <f t="shared" si="38"/>
        <v>0</v>
      </c>
    </row>
    <row r="52" spans="1:16" ht="15" customHeight="1" x14ac:dyDescent="0.45">
      <c r="B52" s="16" t="s">
        <v>186</v>
      </c>
      <c r="G52">
        <f>F55</f>
        <v>338.28571428571428</v>
      </c>
      <c r="H52">
        <f t="shared" ref="H52:P52" ca="1" si="39">G55</f>
        <v>308.26043803202992</v>
      </c>
      <c r="I52">
        <f t="shared" ca="1" si="39"/>
        <v>401.03856944163886</v>
      </c>
      <c r="J52">
        <f t="shared" ca="1" si="39"/>
        <v>472.5514403137027</v>
      </c>
      <c r="K52">
        <f t="shared" ca="1" si="39"/>
        <v>469.23026334639428</v>
      </c>
      <c r="L52">
        <f t="shared" ca="1" si="39"/>
        <v>224.62939415245108</v>
      </c>
      <c r="M52">
        <f t="shared" ca="1" si="39"/>
        <v>0</v>
      </c>
      <c r="N52">
        <f t="shared" ca="1" si="39"/>
        <v>0</v>
      </c>
      <c r="O52">
        <f t="shared" ca="1" si="39"/>
        <v>0</v>
      </c>
      <c r="P52">
        <f t="shared" ca="1" si="39"/>
        <v>0</v>
      </c>
    </row>
    <row r="53" spans="1:16" ht="15" customHeight="1" x14ac:dyDescent="0.45">
      <c r="B53" s="16" t="s">
        <v>182</v>
      </c>
      <c r="G53">
        <f ca="1">G13+G16+G24+G41</f>
        <v>48.743483894083099</v>
      </c>
      <c r="H53">
        <f t="shared" ref="H53:P53" ca="1" si="40">H13+H16+H24+H41</f>
        <v>92.77813140960896</v>
      </c>
      <c r="I53">
        <f t="shared" ca="1" si="40"/>
        <v>138.92741453539082</v>
      </c>
      <c r="J53">
        <f t="shared" ca="1" si="40"/>
        <v>142.06543209411086</v>
      </c>
      <c r="K53">
        <f t="shared" ca="1" si="40"/>
        <v>141.06907900391838</v>
      </c>
      <c r="L53">
        <f t="shared" ca="1" si="40"/>
        <v>382.22145964236455</v>
      </c>
      <c r="M53">
        <f t="shared" ca="1" si="40"/>
        <v>605.21021791499379</v>
      </c>
      <c r="N53">
        <f t="shared" ca="1" si="40"/>
        <v>327.87043383851051</v>
      </c>
      <c r="O53">
        <f t="shared" ca="1" si="40"/>
        <v>23.646066743226836</v>
      </c>
      <c r="P53">
        <f t="shared" ca="1" si="40"/>
        <v>6.3001008219178107</v>
      </c>
    </row>
    <row r="54" spans="1:16" ht="15" customHeight="1" x14ac:dyDescent="0.45">
      <c r="B54" s="16" t="s">
        <v>179</v>
      </c>
      <c r="G54">
        <f ca="1">-MAX(G52+G53-G50,0)</f>
        <v>-78.768760147767466</v>
      </c>
      <c r="H54">
        <f t="shared" ref="H54:P54" ca="1" si="41">-MAX(H52+H53-H50,0)</f>
        <v>0</v>
      </c>
      <c r="I54">
        <f t="shared" ca="1" si="41"/>
        <v>-67.414543663327038</v>
      </c>
      <c r="J54">
        <f t="shared" ca="1" si="41"/>
        <v>-145.38660906141934</v>
      </c>
      <c r="K54">
        <f t="shared" ca="1" si="41"/>
        <v>-385.66994819786152</v>
      </c>
      <c r="L54">
        <f t="shared" ca="1" si="41"/>
        <v>-606.85085379481563</v>
      </c>
      <c r="M54">
        <f t="shared" ca="1" si="41"/>
        <v>-605.21021791499379</v>
      </c>
      <c r="N54">
        <f t="shared" ca="1" si="41"/>
        <v>-327.87043383851051</v>
      </c>
      <c r="O54">
        <f t="shared" ca="1" si="41"/>
        <v>-23.646066743226836</v>
      </c>
      <c r="P54">
        <f t="shared" ca="1" si="41"/>
        <v>-6.3001008219178107</v>
      </c>
    </row>
    <row r="55" spans="1:16" ht="15" customHeight="1" x14ac:dyDescent="0.45">
      <c r="B55" s="16" t="s">
        <v>188</v>
      </c>
      <c r="F55">
        <f>'S&amp;U'!F10</f>
        <v>338.28571428571428</v>
      </c>
      <c r="G55">
        <f ca="1">SUM(G52:G54)</f>
        <v>308.26043803202992</v>
      </c>
      <c r="H55">
        <f t="shared" ref="H55:P55" ca="1" si="42">SUM(H52:H54)</f>
        <v>401.03856944163886</v>
      </c>
      <c r="I55">
        <f t="shared" ca="1" si="42"/>
        <v>472.5514403137027</v>
      </c>
      <c r="J55">
        <f t="shared" ca="1" si="42"/>
        <v>469.23026334639428</v>
      </c>
      <c r="K55">
        <f t="shared" ca="1" si="42"/>
        <v>224.62939415245108</v>
      </c>
      <c r="L55">
        <f t="shared" ca="1" si="42"/>
        <v>0</v>
      </c>
      <c r="M55">
        <f t="shared" ca="1" si="42"/>
        <v>0</v>
      </c>
      <c r="N55">
        <f t="shared" ca="1" si="42"/>
        <v>0</v>
      </c>
      <c r="O55">
        <f t="shared" ca="1" si="42"/>
        <v>0</v>
      </c>
      <c r="P55">
        <f t="shared" ca="1" si="42"/>
        <v>0</v>
      </c>
    </row>
    <row r="57" spans="1:16" ht="15" customHeight="1" x14ac:dyDescent="0.45">
      <c r="A57" s="15" t="s">
        <v>94</v>
      </c>
    </row>
    <row r="58" spans="1:16" ht="15" customHeight="1" x14ac:dyDescent="0.45">
      <c r="B58" s="16" t="s">
        <v>141</v>
      </c>
      <c r="E58" s="65"/>
      <c r="F58" s="65"/>
      <c r="G58">
        <f ca="1">-G54</f>
        <v>78.768760147767466</v>
      </c>
      <c r="H58">
        <f t="shared" ref="H58:P58" ca="1" si="43">-H54</f>
        <v>0</v>
      </c>
      <c r="I58">
        <f t="shared" ca="1" si="43"/>
        <v>67.414543663327038</v>
      </c>
      <c r="J58">
        <f t="shared" ca="1" si="43"/>
        <v>145.38660906141934</v>
      </c>
      <c r="K58">
        <f t="shared" ca="1" si="43"/>
        <v>385.66994819786152</v>
      </c>
      <c r="L58">
        <f t="shared" ca="1" si="43"/>
        <v>606.85085379481563</v>
      </c>
      <c r="M58">
        <f t="shared" ca="1" si="43"/>
        <v>605.21021791499379</v>
      </c>
      <c r="N58">
        <f t="shared" ca="1" si="43"/>
        <v>327.87043383851051</v>
      </c>
      <c r="O58">
        <f t="shared" ca="1" si="43"/>
        <v>23.646066743226836</v>
      </c>
      <c r="P58">
        <f t="shared" ca="1" si="43"/>
        <v>6.3001008219178107</v>
      </c>
    </row>
    <row r="59" spans="1:16" ht="15" customHeight="1" x14ac:dyDescent="0.45">
      <c r="B59" s="16" t="s">
        <v>197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>
        <f ca="1">BS!P4</f>
        <v>6.9999999999652118E-2</v>
      </c>
    </row>
    <row r="60" spans="1:16" ht="15" customHeight="1" x14ac:dyDescent="0.45">
      <c r="B60" s="16" t="s">
        <v>100</v>
      </c>
      <c r="D60">
        <f ca="1">-'S&amp;U'!D16</f>
        <v>-139.27673629218265</v>
      </c>
      <c r="E60">
        <f ca="1">-'S&amp;U'!E16</f>
        <v>-437.14450187375922</v>
      </c>
      <c r="F60">
        <f ca="1">-'S&amp;U'!F16</f>
        <v>-387.76797950954904</v>
      </c>
      <c r="G60">
        <f ca="1">G58+G59</f>
        <v>78.768760147767466</v>
      </c>
      <c r="H60">
        <f t="shared" ref="H60:P60" ca="1" si="44">H58+H59</f>
        <v>0</v>
      </c>
      <c r="I60">
        <f t="shared" ca="1" si="44"/>
        <v>67.414543663327038</v>
      </c>
      <c r="J60">
        <f t="shared" ca="1" si="44"/>
        <v>145.38660906141934</v>
      </c>
      <c r="K60">
        <f t="shared" ca="1" si="44"/>
        <v>385.66994819786152</v>
      </c>
      <c r="L60">
        <f t="shared" ca="1" si="44"/>
        <v>606.85085379481563</v>
      </c>
      <c r="M60">
        <f t="shared" ca="1" si="44"/>
        <v>605.21021791499379</v>
      </c>
      <c r="N60">
        <f t="shared" ca="1" si="44"/>
        <v>327.87043383851051</v>
      </c>
      <c r="O60">
        <f t="shared" ca="1" si="44"/>
        <v>23.646066743226836</v>
      </c>
      <c r="P60">
        <f t="shared" ca="1" si="44"/>
        <v>6.3701008219174629</v>
      </c>
    </row>
    <row r="61" spans="1:16" ht="15" customHeight="1" x14ac:dyDescent="0.45">
      <c r="B61" s="16" t="s">
        <v>101</v>
      </c>
      <c r="C61" s="61">
        <f ca="1">IRR(D60:P60)</f>
        <v>0.13602228022811436</v>
      </c>
    </row>
    <row r="63" spans="1:16" ht="15" customHeight="1" x14ac:dyDescent="0.45">
      <c r="A63" s="15" t="s">
        <v>200</v>
      </c>
      <c r="B63"/>
    </row>
    <row r="64" spans="1:16" ht="15" customHeight="1" x14ac:dyDescent="0.45">
      <c r="A64"/>
      <c r="B64" s="16" t="s">
        <v>201</v>
      </c>
      <c r="G64">
        <f ca="1">IF(G39&gt;0,1,0)</f>
        <v>1</v>
      </c>
      <c r="H64">
        <f t="shared" ref="H64:P64" ca="1" si="45">IF(H39&gt;0,1,0)</f>
        <v>1</v>
      </c>
      <c r="I64">
        <f t="shared" ca="1" si="45"/>
        <v>1</v>
      </c>
      <c r="J64">
        <f t="shared" ca="1" si="45"/>
        <v>1</v>
      </c>
      <c r="K64">
        <f t="shared" ca="1" si="45"/>
        <v>1</v>
      </c>
      <c r="L64">
        <f t="shared" ca="1" si="45"/>
        <v>1</v>
      </c>
      <c r="M64">
        <f t="shared" ca="1" si="45"/>
        <v>0</v>
      </c>
      <c r="N64">
        <f t="shared" ca="1" si="45"/>
        <v>0</v>
      </c>
      <c r="O64">
        <f t="shared" ca="1" si="45"/>
        <v>0</v>
      </c>
      <c r="P64">
        <f t="shared" ca="1" si="45"/>
        <v>0</v>
      </c>
    </row>
    <row r="65" spans="1:16" ht="15" customHeight="1" x14ac:dyDescent="0.45">
      <c r="A65"/>
      <c r="B65" s="16" t="s">
        <v>202</v>
      </c>
      <c r="G65">
        <f ca="1">G64*G13</f>
        <v>211.22176354102675</v>
      </c>
      <c r="H65">
        <f t="shared" ref="H65:P65" ca="1" si="46">H64*H13</f>
        <v>402.03856944163891</v>
      </c>
      <c r="I65">
        <f t="shared" ca="1" si="46"/>
        <v>602.01879632002681</v>
      </c>
      <c r="J65">
        <f t="shared" ca="1" si="46"/>
        <v>615.6168724078135</v>
      </c>
      <c r="K65">
        <f t="shared" ca="1" si="46"/>
        <v>611.2993423503126</v>
      </c>
      <c r="L65">
        <f t="shared" ca="1" si="46"/>
        <v>607.85085379481563</v>
      </c>
      <c r="M65">
        <f t="shared" ca="1" si="46"/>
        <v>0</v>
      </c>
      <c r="N65">
        <f t="shared" ca="1" si="46"/>
        <v>0</v>
      </c>
      <c r="O65">
        <f t="shared" ca="1" si="46"/>
        <v>0</v>
      </c>
      <c r="P65">
        <f t="shared" ca="1" si="46"/>
        <v>0</v>
      </c>
    </row>
    <row r="66" spans="1:16" ht="15" customHeight="1" x14ac:dyDescent="0.45">
      <c r="A66"/>
      <c r="B66" s="16" t="s">
        <v>203</v>
      </c>
      <c r="F66">
        <f ca="1">NPV('S&amp;U'!$H$15,Finance!G65:P65)</f>
        <v>2619.0663662448778</v>
      </c>
      <c r="G66" t="e">
        <f ca="1">[1]!FR(F66)</f>
        <v>#NAME?</v>
      </c>
    </row>
    <row r="67" spans="1:16" ht="15" customHeight="1" x14ac:dyDescent="0.45">
      <c r="A67"/>
      <c r="B67" s="16" t="s">
        <v>199</v>
      </c>
      <c r="F67">
        <f ca="1">F66/F43</f>
        <v>1.4157115493215555</v>
      </c>
      <c r="G67" t="e">
        <f ca="1">[1]!FR(F67)</f>
        <v>#NAME?</v>
      </c>
    </row>
    <row r="68" spans="1:16" ht="15" customHeight="1" x14ac:dyDescent="0.45">
      <c r="A68"/>
      <c r="B68"/>
    </row>
    <row r="69" spans="1:16" ht="15" customHeight="1" x14ac:dyDescent="0.45">
      <c r="A69"/>
      <c r="B69"/>
    </row>
    <row r="70" spans="1:16" ht="15" customHeight="1" x14ac:dyDescent="0.45">
      <c r="A70"/>
      <c r="B70"/>
    </row>
    <row r="71" spans="1:16" ht="15" customHeight="1" x14ac:dyDescent="0.45">
      <c r="A71"/>
      <c r="B71"/>
    </row>
    <row r="72" spans="1:16" ht="15" customHeight="1" x14ac:dyDescent="0.45">
      <c r="A72"/>
      <c r="B72"/>
    </row>
    <row r="73" spans="1:16" ht="15" customHeight="1" x14ac:dyDescent="0.45">
      <c r="A73"/>
      <c r="B73"/>
    </row>
    <row r="74" spans="1:16" ht="15" customHeight="1" x14ac:dyDescent="0.45">
      <c r="A74"/>
      <c r="B74"/>
    </row>
    <row r="75" spans="1:16" ht="15" customHeight="1" x14ac:dyDescent="0.45">
      <c r="A75"/>
      <c r="B75"/>
    </row>
    <row r="76" spans="1:16" ht="15" customHeight="1" x14ac:dyDescent="0.45">
      <c r="A76"/>
      <c r="B76"/>
    </row>
    <row r="77" spans="1:16" ht="15" customHeight="1" x14ac:dyDescent="0.45">
      <c r="A77"/>
      <c r="B77"/>
    </row>
    <row r="78" spans="1:16" ht="15" customHeight="1" x14ac:dyDescent="0.45">
      <c r="A78"/>
      <c r="B78"/>
    </row>
    <row r="79" spans="1:16" ht="15" customHeight="1" x14ac:dyDescent="0.45">
      <c r="A79"/>
      <c r="B79"/>
    </row>
    <row r="80" spans="1:16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19" sqref="D19"/>
      <selection pane="topRight" activeCell="D19" sqref="D19"/>
      <selection pane="bottomLeft" activeCell="D19" sqref="D19"/>
      <selection pane="bottomRight" activeCell="D19" sqref="D1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H5" activePane="bottomRight" state="frozen"/>
      <selection activeCell="D19" sqref="D19"/>
      <selection pane="topRight" activeCell="D19" sqref="D19"/>
      <selection pane="bottomLeft" activeCell="D19" sqref="D19"/>
      <selection pane="bottomRight" activeCell="D19" sqref="D1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 ca="1">D15</f>
        <v>139.27673629218265</v>
      </c>
      <c r="F11">
        <f ca="1">E15</f>
        <v>576.42123816594187</v>
      </c>
      <c r="G11">
        <f ca="1">F15</f>
        <v>964.18921767549091</v>
      </c>
      <c r="H11">
        <f t="shared" ref="H11:P11" ca="1" si="3">G15</f>
        <v>912.53554034991805</v>
      </c>
      <c r="I11">
        <f t="shared" ca="1" si="3"/>
        <v>1009.9065743641847</v>
      </c>
      <c r="J11">
        <f t="shared" ca="1" si="3"/>
        <v>1128.5501172015727</v>
      </c>
      <c r="K11">
        <f t="shared" ca="1" si="3"/>
        <v>1181.8302985088994</v>
      </c>
      <c r="L11">
        <f t="shared" ca="1" si="3"/>
        <v>1008.0972609097876</v>
      </c>
      <c r="M11">
        <f t="shared" ca="1" si="3"/>
        <v>622.97727193570961</v>
      </c>
      <c r="N11">
        <f t="shared" ca="1" si="3"/>
        <v>242.06046236074087</v>
      </c>
      <c r="O11">
        <f t="shared" ca="1" si="3"/>
        <v>22.18132067503808</v>
      </c>
      <c r="P11">
        <f t="shared" ca="1" si="3"/>
        <v>7.1701008219177815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 ca="1">IS!G27</f>
        <v>27.115082822194587</v>
      </c>
      <c r="H12">
        <f ca="1">IS!H27</f>
        <v>97.371034014266712</v>
      </c>
      <c r="I12">
        <f ca="1">IS!I27</f>
        <v>186.05808650071512</v>
      </c>
      <c r="J12">
        <f ca="1">IS!J27</f>
        <v>198.66679036874621</v>
      </c>
      <c r="K12">
        <f ca="1">IS!K27</f>
        <v>211.93691059874965</v>
      </c>
      <c r="L12">
        <f ca="1">IS!L27</f>
        <v>221.73086482073759</v>
      </c>
      <c r="M12">
        <f ca="1">IS!M27</f>
        <v>224.29340834002505</v>
      </c>
      <c r="N12">
        <f ca="1">IS!N27</f>
        <v>107.9912921528077</v>
      </c>
      <c r="O12">
        <f ca="1">IS!O27</f>
        <v>8.6348468901065392</v>
      </c>
      <c r="P12">
        <f ca="1">IS!P27</f>
        <v>-0.8</v>
      </c>
    </row>
    <row r="13" spans="1:16" ht="15" customHeight="1" x14ac:dyDescent="0.45">
      <c r="B13" s="16" t="s">
        <v>140</v>
      </c>
      <c r="D13">
        <f ca="1">'S&amp;U'!D16</f>
        <v>139.27673629218265</v>
      </c>
      <c r="E13">
        <f ca="1">'S&amp;U'!E16</f>
        <v>437.14450187375922</v>
      </c>
      <c r="F13">
        <f ca="1">'S&amp;U'!F16</f>
        <v>387.76797950954904</v>
      </c>
    </row>
    <row r="14" spans="1:16" ht="15" customHeight="1" x14ac:dyDescent="0.45">
      <c r="A14" s="60"/>
      <c r="B14" s="16" t="s">
        <v>141</v>
      </c>
      <c r="G14">
        <f ca="1">Finance!G54</f>
        <v>-78.768760147767466</v>
      </c>
      <c r="H14">
        <f ca="1">Finance!H54</f>
        <v>0</v>
      </c>
      <c r="I14">
        <f ca="1">Finance!I54</f>
        <v>-67.414543663327038</v>
      </c>
      <c r="J14">
        <f ca="1">Finance!J54</f>
        <v>-145.38660906141934</v>
      </c>
      <c r="K14">
        <f ca="1">Finance!K54</f>
        <v>-385.66994819786152</v>
      </c>
      <c r="L14">
        <f ca="1">Finance!L54</f>
        <v>-606.85085379481563</v>
      </c>
      <c r="M14">
        <f ca="1">Finance!M54</f>
        <v>-605.21021791499379</v>
      </c>
      <c r="N14">
        <f ca="1">Finance!N54</f>
        <v>-327.87043383851051</v>
      </c>
      <c r="O14">
        <f ca="1">Finance!O54</f>
        <v>-23.646066743226836</v>
      </c>
      <c r="P14">
        <f ca="1">Finance!P54</f>
        <v>-6.3001008219178107</v>
      </c>
    </row>
    <row r="15" spans="1:16" ht="15" customHeight="1" x14ac:dyDescent="0.45">
      <c r="B15" s="16" t="s">
        <v>142</v>
      </c>
      <c r="C15" s="63">
        <v>0</v>
      </c>
      <c r="D15">
        <f t="shared" ref="D15:P15" ca="1" si="4">SUM(D11:D14)</f>
        <v>139.27673629218265</v>
      </c>
      <c r="E15">
        <f t="shared" ca="1" si="4"/>
        <v>576.42123816594187</v>
      </c>
      <c r="F15">
        <f t="shared" ca="1" si="4"/>
        <v>964.18921767549091</v>
      </c>
      <c r="G15">
        <f t="shared" ca="1" si="4"/>
        <v>912.53554034991805</v>
      </c>
      <c r="H15">
        <f t="shared" ca="1" si="4"/>
        <v>1009.9065743641847</v>
      </c>
      <c r="I15">
        <f t="shared" ca="1" si="4"/>
        <v>1128.5501172015727</v>
      </c>
      <c r="J15">
        <f t="shared" ca="1" si="4"/>
        <v>1181.8302985088994</v>
      </c>
      <c r="K15">
        <f t="shared" ca="1" si="4"/>
        <v>1008.0972609097876</v>
      </c>
      <c r="L15">
        <f t="shared" ca="1" si="4"/>
        <v>622.97727193570961</v>
      </c>
      <c r="M15">
        <f t="shared" ca="1" si="4"/>
        <v>242.06046236074087</v>
      </c>
      <c r="N15">
        <f t="shared" ca="1" si="4"/>
        <v>22.18132067503808</v>
      </c>
      <c r="O15">
        <f t="shared" ca="1" si="4"/>
        <v>7.1701008219177815</v>
      </c>
      <c r="P15">
        <f t="shared" ca="1" si="4"/>
        <v>6.9999999999970974E-2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activeCell="D19" sqref="D19"/>
      <selection pane="topRight" activeCell="D19" sqref="D19"/>
      <selection pane="bottomLeft" activeCell="D19" sqref="D19"/>
      <selection pane="bottomRight" activeCell="D19" sqref="D1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168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 ca="1">SUM('S&amp;U'!D55:F55)</f>
        <v>336.54334932097811</v>
      </c>
    </row>
    <row r="28" spans="1:16" ht="15" customHeight="1" x14ac:dyDescent="0.45">
      <c r="B28" s="16" t="s">
        <v>71</v>
      </c>
      <c r="F28">
        <f ca="1">F27/-F15</f>
        <v>-3.764466994641813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 ca="1">D34</f>
        <v>226.50847609707336</v>
      </c>
      <c r="F31">
        <f ca="1">E34</f>
        <v>269.63820659883567</v>
      </c>
      <c r="G31">
        <f ca="1">F34</f>
        <v>336.54334932097811</v>
      </c>
      <c r="H31">
        <f t="shared" ref="H31:P31" ca="1" si="11">G34</f>
        <v>319.71618185492923</v>
      </c>
      <c r="I31">
        <f t="shared" ca="1" si="11"/>
        <v>286.06184692283142</v>
      </c>
      <c r="J31">
        <f t="shared" ca="1" si="11"/>
        <v>235.58034452468473</v>
      </c>
      <c r="K31">
        <f t="shared" ca="1" si="11"/>
        <v>185.09884212653802</v>
      </c>
      <c r="L31">
        <f t="shared" ca="1" si="11"/>
        <v>134.6173397283913</v>
      </c>
      <c r="M31">
        <f t="shared" ca="1" si="11"/>
        <v>84.135837330244584</v>
      </c>
      <c r="N31">
        <f t="shared" ca="1" si="11"/>
        <v>33.654334932097875</v>
      </c>
      <c r="O31">
        <f t="shared" ca="1" si="11"/>
        <v>6.730866986419624</v>
      </c>
      <c r="P31">
        <f t="shared" ca="1" si="11"/>
        <v>6.2172489379008766E-14</v>
      </c>
    </row>
    <row r="32" spans="1:16" ht="15" customHeight="1" x14ac:dyDescent="0.45">
      <c r="B32" s="16" t="s">
        <v>72</v>
      </c>
      <c r="D32">
        <f ca="1">'S&amp;U'!D55</f>
        <v>226.50847609707336</v>
      </c>
      <c r="E32">
        <f ca="1">'S&amp;U'!E55</f>
        <v>43.129730501762289</v>
      </c>
      <c r="F32">
        <f ca="1">'S&amp;U'!F55</f>
        <v>66.905142722142458</v>
      </c>
    </row>
    <row r="33" spans="1:16" ht="15" customHeight="1" x14ac:dyDescent="0.45">
      <c r="B33" s="16" t="s">
        <v>73</v>
      </c>
      <c r="G33">
        <f ca="1">$F$28*G16</f>
        <v>-16.827167466048898</v>
      </c>
      <c r="H33">
        <f t="shared" ref="H33:O33" ca="1" si="12">$F$28*H16</f>
        <v>-33.654334932097797</v>
      </c>
      <c r="I33">
        <f t="shared" ca="1" si="12"/>
        <v>-50.481502398146702</v>
      </c>
      <c r="J33">
        <f t="shared" ca="1" si="12"/>
        <v>-50.481502398146723</v>
      </c>
      <c r="K33">
        <f t="shared" ca="1" si="12"/>
        <v>-50.481502398146702</v>
      </c>
      <c r="L33">
        <f t="shared" ca="1" si="12"/>
        <v>-50.481502398146716</v>
      </c>
      <c r="M33">
        <f t="shared" ca="1" si="12"/>
        <v>-50.481502398146709</v>
      </c>
      <c r="N33">
        <f t="shared" ca="1" si="12"/>
        <v>-26.923467945678251</v>
      </c>
      <c r="O33">
        <f t="shared" ca="1" si="12"/>
        <v>-6.7308669864195618</v>
      </c>
      <c r="P33">
        <f t="shared" ref="P33" ca="1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 ca="1">SUM(D31:D33)</f>
        <v>226.50847609707336</v>
      </c>
      <c r="E34">
        <f ca="1">SUM(E31:E33)</f>
        <v>269.63820659883567</v>
      </c>
      <c r="F34">
        <f ca="1">SUM(F31:F33)</f>
        <v>336.54334932097811</v>
      </c>
      <c r="G34">
        <f ca="1">SUM(G31:G33)</f>
        <v>319.71618185492923</v>
      </c>
      <c r="H34">
        <f t="shared" ref="H34:O34" ca="1" si="14">SUM(H31:H33)</f>
        <v>286.06184692283142</v>
      </c>
      <c r="I34">
        <f t="shared" ca="1" si="14"/>
        <v>235.58034452468473</v>
      </c>
      <c r="J34">
        <f t="shared" ca="1" si="14"/>
        <v>185.09884212653802</v>
      </c>
      <c r="K34">
        <f t="shared" ca="1" si="14"/>
        <v>134.6173397283913</v>
      </c>
      <c r="L34">
        <f t="shared" ca="1" si="14"/>
        <v>84.135837330244584</v>
      </c>
      <c r="M34">
        <f t="shared" ca="1" si="14"/>
        <v>33.654334932097875</v>
      </c>
      <c r="N34">
        <f t="shared" ca="1" si="14"/>
        <v>6.730866986419624</v>
      </c>
      <c r="O34">
        <f t="shared" ca="1" si="14"/>
        <v>6.2172489379008766E-14</v>
      </c>
      <c r="P34">
        <f t="shared" ref="P34" ca="1" si="15">SUM(P31:P33)</f>
        <v>6.2172489379008766E-14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F19" activePane="bottomRight" state="frozen"/>
      <selection activeCell="D19" sqref="D19"/>
      <selection pane="topRight" activeCell="D19" sqref="D19"/>
      <selection pane="bottomLeft" activeCell="D19" sqref="D19"/>
      <selection pane="bottomRight" activeCell="D19" sqref="D19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 ca="1">Depletion!G33+Depletion!G42</f>
        <v>-18.686727430681319</v>
      </c>
      <c r="H17">
        <f ca="1">Depletion!H33+Depletion!H42</f>
        <v>-37.373454861362639</v>
      </c>
      <c r="I17">
        <f ca="1">Depletion!I33+Depletion!I42</f>
        <v>-56.060182292043962</v>
      </c>
      <c r="J17">
        <f ca="1">Depletion!J33+Depletion!J42</f>
        <v>-56.06018229204399</v>
      </c>
      <c r="K17">
        <f ca="1">Depletion!K33+Depletion!K42</f>
        <v>-56.060182292043962</v>
      </c>
      <c r="L17">
        <f ca="1">Depletion!L33+Depletion!L42</f>
        <v>-56.060182292043976</v>
      </c>
      <c r="M17">
        <f ca="1">Depletion!M33+Depletion!M42</f>
        <v>-56.060182292043969</v>
      </c>
      <c r="N17">
        <f ca="1">Depletion!N33+Depletion!N42</f>
        <v>-29.898763889090123</v>
      </c>
      <c r="O17">
        <f ca="1">Depletion!O33+Depletion!O42</f>
        <v>-7.4746909722725299</v>
      </c>
      <c r="P17">
        <f ca="1">Depletion!P33+Depletion!P42</f>
        <v>0</v>
      </c>
    </row>
    <row r="18" spans="1:16" ht="15" customHeight="1" x14ac:dyDescent="0.45">
      <c r="A18"/>
      <c r="B18" s="16" t="s">
        <v>172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 ca="1">SUM(G14,G16:G18)</f>
        <v>109.6162725693188</v>
      </c>
      <c r="H19">
        <f t="shared" ref="H19:P19" ca="1" si="5">SUM(H14,H16:H18)</f>
        <v>190.94892513863752</v>
      </c>
      <c r="I19">
        <f t="shared" ca="1" si="5"/>
        <v>288.92338770795612</v>
      </c>
      <c r="J19">
        <f t="shared" ca="1" si="5"/>
        <v>287.92338770795601</v>
      </c>
      <c r="K19">
        <f t="shared" ca="1" si="5"/>
        <v>286.92338770795612</v>
      </c>
      <c r="L19">
        <f t="shared" ca="1" si="5"/>
        <v>285.92338770795612</v>
      </c>
      <c r="M19">
        <f t="shared" ca="1" si="5"/>
        <v>284.92338770795612</v>
      </c>
      <c r="N19">
        <f t="shared" ca="1" si="5"/>
        <v>139.75914011090995</v>
      </c>
      <c r="O19">
        <f t="shared" ca="1" si="5"/>
        <v>15.18978502772751</v>
      </c>
      <c r="P19">
        <f t="shared" ca="1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  <c r="G21">
        <f ca="1">IF(switch=1,Finance!G30,0)</f>
        <v>-1</v>
      </c>
      <c r="H21">
        <f ca="1">IF(switch=1,Finance!H30,0)</f>
        <v>-1</v>
      </c>
      <c r="I21">
        <f ca="1">IF(switch=1,Finance!I30,0)</f>
        <v>-1</v>
      </c>
      <c r="J21">
        <f ca="1">IF(switch=1,Finance!J30,0)</f>
        <v>-1</v>
      </c>
      <c r="K21">
        <f ca="1">IF(switch=1,Finance!K30,0)</f>
        <v>-1</v>
      </c>
      <c r="L21">
        <f ca="1">IF(switch=1,Finance!L30,0)</f>
        <v>-1</v>
      </c>
      <c r="M21">
        <f ca="1">IF(switch=1,Finance!M30,0)</f>
        <v>-1</v>
      </c>
      <c r="N21">
        <f ca="1">IF(switch=1,Finance!N30,0)</f>
        <v>-1</v>
      </c>
      <c r="O21">
        <f ca="1">IF(switch=1,Finance!O30,0)</f>
        <v>-1</v>
      </c>
      <c r="P21">
        <f ca="1">IF(switch=1,Finance!P30,0)</f>
        <v>-1</v>
      </c>
    </row>
    <row r="22" spans="1:16" ht="15" customHeight="1" x14ac:dyDescent="0.45">
      <c r="A22"/>
      <c r="B22" s="16" t="s">
        <v>176</v>
      </c>
      <c r="G22">
        <f ca="1">IF(switch=1,Finance!G48,0)</f>
        <v>-72.215137150062375</v>
      </c>
      <c r="H22">
        <f ca="1">IF(switch=1,Finance!H48,0)</f>
        <v>-65.577413815800156</v>
      </c>
      <c r="I22">
        <f ca="1">IF(switch=1,Finance!I48,0)</f>
        <v>-52.533597648757997</v>
      </c>
      <c r="J22">
        <f ca="1">IF(switch=1,Finance!J48,0)</f>
        <v>-35.603686897720799</v>
      </c>
      <c r="K22">
        <f ca="1">IF(switch=1,Finance!K48,0)</f>
        <v>-17.836863839258445</v>
      </c>
      <c r="L22">
        <f ca="1">IF(switch=1,Finance!L48,0)</f>
        <v>-4.404497924557865</v>
      </c>
      <c r="M22">
        <f ca="1">IF(switch=1,Finance!M48,0)</f>
        <v>0</v>
      </c>
      <c r="N22">
        <f ca="1">IF(switch=1,Finance!N48,0)</f>
        <v>0</v>
      </c>
      <c r="O22">
        <f ca="1">IF(switch=1,Finance!O48,0)</f>
        <v>0</v>
      </c>
      <c r="P22">
        <f ca="1">IF(switch=1,Finance!P48,0)</f>
        <v>0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 ca="1">SUM(G19,G21:G23)</f>
        <v>33.893853527743232</v>
      </c>
      <c r="H24">
        <f t="shared" ref="H24:P24" ca="1" si="6">SUM(H19,H21:H23)</f>
        <v>121.71379251783338</v>
      </c>
      <c r="I24">
        <f t="shared" ca="1" si="6"/>
        <v>232.57260812589391</v>
      </c>
      <c r="J24">
        <f t="shared" ca="1" si="6"/>
        <v>248.33348796093276</v>
      </c>
      <c r="K24">
        <f t="shared" ca="1" si="6"/>
        <v>264.92113824843705</v>
      </c>
      <c r="L24">
        <f t="shared" ca="1" si="6"/>
        <v>277.16358102592199</v>
      </c>
      <c r="M24">
        <f t="shared" ca="1" si="6"/>
        <v>280.36676042503132</v>
      </c>
      <c r="N24">
        <f t="shared" ca="1" si="6"/>
        <v>134.98911519100963</v>
      </c>
      <c r="O24">
        <f t="shared" ca="1" si="6"/>
        <v>10.793558612633174</v>
      </c>
      <c r="P24">
        <f t="shared" ca="1" si="6"/>
        <v>-1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 ca="1">'S&amp;U'!G41*IS!G24</f>
        <v>-6.7787707055486468</v>
      </c>
      <c r="H26">
        <f ca="1">'S&amp;U'!H41*IS!H24</f>
        <v>-24.342758503566678</v>
      </c>
      <c r="I26">
        <f ca="1">'S&amp;U'!I41*IS!I24</f>
        <v>-46.514521625178787</v>
      </c>
      <c r="J26">
        <f ca="1">'S&amp;U'!J41*IS!J24</f>
        <v>-49.666697592186551</v>
      </c>
      <c r="K26">
        <f ca="1">'S&amp;U'!K41*IS!K24</f>
        <v>-52.984227649687412</v>
      </c>
      <c r="L26">
        <f ca="1">'S&amp;U'!L41*IS!L24</f>
        <v>-55.432716205184398</v>
      </c>
      <c r="M26">
        <f ca="1">'S&amp;U'!M41*IS!M24</f>
        <v>-56.073352085006263</v>
      </c>
      <c r="N26">
        <f ca="1">'S&amp;U'!N41*IS!N24</f>
        <v>-26.997823038201929</v>
      </c>
      <c r="O26">
        <f ca="1">'S&amp;U'!O41*IS!O24</f>
        <v>-2.1587117225266348</v>
      </c>
      <c r="P26">
        <f ca="1">'S&amp;U'!P41*IS!P24</f>
        <v>0.2</v>
      </c>
    </row>
    <row r="27" spans="1:16" ht="15" customHeight="1" x14ac:dyDescent="0.45">
      <c r="A27"/>
      <c r="B27" s="16" t="s">
        <v>116</v>
      </c>
      <c r="G27">
        <f ca="1">G24+G26</f>
        <v>27.115082822194587</v>
      </c>
      <c r="H27">
        <f t="shared" ref="H27:P27" ca="1" si="7">H24+H26</f>
        <v>97.371034014266712</v>
      </c>
      <c r="I27">
        <f t="shared" ca="1" si="7"/>
        <v>186.05808650071512</v>
      </c>
      <c r="J27">
        <f t="shared" ca="1" si="7"/>
        <v>198.66679036874621</v>
      </c>
      <c r="K27">
        <f t="shared" ca="1" si="7"/>
        <v>211.93691059874965</v>
      </c>
      <c r="L27">
        <f t="shared" ca="1" si="7"/>
        <v>221.73086482073759</v>
      </c>
      <c r="M27">
        <f t="shared" ca="1" si="7"/>
        <v>224.29340834002505</v>
      </c>
      <c r="N27">
        <f t="shared" ca="1" si="7"/>
        <v>107.9912921528077</v>
      </c>
      <c r="O27">
        <f t="shared" ca="1" si="7"/>
        <v>8.6348468901065392</v>
      </c>
      <c r="P27">
        <f t="shared" ca="1" si="7"/>
        <v>-0.8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E24" activePane="bottomRight" state="frozen"/>
      <selection activeCell="D19" sqref="D19"/>
      <selection pane="topRight" activeCell="D19" sqref="D19"/>
      <selection pane="bottomLeft" activeCell="D19" sqref="D19"/>
      <selection pane="bottomRight" activeCell="E27" sqref="E27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 ca="1">CFS!D26</f>
        <v>0</v>
      </c>
      <c r="E4">
        <f ca="1">CFS!E26</f>
        <v>0</v>
      </c>
      <c r="F4">
        <f ca="1">CFS!F26</f>
        <v>338.28571428571433</v>
      </c>
      <c r="G4">
        <f ca="1">CFS!G26</f>
        <v>308.28043803202991</v>
      </c>
      <c r="H4">
        <f ca="1">CFS!H26</f>
        <v>401.0985694416388</v>
      </c>
      <c r="I4">
        <f ca="1">CFS!I26</f>
        <v>472.62144031370252</v>
      </c>
      <c r="J4">
        <f ca="1">CFS!J26</f>
        <v>469.30026334639405</v>
      </c>
      <c r="K4">
        <f ca="1">CFS!K26</f>
        <v>224.69939415245079</v>
      </c>
      <c r="L4">
        <f ca="1">CFS!L26</f>
        <v>6.9999999999652118E-2</v>
      </c>
      <c r="M4">
        <f ca="1">CFS!M26</f>
        <v>6.9999999999652118E-2</v>
      </c>
      <c r="N4">
        <f ca="1">CFS!N26</f>
        <v>6.9999999999652118E-2</v>
      </c>
      <c r="O4">
        <f ca="1">CFS!O26</f>
        <v>6.9999999999652118E-2</v>
      </c>
      <c r="P4">
        <f ca="1">CFS!P26</f>
        <v>6.9999999999652118E-2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 ca="1">SUM(D4:D6)</f>
        <v>0</v>
      </c>
      <c r="E7">
        <f t="shared" ref="E7:P7" ca="1" si="2">SUM(E4:E6)</f>
        <v>0</v>
      </c>
      <c r="F7">
        <f t="shared" ca="1" si="2"/>
        <v>340.24270058708419</v>
      </c>
      <c r="G7">
        <f t="shared" ca="1" si="2"/>
        <v>339.38180789504361</v>
      </c>
      <c r="H7">
        <f t="shared" ca="1" si="2"/>
        <v>460.08290916766623</v>
      </c>
      <c r="I7">
        <f t="shared" ca="1" si="2"/>
        <v>561.09794990274361</v>
      </c>
      <c r="J7">
        <f t="shared" ca="1" si="2"/>
        <v>557.77677293543513</v>
      </c>
      <c r="K7">
        <f t="shared" ca="1" si="2"/>
        <v>313.17590374149188</v>
      </c>
      <c r="L7">
        <f t="shared" ca="1" si="2"/>
        <v>88.546509589040738</v>
      </c>
      <c r="M7">
        <f t="shared" ca="1" si="2"/>
        <v>88.546509589040738</v>
      </c>
      <c r="N7">
        <f t="shared" ca="1" si="2"/>
        <v>47.257471780821575</v>
      </c>
      <c r="O7">
        <f t="shared" ca="1" si="2"/>
        <v>11.866867945205133</v>
      </c>
      <c r="P7">
        <f t="shared" ca="1" si="2"/>
        <v>6.9999999999652118E-2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 ca="1">Depletion!D34</f>
        <v>226.50847609707336</v>
      </c>
      <c r="E10">
        <f ca="1">Depletion!E34</f>
        <v>269.63820659883567</v>
      </c>
      <c r="F10">
        <f ca="1">Depletion!F34</f>
        <v>336.54334932097811</v>
      </c>
      <c r="G10">
        <f ca="1">Depletion!G34</f>
        <v>319.71618185492923</v>
      </c>
      <c r="H10">
        <f ca="1">Depletion!H34</f>
        <v>286.06184692283142</v>
      </c>
      <c r="I10">
        <f ca="1">Depletion!I34</f>
        <v>235.58034452468473</v>
      </c>
      <c r="J10">
        <f ca="1">Depletion!J34</f>
        <v>185.09884212653802</v>
      </c>
      <c r="K10">
        <f ca="1">Depletion!K34</f>
        <v>134.6173397283913</v>
      </c>
      <c r="L10">
        <f ca="1">Depletion!L34</f>
        <v>84.135837330244584</v>
      </c>
      <c r="M10">
        <f ca="1">Depletion!M34</f>
        <v>33.654334932097875</v>
      </c>
      <c r="N10">
        <f ca="1">Depletion!N34</f>
        <v>6.730866986419624</v>
      </c>
      <c r="O10">
        <f ca="1">Depletion!O34</f>
        <v>6.2172489379008766E-14</v>
      </c>
      <c r="P10">
        <f ca="1">Depletion!P34</f>
        <v>6.2172489379008766E-14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 ca="1">SUM(D7,D9:D11)</f>
        <v>443.69967538972179</v>
      </c>
      <c r="E12">
        <f t="shared" ref="E12:P12" ca="1" si="3">SUM(E7,E9:E11)</f>
        <v>1721.8294058914842</v>
      </c>
      <c r="F12">
        <f t="shared" ca="1" si="3"/>
        <v>2855.9772492007105</v>
      </c>
      <c r="G12">
        <f t="shared" ca="1" si="3"/>
        <v>2729.329629077989</v>
      </c>
      <c r="H12">
        <f t="shared" ca="1" si="3"/>
        <v>2598.4572754892497</v>
      </c>
      <c r="I12">
        <f t="shared" ca="1" si="3"/>
        <v>2322.1121339322826</v>
      </c>
      <c r="J12">
        <f t="shared" ca="1" si="3"/>
        <v>1941.4307746729301</v>
      </c>
      <c r="K12">
        <f t="shared" ca="1" si="3"/>
        <v>1319.4697231869429</v>
      </c>
      <c r="L12">
        <f t="shared" ca="1" si="3"/>
        <v>717.48014674244791</v>
      </c>
      <c r="M12">
        <f t="shared" ca="1" si="3"/>
        <v>340.11996445040393</v>
      </c>
      <c r="N12">
        <f t="shared" ca="1" si="3"/>
        <v>97.572162753094659</v>
      </c>
      <c r="O12">
        <f t="shared" ca="1" si="3"/>
        <v>11.866867945205692</v>
      </c>
      <c r="P12">
        <f t="shared" ca="1" si="3"/>
        <v>7.0000000000212337E-2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  <c r="D14">
        <f>Finance!D25</f>
        <v>0</v>
      </c>
      <c r="E14">
        <f>Finance!E25</f>
        <v>0</v>
      </c>
      <c r="F14">
        <f>Finance!F25</f>
        <v>0</v>
      </c>
      <c r="G14">
        <f ca="1">Finance!G25</f>
        <v>0</v>
      </c>
      <c r="H14">
        <f ca="1">Finance!H25</f>
        <v>0</v>
      </c>
      <c r="I14">
        <f ca="1">Finance!I25</f>
        <v>0</v>
      </c>
      <c r="J14">
        <f ca="1">Finance!J25</f>
        <v>0</v>
      </c>
      <c r="K14">
        <f ca="1">Finance!K25</f>
        <v>0</v>
      </c>
      <c r="L14">
        <f ca="1">Finance!L25</f>
        <v>0</v>
      </c>
      <c r="M14">
        <f ca="1">Finance!M25</f>
        <v>0</v>
      </c>
      <c r="N14">
        <f ca="1">Finance!N25</f>
        <v>0</v>
      </c>
      <c r="O14">
        <f ca="1">Finance!O25</f>
        <v>0</v>
      </c>
      <c r="P14">
        <f ca="1">Finance!P25</f>
        <v>0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ca="1" si="4"/>
        <v>11.741917808219174</v>
      </c>
      <c r="H16">
        <f t="shared" ca="1" si="4"/>
        <v>23.483835616438348</v>
      </c>
      <c r="I16">
        <f t="shared" ca="1" si="4"/>
        <v>35.225753424657526</v>
      </c>
      <c r="J16">
        <f t="shared" ca="1" si="4"/>
        <v>35.225753424657533</v>
      </c>
      <c r="K16">
        <f t="shared" ca="1" si="4"/>
        <v>35.225753424657526</v>
      </c>
      <c r="L16">
        <f t="shared" ca="1" si="4"/>
        <v>35.225753424657526</v>
      </c>
      <c r="M16">
        <f t="shared" ca="1" si="4"/>
        <v>35.225753424657526</v>
      </c>
      <c r="N16">
        <f t="shared" ca="1" si="4"/>
        <v>18.787068493150684</v>
      </c>
      <c r="O16">
        <f t="shared" ca="1" si="4"/>
        <v>4.6967671232876702</v>
      </c>
      <c r="P16">
        <f t="shared" ca="1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175</v>
      </c>
      <c r="D18">
        <f ca="1">Finance!D43</f>
        <v>267.23173980489071</v>
      </c>
      <c r="E18">
        <f ca="1">Finance!E43</f>
        <v>1105.9854964753349</v>
      </c>
      <c r="F18">
        <f ca="1">Finance!F43</f>
        <v>1850</v>
      </c>
      <c r="G18">
        <f ca="1">Finance!G43</f>
        <v>1760.7568575031187</v>
      </c>
      <c r="H18">
        <f ca="1">Finance!H43</f>
        <v>1518.1138332868888</v>
      </c>
      <c r="I18">
        <f ca="1">Finance!I43</f>
        <v>1108.5660491510109</v>
      </c>
      <c r="J18">
        <f ca="1">Finance!J43</f>
        <v>671.61829573502905</v>
      </c>
      <c r="K18">
        <f ca="1">Finance!K43</f>
        <v>220.22489622789323</v>
      </c>
      <c r="L18">
        <f ca="1">Finance!L43</f>
        <v>0</v>
      </c>
      <c r="M18">
        <f ca="1">Finance!M43</f>
        <v>0</v>
      </c>
      <c r="N18">
        <f ca="1">Finance!N43</f>
        <v>0</v>
      </c>
      <c r="O18">
        <f ca="1">Finance!O43</f>
        <v>0</v>
      </c>
      <c r="P18">
        <f ca="1">Finance!P43</f>
        <v>0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 ca="1">SUM(D16,D18:D19)</f>
        <v>304.42293909753914</v>
      </c>
      <c r="E20">
        <f t="shared" ref="E20:P20" ca="1" si="5">SUM(E16,E18:E19)</f>
        <v>1145.4081677255422</v>
      </c>
      <c r="F20">
        <f t="shared" ca="1" si="5"/>
        <v>1891.7880315252198</v>
      </c>
      <c r="G20">
        <f t="shared" ca="1" si="5"/>
        <v>1816.7940887280708</v>
      </c>
      <c r="H20">
        <f t="shared" ca="1" si="5"/>
        <v>1588.5507011250643</v>
      </c>
      <c r="I20">
        <f t="shared" ca="1" si="5"/>
        <v>1193.5620167307097</v>
      </c>
      <c r="J20">
        <f t="shared" ca="1" si="5"/>
        <v>759.60047616403017</v>
      </c>
      <c r="K20">
        <f t="shared" ca="1" si="5"/>
        <v>311.37246227715497</v>
      </c>
      <c r="L20">
        <f t="shared" ca="1" si="5"/>
        <v>94.502874806737992</v>
      </c>
      <c r="M20">
        <f t="shared" ca="1" si="5"/>
        <v>98.059502089662828</v>
      </c>
      <c r="N20">
        <f t="shared" ca="1" si="5"/>
        <v>75.390842078056295</v>
      </c>
      <c r="O20">
        <f t="shared" ca="1" si="5"/>
        <v>4.6967671232876702</v>
      </c>
      <c r="P20">
        <f t="shared" ca="1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 ca="1">Calcs!D15</f>
        <v>139.27673629218265</v>
      </c>
      <c r="E22">
        <f ca="1">Calcs!E15</f>
        <v>576.42123816594187</v>
      </c>
      <c r="F22">
        <f ca="1">Calcs!F15</f>
        <v>964.18921767549091</v>
      </c>
      <c r="G22">
        <f ca="1">Calcs!G15</f>
        <v>912.53554034991805</v>
      </c>
      <c r="H22">
        <f ca="1">Calcs!H15</f>
        <v>1009.9065743641847</v>
      </c>
      <c r="I22">
        <f ca="1">Calcs!I15</f>
        <v>1128.5501172015727</v>
      </c>
      <c r="J22">
        <f ca="1">Calcs!J15</f>
        <v>1181.8302985088994</v>
      </c>
      <c r="K22">
        <f ca="1">Calcs!K15</f>
        <v>1008.0972609097876</v>
      </c>
      <c r="L22">
        <f ca="1">Calcs!L15</f>
        <v>622.97727193570961</v>
      </c>
      <c r="M22">
        <f ca="1">Calcs!M15</f>
        <v>242.06046236074087</v>
      </c>
      <c r="N22">
        <f ca="1">Calcs!N15</f>
        <v>22.18132067503808</v>
      </c>
      <c r="O22">
        <f ca="1">Calcs!O15</f>
        <v>7.1701008219177815</v>
      </c>
      <c r="P22">
        <f ca="1">Calcs!P15</f>
        <v>6.9999999999970974E-2</v>
      </c>
    </row>
    <row r="23" spans="1:16" ht="15" customHeight="1" x14ac:dyDescent="0.45">
      <c r="A23"/>
      <c r="B23" s="16" t="s">
        <v>145</v>
      </c>
      <c r="D23">
        <f ca="1">D20+D22</f>
        <v>443.69967538972179</v>
      </c>
      <c r="E23">
        <f t="shared" ref="E23:P23" ca="1" si="6">E20+E22</f>
        <v>1721.8294058914839</v>
      </c>
      <c r="F23">
        <f t="shared" ca="1" si="6"/>
        <v>2855.9772492007105</v>
      </c>
      <c r="G23">
        <f t="shared" ca="1" si="6"/>
        <v>2729.329629077989</v>
      </c>
      <c r="H23">
        <f t="shared" ca="1" si="6"/>
        <v>2598.4572754892488</v>
      </c>
      <c r="I23">
        <f t="shared" ca="1" si="6"/>
        <v>2322.1121339322826</v>
      </c>
      <c r="J23">
        <f t="shared" ca="1" si="6"/>
        <v>1941.4307746729296</v>
      </c>
      <c r="K23">
        <f t="shared" ca="1" si="6"/>
        <v>1319.4697231869425</v>
      </c>
      <c r="L23">
        <f t="shared" ca="1" si="6"/>
        <v>717.48014674244757</v>
      </c>
      <c r="M23">
        <f t="shared" ca="1" si="6"/>
        <v>340.1199644504037</v>
      </c>
      <c r="N23">
        <f t="shared" ca="1" si="6"/>
        <v>97.572162753094375</v>
      </c>
      <c r="O23">
        <f t="shared" ca="1" si="6"/>
        <v>11.866867945205453</v>
      </c>
      <c r="P23">
        <f t="shared" ca="1" si="6"/>
        <v>6.9999999999970974E-2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 ca="1">IF(ROUND(D12,2)=ROUND(D23,2),"OK",D12-D23)</f>
        <v>OK</v>
      </c>
      <c r="E25" s="66" t="str">
        <f t="shared" ref="E25:P25" ca="1" si="7">IF(ROUND(E12,2)=ROUND(E23,2),"OK",E12-E23)</f>
        <v>OK</v>
      </c>
      <c r="F25" s="66" t="str">
        <f t="shared" ca="1" si="7"/>
        <v>OK</v>
      </c>
      <c r="G25" s="66" t="str">
        <f t="shared" ca="1" si="7"/>
        <v>OK</v>
      </c>
      <c r="H25" s="66" t="str">
        <f t="shared" ca="1" si="7"/>
        <v>OK</v>
      </c>
      <c r="I25" s="66" t="str">
        <f t="shared" ca="1" si="7"/>
        <v>OK</v>
      </c>
      <c r="J25" s="66" t="str">
        <f t="shared" ca="1" si="7"/>
        <v>OK</v>
      </c>
      <c r="K25" s="66" t="str">
        <f t="shared" ca="1" si="7"/>
        <v>OK</v>
      </c>
      <c r="L25" s="66" t="str">
        <f t="shared" ca="1" si="7"/>
        <v>OK</v>
      </c>
      <c r="M25" s="66" t="str">
        <f t="shared" ca="1" si="7"/>
        <v>OK</v>
      </c>
      <c r="N25" s="66" t="str">
        <f t="shared" ca="1" si="7"/>
        <v>OK</v>
      </c>
      <c r="O25" s="66" t="str">
        <f t="shared" ca="1" si="7"/>
        <v>OK</v>
      </c>
      <c r="P25" s="66" t="str">
        <f t="shared" ca="1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4062E059-9922-4921-9D58-EB025DFE8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C5E486-15D4-47ED-828D-86050B1A61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19D83-AD2F-4C0C-97A8-5F47F02CD74A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