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3. Main Model - Returns to Equity Holders - Final/"/>
    </mc:Choice>
  </mc:AlternateContent>
  <xr:revisionPtr revIDLastSave="0" documentId="13_ncr:1_{B1EA08D2-53A5-488F-8B4B-D2778A112BD5}" xr6:coauthVersionLast="47" xr6:coauthVersionMax="47" xr10:uidLastSave="{00000000-0000-0000-0000-000000000000}"/>
  <bookViews>
    <workbookView xWindow="2363" yWindow="2363" windowWidth="16200" windowHeight="9982" firstSheet="1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53" i="2"/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D36" i="15"/>
  <c r="D37" i="15"/>
  <c r="D35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D24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7" i="18" l="1"/>
  <c r="I23" i="14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7" i="18" l="1"/>
  <c r="J23" i="14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7" i="18" l="1"/>
  <c r="M23" i="14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E28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D42" i="15" l="1"/>
  <c r="E42" i="15"/>
  <c r="E54" i="2" s="1"/>
  <c r="D54" i="2" l="1"/>
  <c r="D21" i="18"/>
  <c r="E21" i="18"/>
  <c r="F21" i="18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G14" i="17"/>
  <c r="H14" i="17"/>
  <c r="I14" i="17"/>
  <c r="J14" i="17"/>
  <c r="K14" i="17"/>
  <c r="L14" i="17"/>
  <c r="M14" i="17"/>
  <c r="N14" i="17"/>
  <c r="O14" i="17"/>
  <c r="P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G21" i="18"/>
  <c r="H21" i="18"/>
  <c r="I21" i="18"/>
  <c r="J21" i="18"/>
  <c r="K21" i="18"/>
  <c r="L21" i="18"/>
  <c r="M21" i="18"/>
  <c r="N21" i="18"/>
  <c r="O21" i="18"/>
  <c r="P21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6" i="15"/>
  <c r="H16" i="15"/>
  <c r="I16" i="15"/>
  <c r="J16" i="15"/>
  <c r="K16" i="15"/>
  <c r="L16" i="15"/>
  <c r="M16" i="15"/>
  <c r="N16" i="15"/>
  <c r="O16" i="15"/>
  <c r="P16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1" i="14"/>
  <c r="H21" i="14"/>
  <c r="I21" i="14"/>
  <c r="J21" i="14"/>
  <c r="K21" i="14"/>
  <c r="L21" i="14"/>
  <c r="M21" i="14"/>
  <c r="N21" i="14"/>
  <c r="O21" i="14"/>
  <c r="P21" i="14"/>
  <c r="G22" i="14"/>
  <c r="H22" i="14"/>
  <c r="I22" i="14"/>
  <c r="J22" i="14"/>
  <c r="K22" i="14"/>
  <c r="L22" i="14"/>
  <c r="M22" i="14"/>
  <c r="N22" i="14"/>
  <c r="O22" i="14"/>
  <c r="P22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<sst xmlns="http://schemas.openxmlformats.org/spreadsheetml/2006/main" count="354" uniqueCount="201">
  <si>
    <t>Project Finance Modeling - Oil and Gas Project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</si>
  <si>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</si>
  <si>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</si>
  <si>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</si>
  <si>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</si>
  <si>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</si>
  <si>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Modeling an income statement</t>
  </si>
  <si>
    <t>Company name</t>
  </si>
  <si>
    <t>Oil and gas project</t>
  </si>
  <si>
    <t>Modeling a balance sheet</t>
  </si>
  <si>
    <t>Date</t>
  </si>
  <si>
    <t>Modeling a cash flow statement</t>
  </si>
  <si>
    <t>Currency</t>
  </si>
  <si>
    <t>US$</t>
  </si>
  <si>
    <t>Modeling interest</t>
  </si>
  <si>
    <t>Units</t>
  </si>
  <si>
    <t>Millions</t>
  </si>
  <si>
    <t>Dealing with circular references</t>
  </si>
  <si>
    <t>Analyst Name</t>
  </si>
  <si>
    <t>Firstname Lastname</t>
  </si>
  <si>
    <t>Circular Switch</t>
  </si>
  <si>
    <t>Tab Structure</t>
  </si>
  <si>
    <t>Formatting</t>
  </si>
  <si>
    <t>Model 1</t>
  </si>
  <si>
    <t>Assumptions, income statement, balance sheet, cash flow statement</t>
  </si>
  <si>
    <t>Model 2</t>
  </si>
  <si>
    <t>Input</t>
  </si>
  <si>
    <t>Hard coded</t>
  </si>
  <si>
    <t>Formulas</t>
  </si>
  <si>
    <t>Sources and uses of funds</t>
  </si>
  <si>
    <t>Construction</t>
  </si>
  <si>
    <t>Operation</t>
  </si>
  <si>
    <t>Total</t>
  </si>
  <si>
    <t>Uses and sources of funds</t>
  </si>
  <si>
    <t>Non-interest cash soft costs spend</t>
  </si>
  <si>
    <t>Interest during construction</t>
  </si>
  <si>
    <t>Working capital</t>
  </si>
  <si>
    <t>Debt service reserve account initial funding</t>
  </si>
  <si>
    <t>Total uses of funds</t>
  </si>
  <si>
    <t>Percent of spend</t>
  </si>
  <si>
    <t>Spread over</t>
  </si>
  <si>
    <t xml:space="preserve">Commitment </t>
  </si>
  <si>
    <t>Rolled up</t>
  </si>
  <si>
    <t>LIBOR</t>
  </si>
  <si>
    <t>Interest rate</t>
  </si>
  <si>
    <t>fee</t>
  </si>
  <si>
    <t>interest years</t>
  </si>
  <si>
    <t>Average life</t>
  </si>
  <si>
    <t>Revolving credit facility / letter of credit</t>
  </si>
  <si>
    <t>Syndicated loan</t>
  </si>
  <si>
    <t>Equity - sponsor</t>
  </si>
  <si>
    <t>Total sources of funds</t>
  </si>
  <si>
    <t>Equity % capital</t>
  </si>
  <si>
    <t>Equity IRR</t>
  </si>
  <si>
    <t>Debt service coverage ratio</t>
  </si>
  <si>
    <t>LLCR (over project period)</t>
  </si>
  <si>
    <t>Key conversions</t>
  </si>
  <si>
    <t>NGL cubic feet per barrel of oil equivalent</t>
  </si>
  <si>
    <t>Assumptions</t>
  </si>
  <si>
    <t>Crude oil reserves MMBOE</t>
  </si>
  <si>
    <t>% production</t>
  </si>
  <si>
    <t>NGL reserves 1,000 cubic feet</t>
  </si>
  <si>
    <t>Brent oil price forecast</t>
  </si>
  <si>
    <t>Lifting costs per BOE US$</t>
  </si>
  <si>
    <t>Transportation costs per BOE US$</t>
  </si>
  <si>
    <t>Royalties / license costs % of revenue</t>
  </si>
  <si>
    <t>Operational expenditure</t>
  </si>
  <si>
    <t>Tax rate</t>
  </si>
  <si>
    <t xml:space="preserve">Capex </t>
  </si>
  <si>
    <t>Pre-spud</t>
  </si>
  <si>
    <t>Drilling</t>
  </si>
  <si>
    <t>Testing / completion</t>
  </si>
  <si>
    <t>Total development capex</t>
  </si>
  <si>
    <t>Soft costs</t>
  </si>
  <si>
    <t>Legal / accounting</t>
  </si>
  <si>
    <t>Petroleum consultants</t>
  </si>
  <si>
    <t>License purchase</t>
  </si>
  <si>
    <t>Cash capitalized interest</t>
  </si>
  <si>
    <t>Non-cash capitalized interest</t>
  </si>
  <si>
    <t xml:space="preserve"> Total soft costs spend</t>
  </si>
  <si>
    <t xml:space="preserve"> Total cash soft costs spend excluding interest</t>
  </si>
  <si>
    <t>Accounts receivable days (DSO)</t>
  </si>
  <si>
    <t>Inventory build up %</t>
  </si>
  <si>
    <t>Inventory days (DIO)</t>
  </si>
  <si>
    <t>Accounts payable days (DPO)</t>
  </si>
  <si>
    <t>Asset retirement obligation</t>
  </si>
  <si>
    <t>Discount rate</t>
  </si>
  <si>
    <t>Projected termination spend</t>
  </si>
  <si>
    <t>End</t>
  </si>
  <si>
    <t>Finance</t>
  </si>
  <si>
    <t>Year count</t>
  </si>
  <si>
    <t>Cash flow for debt servicing</t>
  </si>
  <si>
    <t>EBITDA</t>
  </si>
  <si>
    <t xml:space="preserve"> Unlevered free cash flow</t>
  </si>
  <si>
    <t xml:space="preserve"> Cash flow available for debt service</t>
  </si>
  <si>
    <t>Interest expense</t>
  </si>
  <si>
    <t xml:space="preserve"> Cash flow available for debt repayment</t>
  </si>
  <si>
    <t>Commitment fee</t>
  </si>
  <si>
    <t>Beginning balance</t>
  </si>
  <si>
    <t>Drawdown (repayment)</t>
  </si>
  <si>
    <t xml:space="preserve"> Ending balance</t>
  </si>
  <si>
    <t>Unused facility</t>
  </si>
  <si>
    <t>Total cash interest expense on revolving credit facility</t>
  </si>
  <si>
    <t>Cash flow to service syndicated loan</t>
  </si>
  <si>
    <t>Rolled up interest years</t>
  </si>
  <si>
    <t>Drawdown</t>
  </si>
  <si>
    <t>Repayment</t>
  </si>
  <si>
    <t>Rolled up interest</t>
  </si>
  <si>
    <t>Total cash interest expense on syndicated loan</t>
  </si>
  <si>
    <t>Next year's interest and debt repayment</t>
  </si>
  <si>
    <t>Beginning debt service reserve account</t>
  </si>
  <si>
    <t>Cash after debt servicing</t>
  </si>
  <si>
    <t>Dividends to equity holders</t>
  </si>
  <si>
    <t>Ending debt service reserve account</t>
  </si>
  <si>
    <t>Returns to equity holders</t>
  </si>
  <si>
    <t>Dividends</t>
  </si>
  <si>
    <t>Ending cash</t>
  </si>
  <si>
    <t>Free cash flows to equity holders</t>
  </si>
  <si>
    <t>Internal rate of return</t>
  </si>
  <si>
    <t>Revenues</t>
  </si>
  <si>
    <t>Revenues and variable costs</t>
  </si>
  <si>
    <t>Crude oil production MMBOE</t>
  </si>
  <si>
    <t>NGL production 1,000 cubic feet</t>
  </si>
  <si>
    <t>NGL production MMBOE</t>
  </si>
  <si>
    <t xml:space="preserve"> Total production MMBOE</t>
  </si>
  <si>
    <t>Crude oil revenues</t>
  </si>
  <si>
    <t>NGL revenues</t>
  </si>
  <si>
    <t>Total BOE revenues</t>
  </si>
  <si>
    <t xml:space="preserve"> Total variable costs per BOE US$</t>
  </si>
  <si>
    <t>Lifting costs</t>
  </si>
  <si>
    <t>Transportation costs</t>
  </si>
  <si>
    <t>Total variable costs US$MM</t>
  </si>
  <si>
    <t>Calculations</t>
  </si>
  <si>
    <t>Operating working capital</t>
  </si>
  <si>
    <t xml:space="preserve"> Operating working capital</t>
  </si>
  <si>
    <t>Shareholders' equity</t>
  </si>
  <si>
    <t>Net income</t>
  </si>
  <si>
    <t>Issuance</t>
  </si>
  <si>
    <t xml:space="preserve"> Ending</t>
  </si>
  <si>
    <t>Depletion and amortization</t>
  </si>
  <si>
    <t>Reserve assumptions</t>
  </si>
  <si>
    <t>Reserves</t>
  </si>
  <si>
    <t>Total oil reserves MMBOE</t>
  </si>
  <si>
    <t>NGL reserves MMBOE</t>
  </si>
  <si>
    <t>Total reserves MMBOE</t>
  </si>
  <si>
    <t>Total production MMBOE</t>
  </si>
  <si>
    <t>Total development costs</t>
  </si>
  <si>
    <t>Depletion per BOE</t>
  </si>
  <si>
    <t>Property, plant and equipment</t>
  </si>
  <si>
    <t>Capex</t>
  </si>
  <si>
    <t>Depletion</t>
  </si>
  <si>
    <t>Total soft costs</t>
  </si>
  <si>
    <t>Amortization per BOE</t>
  </si>
  <si>
    <t>Soft costs spend</t>
  </si>
  <si>
    <t>Amortization</t>
  </si>
  <si>
    <t>Net present value</t>
  </si>
  <si>
    <t>Asset retirement obligation asset</t>
  </si>
  <si>
    <t>Asset retirement obligation liability</t>
  </si>
  <si>
    <t>Accrued interest</t>
  </si>
  <si>
    <t>Asset retirement spend</t>
  </si>
  <si>
    <t>Income statement</t>
  </si>
  <si>
    <t xml:space="preserve"> Total cost of goods sold</t>
  </si>
  <si>
    <t xml:space="preserve"> Gross profit</t>
  </si>
  <si>
    <t>Royalties</t>
  </si>
  <si>
    <t>SG&amp;A Opex</t>
  </si>
  <si>
    <t xml:space="preserve"> Operating profit</t>
  </si>
  <si>
    <t>Interest on revolving credit facility</t>
  </si>
  <si>
    <t>Interest expense syndicated loan</t>
  </si>
  <si>
    <t>Interest on asset retirement obligation</t>
  </si>
  <si>
    <t xml:space="preserve"> Profit before tax</t>
  </si>
  <si>
    <t>Tax expense</t>
  </si>
  <si>
    <t xml:space="preserve"> Net income</t>
  </si>
  <si>
    <t>Balance sheet</t>
  </si>
  <si>
    <t>Cash</t>
  </si>
  <si>
    <t>Accounts receivable</t>
  </si>
  <si>
    <t>Inventory</t>
  </si>
  <si>
    <t xml:space="preserve"> Total current assets</t>
  </si>
  <si>
    <t>Net PP&amp;E</t>
  </si>
  <si>
    <t>Asset retirement asset</t>
  </si>
  <si>
    <t xml:space="preserve"> Total assets</t>
  </si>
  <si>
    <t>Accounts payable</t>
  </si>
  <si>
    <t xml:space="preserve"> Total current liabilities</t>
  </si>
  <si>
    <t xml:space="preserve"> Total liabilities</t>
  </si>
  <si>
    <t xml:space="preserve"> Total liabilities and equity</t>
  </si>
  <si>
    <t>Check</t>
  </si>
  <si>
    <t>Cash flow statement</t>
  </si>
  <si>
    <t>(Asset retirement payments)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</si>
  <si>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</si>
  <si>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</si>
  <si>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</si>
  <si>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</si>
  <si>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>(Cash soft asset expenditure)</t>
  </si>
  <si>
    <t xml:space="preserve"> Cash flow from investing activities</t>
  </si>
  <si>
    <t>Inc (dec) in revolving credit facility</t>
  </si>
  <si>
    <t>Inc (dec) in syndicated loan</t>
  </si>
  <si>
    <t>Issuance of equity</t>
  </si>
  <si>
    <t>(Dividends)</t>
  </si>
  <si>
    <t xml:space="preserve"> Cash flow from financing</t>
  </si>
  <si>
    <t>Beginning cash</t>
  </si>
  <si>
    <t>Net cash flow</t>
  </si>
  <si>
    <t xml:space="preserve"> Ending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</si>
</sst>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</v>
    <v>2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3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185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136</v>
      </c>
      <c r="D4">
        <f>IS!D27</f>
        <v>0</v>
      </c>
      <c r="E4">
        <f>IS!E27</f>
        <v>0</v>
      </c>
      <c r="F4">
        <f>IS!F27</f>
        <v>0</v>
      </c>
      <c r="G4">
        <f ca="1">IS!G27</f>
        <v>27.115082822194587</v>
      </c>
      <c r="H4">
        <f ca="1">IS!H27</f>
        <v>97.371034014266712</v>
      </c>
      <c r="I4">
        <f ca="1">IS!I27</f>
        <v>186.05808650071512</v>
      </c>
      <c r="J4">
        <f ca="1">IS!J27</f>
        <v>198.66679036874621</v>
      </c>
      <c r="K4">
        <f ca="1">IS!K27</f>
        <v>211.93691059874965</v>
      </c>
      <c r="L4">
        <f ca="1">IS!L27</f>
        <v>221.73086482073759</v>
      </c>
      <c r="M4">
        <f ca="1">IS!M27</f>
        <v>224.29340834002505</v>
      </c>
      <c r="N4">
        <f ca="1">IS!N27</f>
        <v>107.9912921528077</v>
      </c>
      <c r="O4">
        <f ca="1">IS!O27</f>
        <v>8.6348468901065392</v>
      </c>
      <c r="P4">
        <f ca="1">IS!P27</f>
        <v>-0.8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186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187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155.40909214438904</v>
      </c>
      <c r="H9">
        <f t="shared" ca="1" si="2"/>
        <v>351.60220768063323</v>
      </c>
      <c r="I9">
        <f t="shared" ca="1" si="2"/>
        <v>566.23545072606316</v>
      </c>
      <c r="J9">
        <f t="shared" ca="1" si="2"/>
        <v>579.01318551009274</v>
      </c>
      <c r="K9">
        <f t="shared" ca="1" si="2"/>
        <v>592.46247851105409</v>
      </c>
      <c r="L9">
        <f t="shared" ca="1" si="2"/>
        <v>602.44635587025778</v>
      </c>
      <c r="M9">
        <f t="shared" ca="1" si="2"/>
        <v>605.21021791499379</v>
      </c>
      <c r="N9">
        <f t="shared" ca="1" si="2"/>
        <v>303.02008096179816</v>
      </c>
      <c r="O9">
        <f t="shared" ca="1" si="2"/>
        <v>2.3457642774733998</v>
      </c>
      <c r="P9">
        <f t="shared" ca="1" si="2"/>
        <v>-0.8</v>
      </c>
    </row>
    <row r="10" spans="1:16" ht="15" customHeight="1" x14ac:dyDescent="0.45">
      <c r="A10"/>
    </row>
    <row r="11" spans="1:16" ht="15" customHeight="1" x14ac:dyDescent="0.45">
      <c r="A11"/>
      <c r="B11" s="16" t="s">
        <v>188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189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138.00662639096436</v>
      </c>
      <c r="H12">
        <f t="shared" ca="1" si="3"/>
        <v>335.46115562583873</v>
      </c>
      <c r="I12">
        <f t="shared" ca="1" si="3"/>
        <v>548.48519867126868</v>
      </c>
      <c r="J12">
        <f t="shared" ca="1" si="3"/>
        <v>579.01318551009274</v>
      </c>
      <c r="K12">
        <f t="shared" ca="1" si="3"/>
        <v>592.46247851105409</v>
      </c>
      <c r="L12">
        <f t="shared" ca="1" si="3"/>
        <v>602.44635587025778</v>
      </c>
      <c r="M12">
        <f t="shared" ca="1" si="3"/>
        <v>605.21021791499379</v>
      </c>
      <c r="N12">
        <f t="shared" ca="1" si="3"/>
        <v>327.87043383851051</v>
      </c>
      <c r="O12">
        <f t="shared" ca="1" si="3"/>
        <v>23.646066743226829</v>
      </c>
      <c r="P12">
        <f t="shared" ca="1" si="3"/>
        <v>6.3001008219178107</v>
      </c>
    </row>
    <row r="13" spans="1:16" ht="15" customHeight="1" x14ac:dyDescent="0.45">
      <c r="A13"/>
    </row>
    <row r="14" spans="1:16" ht="15" customHeight="1" x14ac:dyDescent="0.45">
      <c r="A14"/>
      <c r="B14" s="16" t="s">
        <v>190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191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192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193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194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-89.243142496881319</v>
      </c>
      <c r="H19">
        <f ca="1">BS!H18-BS!G18</f>
        <v>-242.64302421622983</v>
      </c>
      <c r="I19">
        <f ca="1">BS!I18-BS!H18</f>
        <v>-409.54778413587792</v>
      </c>
      <c r="J19">
        <f ca="1">BS!J18-BS!I18</f>
        <v>-436.94775341598188</v>
      </c>
      <c r="K19">
        <f ca="1">BS!K18-BS!J18</f>
        <v>-451.39339950713583</v>
      </c>
      <c r="L19">
        <f ca="1">BS!L18-BS!K18</f>
        <v>-220.22489622789323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195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196</v>
      </c>
      <c r="D21">
        <f>Calcs!D14</f>
        <v>0</v>
      </c>
      <c r="E21">
        <f>Calcs!E14</f>
        <v>0</v>
      </c>
      <c r="F21">
        <f>Calcs!F14</f>
        <v>0</v>
      </c>
      <c r="G21">
        <f ca="1">Calcs!G14</f>
        <v>-78.768760147767466</v>
      </c>
      <c r="H21">
        <f ca="1">Calcs!H14</f>
        <v>0</v>
      </c>
      <c r="I21">
        <f ca="1">Calcs!I14</f>
        <v>-67.414543663327038</v>
      </c>
      <c r="J21">
        <f ca="1">Calcs!J14</f>
        <v>-145.38660906141934</v>
      </c>
      <c r="K21">
        <f ca="1">Calcs!K14</f>
        <v>-385.66994819786152</v>
      </c>
      <c r="L21">
        <f ca="1">Calcs!L14</f>
        <v>-606.85085379481563</v>
      </c>
      <c r="M21">
        <f ca="1">Calcs!M14</f>
        <v>-605.21021791499379</v>
      </c>
      <c r="N21">
        <f ca="1">Calcs!N14</f>
        <v>-327.87043383851051</v>
      </c>
      <c r="O21">
        <f ca="1">Calcs!O14</f>
        <v>-23.646066743226836</v>
      </c>
      <c r="P21">
        <f ca="1">Calcs!P14</f>
        <v>-6.3001008219178107</v>
      </c>
    </row>
    <row r="22" spans="1:16" ht="15" customHeight="1" x14ac:dyDescent="0.45">
      <c r="B22" s="16" t="s">
        <v>197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-168.01190264464879</v>
      </c>
      <c r="H22">
        <f t="shared" ca="1" si="5"/>
        <v>-242.64302421622983</v>
      </c>
      <c r="I22">
        <f t="shared" ca="1" si="5"/>
        <v>-476.96232779920496</v>
      </c>
      <c r="J22">
        <f t="shared" ca="1" si="5"/>
        <v>-582.33436247740121</v>
      </c>
      <c r="K22">
        <f t="shared" ca="1" si="5"/>
        <v>-837.06334770499734</v>
      </c>
      <c r="L22">
        <f t="shared" ca="1" si="5"/>
        <v>-827.07575002270892</v>
      </c>
      <c r="M22">
        <f t="shared" ca="1" si="5"/>
        <v>-605.21021791499379</v>
      </c>
      <c r="N22">
        <f t="shared" ca="1" si="5"/>
        <v>-327.87043383851051</v>
      </c>
      <c r="O22">
        <f t="shared" ca="1" si="5"/>
        <v>-23.646066743226836</v>
      </c>
      <c r="P22">
        <f t="shared" ca="1" si="5"/>
        <v>-6.3001008219178107</v>
      </c>
    </row>
    <row r="23" spans="1:16" ht="15" customHeight="1" x14ac:dyDescent="0.45">
      <c r="A23"/>
    </row>
    <row r="24" spans="1:16" ht="15" customHeight="1" x14ac:dyDescent="0.45">
      <c r="A24"/>
      <c r="B24" s="16" t="s">
        <v>198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308.28043803202991</v>
      </c>
      <c r="I24">
        <f t="shared" ca="1" si="6"/>
        <v>401.0985694416388</v>
      </c>
      <c r="J24">
        <f t="shared" ca="1" si="6"/>
        <v>472.62144031370252</v>
      </c>
      <c r="K24">
        <f t="shared" ca="1" si="6"/>
        <v>469.30026334639405</v>
      </c>
      <c r="L24">
        <f t="shared" ca="1" si="6"/>
        <v>224.69939415245079</v>
      </c>
      <c r="M24">
        <f t="shared" ca="1" si="6"/>
        <v>6.9999999999652118E-2</v>
      </c>
      <c r="N24">
        <f t="shared" ca="1" si="6"/>
        <v>6.9999999999652118E-2</v>
      </c>
      <c r="O24">
        <f t="shared" ca="1" si="6"/>
        <v>6.9999999999652118E-2</v>
      </c>
      <c r="P24">
        <f t="shared" ca="1" si="6"/>
        <v>6.9999999999652118E-2</v>
      </c>
    </row>
    <row r="25" spans="1:16" ht="15" customHeight="1" x14ac:dyDescent="0.45">
      <c r="A25"/>
      <c r="B25" s="16" t="s">
        <v>199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-30.005276253684428</v>
      </c>
      <c r="H25">
        <f t="shared" ca="1" si="7"/>
        <v>92.818131409608895</v>
      </c>
      <c r="I25">
        <f t="shared" ca="1" si="7"/>
        <v>71.52287087206372</v>
      </c>
      <c r="J25">
        <f t="shared" ca="1" si="7"/>
        <v>-3.3211769673084746</v>
      </c>
      <c r="K25">
        <f t="shared" ca="1" si="7"/>
        <v>-244.60086919394325</v>
      </c>
      <c r="L25">
        <f t="shared" ca="1" si="7"/>
        <v>-224.62939415245114</v>
      </c>
      <c r="M25">
        <f t="shared" ca="1" si="7"/>
        <v>0</v>
      </c>
      <c r="N25">
        <f t="shared" ca="1" si="7"/>
        <v>0</v>
      </c>
      <c r="O25">
        <f t="shared" ca="1" si="7"/>
        <v>0</v>
      </c>
      <c r="P25">
        <f t="shared" ca="1" si="7"/>
        <v>0</v>
      </c>
    </row>
    <row r="26" spans="1:16" ht="15" customHeight="1" x14ac:dyDescent="0.45">
      <c r="A26"/>
      <c r="B26" s="16" t="s">
        <v>200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308.28043803202991</v>
      </c>
      <c r="H26">
        <f t="shared" ca="1" si="8"/>
        <v>401.0985694416388</v>
      </c>
      <c r="I26">
        <f t="shared" ca="1" si="8"/>
        <v>472.62144031370252</v>
      </c>
      <c r="J26">
        <f t="shared" ca="1" si="8"/>
        <v>469.30026334639405</v>
      </c>
      <c r="K26">
        <f t="shared" ca="1" si="8"/>
        <v>224.69939415245079</v>
      </c>
      <c r="L26">
        <f t="shared" ca="1" si="8"/>
        <v>6.9999999999652118E-2</v>
      </c>
      <c r="M26">
        <f t="shared" ca="1" si="8"/>
        <v>6.9999999999652118E-2</v>
      </c>
      <c r="N26">
        <f t="shared" ca="1" si="8"/>
        <v>6.9999999999652118E-2</v>
      </c>
      <c r="O26">
        <f t="shared" ca="1" si="8"/>
        <v>6.9999999999652118E-2</v>
      </c>
      <c r="P26">
        <f t="shared" ca="1" si="8"/>
        <v>6.9999999999652118E-2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3</v>
      </c>
      <c r="C4" s="82"/>
      <c r="D4" s="82"/>
      <c r="E4" s="82"/>
      <c r="F4" s="82"/>
      <c r="G4" s="82"/>
      <c r="H4" s="82"/>
      <c r="I4" s="82"/>
      <c r="K4" s="1"/>
      <c r="L4" s="82" t="s">
        <v>4</v>
      </c>
      <c r="M4" s="82"/>
      <c r="N4" s="82"/>
      <c r="O4" s="82"/>
      <c r="P4" s="82"/>
      <c r="Q4" s="40"/>
      <c r="R4" s="40"/>
    </row>
    <row r="5" spans="1:18" s="2" customFormat="1" ht="15" customHeight="1" x14ac:dyDescent="0.45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4" t="s">
        <v>8</v>
      </c>
      <c r="O5" s="84"/>
      <c r="P5" s="84"/>
      <c r="Q5" s="84"/>
      <c r="R5" s="40"/>
    </row>
    <row r="6" spans="1:18" s="2" customFormat="1" ht="15" customHeight="1" x14ac:dyDescent="0.45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5">
        <v>44196</v>
      </c>
      <c r="O6" s="85"/>
      <c r="P6" s="85"/>
      <c r="Q6" s="85"/>
      <c r="R6" s="40"/>
    </row>
    <row r="7" spans="1:18" s="2" customFormat="1" ht="15" customHeight="1" x14ac:dyDescent="0.45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84" t="s">
        <v>13</v>
      </c>
      <c r="O7" s="84"/>
      <c r="P7" s="84"/>
      <c r="Q7" s="84"/>
      <c r="R7" s="40"/>
    </row>
    <row r="8" spans="1:18" s="2" customFormat="1" ht="15" customHeight="1" x14ac:dyDescent="0.45">
      <c r="A8" s="18"/>
      <c r="B8" s="8" t="s">
        <v>5</v>
      </c>
      <c r="C8" s="18" t="s">
        <v>14</v>
      </c>
      <c r="D8" s="18"/>
      <c r="E8" s="18"/>
      <c r="F8" s="18"/>
      <c r="G8" s="18"/>
      <c r="H8" s="18"/>
      <c r="I8" s="18"/>
      <c r="K8" s="18"/>
      <c r="L8" s="9" t="s">
        <v>15</v>
      </c>
      <c r="M8" s="9"/>
      <c r="N8" s="84" t="s">
        <v>16</v>
      </c>
      <c r="O8" s="84"/>
      <c r="P8" s="84"/>
      <c r="Q8" s="84"/>
      <c r="R8" s="40"/>
    </row>
    <row r="9" spans="1:18" s="2" customFormat="1" ht="15" customHeight="1" x14ac:dyDescent="0.45">
      <c r="A9" s="41"/>
      <c r="B9" s="8" t="s">
        <v>5</v>
      </c>
      <c r="C9" s="18" t="s">
        <v>17</v>
      </c>
      <c r="D9" s="41"/>
      <c r="E9" s="41"/>
      <c r="F9" s="41"/>
      <c r="G9" s="41"/>
      <c r="H9" s="41"/>
      <c r="I9" s="41"/>
      <c r="K9" s="18"/>
      <c r="L9" s="9" t="s">
        <v>18</v>
      </c>
      <c r="M9" s="9"/>
      <c r="N9" s="84" t="s">
        <v>19</v>
      </c>
      <c r="O9" s="84"/>
      <c r="P9" s="84"/>
      <c r="Q9" s="84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20</v>
      </c>
      <c r="M10" s="9"/>
      <c r="N10" s="86">
        <v>1</v>
      </c>
      <c r="O10" s="86"/>
      <c r="P10" s="86"/>
      <c r="Q10" s="86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3" t="s">
        <v>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22</v>
      </c>
      <c r="P13" s="82"/>
      <c r="Q13" s="82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24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25</v>
      </c>
      <c r="C15" s="81"/>
      <c r="D15" s="81" t="s">
        <v>24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26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27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28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7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29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33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34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35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  <c r="G8" t="e" vm="1">
        <f>[1]!FR(F8)</f>
        <v>#VALUE!</v>
      </c>
    </row>
    <row r="9" spans="1:16" ht="15" customHeight="1" x14ac:dyDescent="0.45">
      <c r="B9" s="16" t="s">
        <v>36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37</v>
      </c>
      <c r="F10" s="63">
        <f>C15/7+C15*H15</f>
        <v>338.28571428571428</v>
      </c>
    </row>
    <row r="11" spans="1:16" ht="15" customHeight="1" x14ac:dyDescent="0.45">
      <c r="B11" s="67" t="s">
        <v>38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39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40</v>
      </c>
      <c r="H12" s="66"/>
      <c r="I12" s="66" t="s">
        <v>41</v>
      </c>
      <c r="J12" s="66" t="s">
        <v>42</v>
      </c>
    </row>
    <row r="13" spans="1:16" ht="15" customHeight="1" x14ac:dyDescent="0.45">
      <c r="G13" s="66" t="s">
        <v>43</v>
      </c>
      <c r="H13" s="66" t="s">
        <v>44</v>
      </c>
      <c r="I13" s="66" t="s">
        <v>45</v>
      </c>
      <c r="J13" s="66" t="s">
        <v>46</v>
      </c>
      <c r="K13" s="66" t="s">
        <v>47</v>
      </c>
    </row>
    <row r="14" spans="1:16" ht="15" customHeight="1" x14ac:dyDescent="0.45">
      <c r="B14" s="16" t="s">
        <v>48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49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50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51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52</v>
      </c>
      <c r="C19" s="61"/>
      <c r="D19" s="61"/>
      <c r="E19" s="61"/>
      <c r="F19" s="61"/>
    </row>
    <row r="20" spans="1:17" ht="15" customHeight="1" x14ac:dyDescent="0.45">
      <c r="B20" s="16" t="s">
        <v>53</v>
      </c>
      <c r="C20" s="61"/>
      <c r="D20" s="61"/>
    </row>
    <row r="21" spans="1:17" ht="15" customHeight="1" x14ac:dyDescent="0.45">
      <c r="B21" s="16" t="s">
        <v>43</v>
      </c>
      <c r="D21" s="62">
        <v>0.02</v>
      </c>
    </row>
    <row r="22" spans="1:17" ht="15" customHeight="1" x14ac:dyDescent="0.45">
      <c r="B22" s="16" t="s">
        <v>54</v>
      </c>
      <c r="D22" s="71">
        <v>1.3</v>
      </c>
    </row>
    <row r="23" spans="1:17" ht="15" customHeight="1" x14ac:dyDescent="0.45">
      <c r="B23" s="16" t="s">
        <v>55</v>
      </c>
      <c r="D23" s="72"/>
    </row>
    <row r="25" spans="1:17" ht="15" customHeight="1" x14ac:dyDescent="0.45">
      <c r="A25" s="15" t="s">
        <v>56</v>
      </c>
    </row>
    <row r="26" spans="1:17" ht="15" customHeight="1" x14ac:dyDescent="0.45">
      <c r="B26" s="16" t="s">
        <v>57</v>
      </c>
      <c r="E26" s="63">
        <v>5800</v>
      </c>
    </row>
    <row r="28" spans="1:17" ht="15" customHeight="1" x14ac:dyDescent="0.45">
      <c r="A28" s="15" t="s">
        <v>58</v>
      </c>
    </row>
    <row r="29" spans="1:17" ht="15" customHeight="1" x14ac:dyDescent="0.45">
      <c r="B29" s="16" t="s">
        <v>59</v>
      </c>
      <c r="F29" s="63">
        <v>59.6</v>
      </c>
    </row>
    <row r="30" spans="1:17" ht="15" customHeight="1" x14ac:dyDescent="0.45">
      <c r="B30" s="16" t="s">
        <v>60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61</v>
      </c>
      <c r="F32" s="63">
        <f>F29*50%*5800/1000</f>
        <v>172.84</v>
      </c>
    </row>
    <row r="33" spans="1:17" ht="15" customHeight="1" x14ac:dyDescent="0.45">
      <c r="B33" s="16" t="s">
        <v>60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62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63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64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65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66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67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68</v>
      </c>
      <c r="B43"/>
    </row>
    <row r="44" spans="1:17" ht="15" customHeight="1" x14ac:dyDescent="0.45">
      <c r="A44"/>
      <c r="B44" s="16" t="s">
        <v>69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70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71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72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73</v>
      </c>
      <c r="B49"/>
    </row>
    <row r="50" spans="1:16" ht="15" customHeight="1" x14ac:dyDescent="0.45">
      <c r="A50"/>
      <c r="B50" s="16" t="s">
        <v>74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75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76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77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 vm="1">
        <f>[1]!FR(F53)</f>
        <v>#VALUE!</v>
      </c>
    </row>
    <row r="54" spans="1:16" ht="15" customHeight="1" x14ac:dyDescent="0.45">
      <c r="A54"/>
      <c r="B54" s="16" t="s">
        <v>78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79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80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36</v>
      </c>
    </row>
    <row r="60" spans="1:16" ht="15" customHeight="1" x14ac:dyDescent="0.45">
      <c r="B60" s="16" t="s">
        <v>81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82</v>
      </c>
      <c r="F61" s="62">
        <v>0.5</v>
      </c>
    </row>
    <row r="62" spans="1:16" ht="15" customHeight="1" x14ac:dyDescent="0.45">
      <c r="B62" s="16" t="s">
        <v>83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84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85</v>
      </c>
    </row>
    <row r="66" spans="1:16" ht="15" customHeight="1" x14ac:dyDescent="0.45">
      <c r="B66" s="16" t="s">
        <v>86</v>
      </c>
      <c r="D66" s="62">
        <v>0.06</v>
      </c>
    </row>
    <row r="67" spans="1:16" ht="15" customHeight="1" x14ac:dyDescent="0.45">
      <c r="B67" s="16" t="s">
        <v>87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88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6"/>
  <sheetViews>
    <sheetView tabSelected="1" zoomScaleNormal="100" zoomScaleSheetLayoutView="150" workbookViewId="0">
      <pane xSplit="2" ySplit="2" topLeftCell="C10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16" width="12.73046875" customWidth="1"/>
  </cols>
  <sheetData>
    <row r="1" spans="1:16" s="46" customFormat="1" ht="45" customHeight="1" x14ac:dyDescent="0.85">
      <c r="A1" s="5" t="s">
        <v>89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32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90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91</v>
      </c>
    </row>
    <row r="7" spans="1:16" ht="15" customHeight="1" x14ac:dyDescent="0.45">
      <c r="B7" s="16" t="s">
        <v>92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-6.7787707055486468</v>
      </c>
      <c r="H8">
        <f ca="1">IS!H26</f>
        <v>-24.342758503566678</v>
      </c>
      <c r="I8">
        <f ca="1">IS!I26</f>
        <v>-46.514521625178787</v>
      </c>
      <c r="J8">
        <f ca="1">IS!J26</f>
        <v>-49.666697592186551</v>
      </c>
      <c r="K8">
        <f ca="1">IS!K26</f>
        <v>-52.984227649687412</v>
      </c>
      <c r="L8">
        <f ca="1">IS!L26</f>
        <v>-55.432716205184398</v>
      </c>
      <c r="M8">
        <f ca="1">IS!M26</f>
        <v>-56.073352085006263</v>
      </c>
      <c r="N8">
        <f ca="1">IS!N26</f>
        <v>-26.997823038201929</v>
      </c>
      <c r="O8">
        <f ca="1">IS!O26</f>
        <v>-2.1587117225266348</v>
      </c>
      <c r="P8">
        <f ca="1">IS!P26</f>
        <v>0.2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93</v>
      </c>
      <c r="G13">
        <f t="shared" ref="G13:P13" ca="1" si="3">SUM(G7:G12)</f>
        <v>211.22176354102675</v>
      </c>
      <c r="H13">
        <f t="shared" ca="1" si="3"/>
        <v>402.03856944163891</v>
      </c>
      <c r="I13">
        <f t="shared" ca="1" si="3"/>
        <v>602.01879632002681</v>
      </c>
      <c r="J13">
        <f t="shared" ca="1" si="3"/>
        <v>615.6168724078135</v>
      </c>
      <c r="K13">
        <f t="shared" ca="1" si="3"/>
        <v>611.2993423503126</v>
      </c>
      <c r="L13">
        <f t="shared" ca="1" si="3"/>
        <v>607.85085379481563</v>
      </c>
      <c r="M13">
        <f t="shared" ca="1" si="3"/>
        <v>606.21021791499379</v>
      </c>
      <c r="N13">
        <f t="shared" ca="1" si="3"/>
        <v>328.87043383851051</v>
      </c>
      <c r="O13">
        <f t="shared" ca="1" si="3"/>
        <v>24.646066743226836</v>
      </c>
      <c r="P13">
        <f t="shared" ca="1" si="3"/>
        <v>7.3001008219178107</v>
      </c>
    </row>
    <row r="14" spans="1:16" ht="15" customHeight="1" x14ac:dyDescent="0.45">
      <c r="B14" s="16" t="s">
        <v>54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94</v>
      </c>
      <c r="G15">
        <f t="shared" ref="G15:O15" ca="1" si="4">G13/G14</f>
        <v>162.47827964694363</v>
      </c>
      <c r="H15">
        <f t="shared" ca="1" si="4"/>
        <v>309.26043803202992</v>
      </c>
      <c r="I15">
        <f t="shared" ca="1" si="4"/>
        <v>463.09138178463598</v>
      </c>
      <c r="J15">
        <f t="shared" ca="1" si="4"/>
        <v>473.5514403137027</v>
      </c>
      <c r="K15">
        <f t="shared" ca="1" si="4"/>
        <v>470.23026334639428</v>
      </c>
      <c r="L15">
        <f t="shared" ca="1" si="4"/>
        <v>467.57757984216585</v>
      </c>
      <c r="M15">
        <f t="shared" ca="1" si="4"/>
        <v>466.31555224230289</v>
      </c>
      <c r="N15">
        <f t="shared" ca="1" si="4"/>
        <v>252.97725679885423</v>
      </c>
      <c r="O15">
        <f t="shared" ca="1" si="4"/>
        <v>18.958512879405259</v>
      </c>
      <c r="P15">
        <f t="shared" ref="P15" ca="1" si="5">P13/P14</f>
        <v>5.6154621707060084</v>
      </c>
    </row>
    <row r="16" spans="1:16" ht="15" customHeight="1" x14ac:dyDescent="0.45">
      <c r="B16" s="16" t="s">
        <v>95</v>
      </c>
      <c r="G16">
        <f t="shared" ref="G16:P16" ca="1" si="6">IF(switch=1,G30+G48,0)</f>
        <v>-73.215137150062375</v>
      </c>
      <c r="H16">
        <f t="shared" ca="1" si="6"/>
        <v>-66.577413815800156</v>
      </c>
      <c r="I16">
        <f t="shared" ca="1" si="6"/>
        <v>-53.533597648757997</v>
      </c>
      <c r="J16">
        <f t="shared" ca="1" si="6"/>
        <v>-36.603686897720799</v>
      </c>
      <c r="K16">
        <f t="shared" ca="1" si="6"/>
        <v>-18.836863839258445</v>
      </c>
      <c r="L16">
        <f t="shared" ca="1" si="6"/>
        <v>-5.404497924557865</v>
      </c>
      <c r="M16">
        <f t="shared" ca="1" si="6"/>
        <v>-1</v>
      </c>
      <c r="N16">
        <f t="shared" ca="1" si="6"/>
        <v>-1</v>
      </c>
      <c r="O16">
        <f t="shared" ca="1" si="6"/>
        <v>-1</v>
      </c>
      <c r="P16">
        <f t="shared" ca="1" si="6"/>
        <v>-1</v>
      </c>
    </row>
    <row r="17" spans="1:16" ht="15" customHeight="1" x14ac:dyDescent="0.45">
      <c r="B17" s="16" t="s">
        <v>96</v>
      </c>
      <c r="G17">
        <f t="shared" ref="G17:O17" ca="1" si="7">G15+G16</f>
        <v>89.263142496881258</v>
      </c>
      <c r="H17">
        <f t="shared" ca="1" si="7"/>
        <v>242.68302421622977</v>
      </c>
      <c r="I17">
        <f t="shared" ca="1" si="7"/>
        <v>409.55778413587797</v>
      </c>
      <c r="J17">
        <f t="shared" ca="1" si="7"/>
        <v>436.94775341598188</v>
      </c>
      <c r="K17">
        <f t="shared" ca="1" si="7"/>
        <v>451.39339950713583</v>
      </c>
      <c r="L17">
        <f t="shared" ca="1" si="7"/>
        <v>462.17308191760799</v>
      </c>
      <c r="M17">
        <f t="shared" ca="1" si="7"/>
        <v>465.31555224230289</v>
      </c>
      <c r="N17">
        <f t="shared" ca="1" si="7"/>
        <v>251.97725679885423</v>
      </c>
      <c r="O17">
        <f t="shared" ca="1" si="7"/>
        <v>17.958512879405259</v>
      </c>
      <c r="P17">
        <f t="shared" ref="P17" ca="1" si="8">P15+P16</f>
        <v>4.6154621707060084</v>
      </c>
    </row>
    <row r="19" spans="1:16" ht="15" customHeight="1" x14ac:dyDescent="0.45">
      <c r="A19" s="15" t="s">
        <v>48</v>
      </c>
    </row>
    <row r="20" spans="1:16" ht="15" customHeight="1" x14ac:dyDescent="0.45">
      <c r="B20" s="16" t="s">
        <v>44</v>
      </c>
      <c r="C20" s="61">
        <f>'S&amp;U'!H14</f>
        <v>0.04</v>
      </c>
    </row>
    <row r="21" spans="1:16" ht="15" customHeight="1" x14ac:dyDescent="0.45">
      <c r="B21" s="16" t="s">
        <v>97</v>
      </c>
      <c r="C21" s="61">
        <f>'S&amp;U'!I14</f>
        <v>0.01</v>
      </c>
    </row>
    <row r="23" spans="1:16" ht="15" customHeight="1" x14ac:dyDescent="0.45">
      <c r="B23" s="16" t="s">
        <v>98</v>
      </c>
      <c r="D23">
        <f t="shared" ref="D23:P23" si="9">C25</f>
        <v>0</v>
      </c>
      <c r="E23">
        <f t="shared" si="9"/>
        <v>0</v>
      </c>
      <c r="F23">
        <f t="shared" si="9"/>
        <v>0</v>
      </c>
      <c r="G23">
        <f t="shared" si="9"/>
        <v>0</v>
      </c>
      <c r="H23">
        <f t="shared" ca="1" si="9"/>
        <v>0</v>
      </c>
      <c r="I23">
        <f t="shared" ca="1" si="9"/>
        <v>0</v>
      </c>
      <c r="J23">
        <f t="shared" ca="1" si="9"/>
        <v>0</v>
      </c>
      <c r="K23">
        <f t="shared" ca="1" si="9"/>
        <v>0</v>
      </c>
      <c r="L23">
        <f t="shared" ca="1" si="9"/>
        <v>0</v>
      </c>
      <c r="M23">
        <f t="shared" ca="1" si="9"/>
        <v>0</v>
      </c>
      <c r="N23">
        <f t="shared" ca="1" si="9"/>
        <v>0</v>
      </c>
      <c r="O23">
        <f t="shared" ca="1" si="9"/>
        <v>0</v>
      </c>
      <c r="P23">
        <f t="shared" ca="1" si="9"/>
        <v>0</v>
      </c>
    </row>
    <row r="24" spans="1:16" ht="15" customHeight="1" x14ac:dyDescent="0.45">
      <c r="B24" s="16" t="s">
        <v>99</v>
      </c>
      <c r="G24">
        <f t="shared" ref="G24:P24" ca="1" si="10">-MIN(G15,G23)</f>
        <v>0</v>
      </c>
      <c r="H24">
        <f t="shared" ca="1" si="10"/>
        <v>0</v>
      </c>
      <c r="I24">
        <f t="shared" ca="1" si="10"/>
        <v>0</v>
      </c>
      <c r="J24">
        <f t="shared" ca="1" si="10"/>
        <v>0</v>
      </c>
      <c r="K24">
        <f t="shared" ca="1" si="10"/>
        <v>0</v>
      </c>
      <c r="L24">
        <f t="shared" ca="1" si="10"/>
        <v>0</v>
      </c>
      <c r="M24">
        <f t="shared" ca="1" si="10"/>
        <v>0</v>
      </c>
      <c r="N24">
        <f t="shared" ca="1" si="10"/>
        <v>0</v>
      </c>
      <c r="O24">
        <f t="shared" ca="1" si="10"/>
        <v>0</v>
      </c>
      <c r="P24">
        <f t="shared" ca="1" si="10"/>
        <v>0</v>
      </c>
    </row>
    <row r="25" spans="1:16" ht="15" customHeight="1" x14ac:dyDescent="0.45">
      <c r="B25" s="16" t="s">
        <v>100</v>
      </c>
      <c r="C25" s="63">
        <v>0</v>
      </c>
      <c r="D25">
        <f t="shared" ref="D25:P25" si="11">SUM(D23:D24)</f>
        <v>0</v>
      </c>
      <c r="E25">
        <f t="shared" si="11"/>
        <v>0</v>
      </c>
      <c r="F25">
        <f t="shared" si="11"/>
        <v>0</v>
      </c>
      <c r="G25">
        <f t="shared" ca="1" si="11"/>
        <v>0</v>
      </c>
      <c r="H25">
        <f t="shared" ca="1" si="11"/>
        <v>0</v>
      </c>
      <c r="I25">
        <f t="shared" ca="1" si="11"/>
        <v>0</v>
      </c>
      <c r="J25">
        <f t="shared" ca="1" si="11"/>
        <v>0</v>
      </c>
      <c r="K25">
        <f t="shared" ca="1" si="11"/>
        <v>0</v>
      </c>
      <c r="L25">
        <f t="shared" ca="1" si="11"/>
        <v>0</v>
      </c>
      <c r="M25">
        <f t="shared" ca="1" si="11"/>
        <v>0</v>
      </c>
      <c r="N25">
        <f t="shared" ca="1" si="11"/>
        <v>0</v>
      </c>
      <c r="O25">
        <f t="shared" ca="1" si="11"/>
        <v>0</v>
      </c>
      <c r="P25">
        <f t="shared" ca="1" si="11"/>
        <v>0</v>
      </c>
    </row>
    <row r="26" spans="1:16" ht="15" customHeight="1" x14ac:dyDescent="0.45">
      <c r="B26" s="16" t="s">
        <v>95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101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97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102</v>
      </c>
      <c r="D30">
        <f t="shared" ref="D30:P30" si="12">IF(D4&gt;$C$35,D26+D29,0)</f>
        <v>-1</v>
      </c>
      <c r="E30">
        <f t="shared" si="12"/>
        <v>-1</v>
      </c>
      <c r="F30">
        <f t="shared" si="12"/>
        <v>-1</v>
      </c>
      <c r="G30">
        <f t="shared" ca="1" si="12"/>
        <v>-1</v>
      </c>
      <c r="H30">
        <f t="shared" ca="1" si="12"/>
        <v>-1</v>
      </c>
      <c r="I30">
        <f t="shared" ca="1" si="12"/>
        <v>-1</v>
      </c>
      <c r="J30">
        <f t="shared" ca="1" si="12"/>
        <v>-1</v>
      </c>
      <c r="K30">
        <f t="shared" ca="1" si="12"/>
        <v>-1</v>
      </c>
      <c r="L30">
        <f t="shared" ca="1" si="12"/>
        <v>-1</v>
      </c>
      <c r="M30">
        <f t="shared" ca="1" si="12"/>
        <v>-1</v>
      </c>
      <c r="N30">
        <f t="shared" ca="1" si="12"/>
        <v>-1</v>
      </c>
      <c r="O30">
        <f t="shared" ca="1" si="12"/>
        <v>-1</v>
      </c>
      <c r="P30">
        <f t="shared" ca="1" si="12"/>
        <v>-1</v>
      </c>
    </row>
    <row r="32" spans="1:16" ht="15" customHeight="1" x14ac:dyDescent="0.45">
      <c r="B32" s="16" t="s">
        <v>103</v>
      </c>
      <c r="G32">
        <f ca="1">G17+G24</f>
        <v>89.263142496881258</v>
      </c>
      <c r="H32">
        <f t="shared" ref="H32:P32" ca="1" si="13">H17+H24</f>
        <v>242.68302421622977</v>
      </c>
      <c r="I32">
        <f t="shared" ca="1" si="13"/>
        <v>409.55778413587797</v>
      </c>
      <c r="J32">
        <f t="shared" ca="1" si="13"/>
        <v>436.94775341598188</v>
      </c>
      <c r="K32">
        <f t="shared" ca="1" si="13"/>
        <v>451.39339950713583</v>
      </c>
      <c r="L32">
        <f t="shared" ca="1" si="13"/>
        <v>462.17308191760799</v>
      </c>
      <c r="M32">
        <f t="shared" ca="1" si="13"/>
        <v>465.31555224230289</v>
      </c>
      <c r="N32">
        <f t="shared" ca="1" si="13"/>
        <v>251.97725679885423</v>
      </c>
      <c r="O32">
        <f t="shared" ca="1" si="13"/>
        <v>17.958512879405259</v>
      </c>
      <c r="P32">
        <f t="shared" ca="1" si="13"/>
        <v>4.6154621707060084</v>
      </c>
    </row>
    <row r="34" spans="1:16" ht="15" customHeight="1" x14ac:dyDescent="0.45">
      <c r="A34" s="15" t="s">
        <v>49</v>
      </c>
    </row>
    <row r="35" spans="1:16" ht="15" customHeight="1" x14ac:dyDescent="0.45">
      <c r="B35" s="16" t="s">
        <v>104</v>
      </c>
      <c r="C35" s="69">
        <f>'S&amp;U'!J15</f>
        <v>0</v>
      </c>
      <c r="D35" t="e" vm="1">
        <f>[1]!FR(C35)</f>
        <v>#VALUE!</v>
      </c>
    </row>
    <row r="36" spans="1:16" ht="15" customHeight="1" x14ac:dyDescent="0.45">
      <c r="B36" s="16" t="s">
        <v>44</v>
      </c>
      <c r="C36" s="61">
        <f>'S&amp;U'!H15</f>
        <v>0.04</v>
      </c>
      <c r="D36" t="e" vm="1">
        <f>[1]!FR(C36)</f>
        <v>#VALUE!</v>
      </c>
    </row>
    <row r="37" spans="1:16" ht="15" customHeight="1" x14ac:dyDescent="0.45">
      <c r="B37" s="16" t="s">
        <v>97</v>
      </c>
      <c r="C37" s="61">
        <f>'S&amp;U'!I15</f>
        <v>0.01</v>
      </c>
      <c r="D37" t="e" vm="1">
        <f>[1]!FR(C37)</f>
        <v>#VALUE!</v>
      </c>
    </row>
    <row r="38" spans="1:16" ht="15" customHeight="1" x14ac:dyDescent="0.45">
      <c r="C38" s="61"/>
    </row>
    <row r="39" spans="1:16" ht="15" customHeight="1" x14ac:dyDescent="0.45">
      <c r="B39" s="16" t="s">
        <v>98</v>
      </c>
      <c r="D39">
        <f>C43</f>
        <v>0</v>
      </c>
      <c r="E39">
        <f t="shared" ref="E39:G39" ca="1" si="14">D43</f>
        <v>267.23173980489071</v>
      </c>
      <c r="F39">
        <f t="shared" ca="1" si="14"/>
        <v>1105.9854964753349</v>
      </c>
      <c r="G39">
        <f t="shared" ca="1" si="14"/>
        <v>1850</v>
      </c>
      <c r="H39">
        <f t="shared" ref="H39:P39" ca="1" si="15">G43</f>
        <v>1760.7568575031187</v>
      </c>
      <c r="I39">
        <f t="shared" ca="1" si="15"/>
        <v>1518.1138332868888</v>
      </c>
      <c r="J39">
        <f t="shared" ca="1" si="15"/>
        <v>1108.5660491510109</v>
      </c>
      <c r="K39">
        <f t="shared" ca="1" si="15"/>
        <v>671.61829573502905</v>
      </c>
      <c r="L39">
        <f t="shared" ca="1" si="15"/>
        <v>220.22489622789323</v>
      </c>
      <c r="M39">
        <f t="shared" ca="1" si="15"/>
        <v>0</v>
      </c>
      <c r="N39">
        <f t="shared" ca="1" si="15"/>
        <v>0</v>
      </c>
      <c r="O39">
        <f t="shared" ca="1" si="15"/>
        <v>0</v>
      </c>
      <c r="P39">
        <f t="shared" ca="1" si="15"/>
        <v>0</v>
      </c>
    </row>
    <row r="40" spans="1:16" ht="15" customHeight="1" x14ac:dyDescent="0.45">
      <c r="B40" s="16" t="s">
        <v>105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106</v>
      </c>
      <c r="G41">
        <f ca="1">-MIN(G39,G32)</f>
        <v>-89.263142496881258</v>
      </c>
      <c r="H41">
        <f t="shared" ref="H41:P41" ca="1" si="16">-MIN(H39,H32)</f>
        <v>-242.68302421622977</v>
      </c>
      <c r="I41">
        <f t="shared" ca="1" si="16"/>
        <v>-409.55778413587797</v>
      </c>
      <c r="J41">
        <f t="shared" ca="1" si="16"/>
        <v>-436.94775341598188</v>
      </c>
      <c r="K41">
        <f t="shared" ca="1" si="16"/>
        <v>-451.39339950713583</v>
      </c>
      <c r="L41">
        <f t="shared" ca="1" si="16"/>
        <v>-220.22489622789323</v>
      </c>
      <c r="M41">
        <f t="shared" ca="1" si="16"/>
        <v>0</v>
      </c>
      <c r="N41">
        <f t="shared" ca="1" si="16"/>
        <v>0</v>
      </c>
      <c r="O41">
        <f t="shared" ca="1" si="16"/>
        <v>0</v>
      </c>
      <c r="P41">
        <f t="shared" ca="1" si="16"/>
        <v>0</v>
      </c>
    </row>
    <row r="42" spans="1:16" ht="15" customHeight="1" x14ac:dyDescent="0.45">
      <c r="B42" s="16" t="s">
        <v>107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100</v>
      </c>
      <c r="C43" s="63">
        <v>0</v>
      </c>
      <c r="D43">
        <f ca="1">SUM(D39:D42)</f>
        <v>267.23173980489071</v>
      </c>
      <c r="E43">
        <f t="shared" ref="E43:G43" ca="1" si="17">SUM(E39:E42)</f>
        <v>1105.9854964753349</v>
      </c>
      <c r="F43">
        <f t="shared" ca="1" si="17"/>
        <v>1850</v>
      </c>
      <c r="G43">
        <f t="shared" ca="1" si="17"/>
        <v>1760.7568575031187</v>
      </c>
      <c r="H43">
        <f t="shared" ref="H43" ca="1" si="18">SUM(H39:H42)</f>
        <v>1518.1138332868888</v>
      </c>
      <c r="I43">
        <f t="shared" ref="I43" ca="1" si="19">SUM(I39:I42)</f>
        <v>1108.5660491510109</v>
      </c>
      <c r="J43">
        <f t="shared" ref="J43" ca="1" si="20">SUM(J39:J42)</f>
        <v>671.61829573502905</v>
      </c>
      <c r="K43">
        <f t="shared" ref="K43" ca="1" si="21">SUM(K39:K42)</f>
        <v>220.22489622789323</v>
      </c>
      <c r="L43">
        <f t="shared" ref="L43" ca="1" si="22">SUM(L39:L42)</f>
        <v>0</v>
      </c>
      <c r="M43">
        <f t="shared" ref="M43" ca="1" si="23">SUM(M39:M42)</f>
        <v>0</v>
      </c>
      <c r="N43">
        <f t="shared" ref="N43" ca="1" si="24">SUM(N39:N42)</f>
        <v>0</v>
      </c>
      <c r="O43">
        <f t="shared" ref="O43" ca="1" si="25">SUM(O39:O42)</f>
        <v>0</v>
      </c>
      <c r="P43">
        <f t="shared" ref="P43" ca="1" si="26">SUM(P39:P42)</f>
        <v>0</v>
      </c>
    </row>
    <row r="44" spans="1:16" ht="15" customHeight="1" x14ac:dyDescent="0.45">
      <c r="B44" s="16" t="s">
        <v>95</v>
      </c>
      <c r="D44">
        <f ca="1">-$C$36*AVERAGE(C43:D43)</f>
        <v>-5.3446347960978144</v>
      </c>
      <c r="E44">
        <f t="shared" ref="E44:G44" ca="1" si="27">-$C$36*AVERAGE(D43:E43)</f>
        <v>-27.464344725604516</v>
      </c>
      <c r="F44">
        <f t="shared" ca="1" si="27"/>
        <v>-59.119709929506698</v>
      </c>
      <c r="G44">
        <f t="shared" ca="1" si="27"/>
        <v>-72.215137150062375</v>
      </c>
      <c r="H44">
        <f t="shared" ref="H44" ca="1" si="28">-$C$36*AVERAGE(G43:H43)</f>
        <v>-65.577413815800156</v>
      </c>
      <c r="I44">
        <f t="shared" ref="I44" ca="1" si="29">-$C$36*AVERAGE(H43:I43)</f>
        <v>-52.533597648757997</v>
      </c>
      <c r="J44">
        <f t="shared" ref="J44" ca="1" si="30">-$C$36*AVERAGE(I43:J43)</f>
        <v>-35.603686897720799</v>
      </c>
      <c r="K44">
        <f t="shared" ref="K44" ca="1" si="31">-$C$36*AVERAGE(J43:K43)</f>
        <v>-17.836863839258445</v>
      </c>
      <c r="L44">
        <f t="shared" ref="L44" ca="1" si="32">-$C$36*AVERAGE(K43:L43)</f>
        <v>-4.404497924557865</v>
      </c>
      <c r="M44">
        <f t="shared" ref="M44" ca="1" si="33">-$C$36*AVERAGE(L43:M43)</f>
        <v>0</v>
      </c>
      <c r="N44">
        <f t="shared" ref="N44" ca="1" si="34">-$C$36*AVERAGE(M43:N43)</f>
        <v>0</v>
      </c>
      <c r="O44">
        <f t="shared" ref="O44" ca="1" si="35">-$C$36*AVERAGE(N43:O43)</f>
        <v>0</v>
      </c>
      <c r="P44">
        <f t="shared" ref="P44" ca="1" si="36">-$C$36*AVERAGE(O43:P43)</f>
        <v>0</v>
      </c>
    </row>
    <row r="46" spans="1:16" ht="15" customHeight="1" x14ac:dyDescent="0.45">
      <c r="B46" s="16" t="s">
        <v>101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97</v>
      </c>
      <c r="D47">
        <f ca="1">-$C$37*AVERAGE(C46:D46)</f>
        <v>-17.163841300975545</v>
      </c>
      <c r="E47">
        <f t="shared" ref="E47:F47" ca="1" si="37">-$C$37*AVERAGE(D46:E46)</f>
        <v>-11.633913818598872</v>
      </c>
      <c r="F47">
        <f t="shared" ca="1" si="37"/>
        <v>-3.7200725176233256</v>
      </c>
    </row>
    <row r="48" spans="1:16" ht="15" customHeight="1" x14ac:dyDescent="0.45">
      <c r="B48" s="16" t="s">
        <v>108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-72.215137150062375</v>
      </c>
      <c r="H48">
        <f ca="1">IF(AND(H4&gt;$C$35,switch=1),Finance!H44+Finance!H47,0)</f>
        <v>-65.577413815800156</v>
      </c>
      <c r="I48">
        <f ca="1">IF(AND(I4&gt;$C$35,switch=1),Finance!I44+Finance!I47,0)</f>
        <v>-52.533597648757997</v>
      </c>
      <c r="J48">
        <f ca="1">IF(AND(J4&gt;$C$35,switch=1),Finance!J44+Finance!J47,0)</f>
        <v>-35.603686897720799</v>
      </c>
      <c r="K48">
        <f ca="1">IF(AND(K4&gt;$C$35,switch=1),Finance!K44+Finance!K47,0)</f>
        <v>-17.836863839258445</v>
      </c>
      <c r="L48">
        <f ca="1">IF(AND(L4&gt;$C$35,switch=1),Finance!L44+Finance!L47,0)</f>
        <v>-4.404497924557865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109</v>
      </c>
      <c r="G50">
        <f ca="1">-(H41+H48)</f>
        <v>308.26043803202992</v>
      </c>
      <c r="H50">
        <f t="shared" ref="H50:P50" ca="1" si="38">-(I41+I48)</f>
        <v>462.09138178463598</v>
      </c>
      <c r="I50">
        <f t="shared" ca="1" si="38"/>
        <v>472.5514403137027</v>
      </c>
      <c r="J50">
        <f t="shared" ca="1" si="38"/>
        <v>469.23026334639428</v>
      </c>
      <c r="K50">
        <f t="shared" ca="1" si="38"/>
        <v>224.62939415245108</v>
      </c>
      <c r="L50">
        <f t="shared" ca="1" si="38"/>
        <v>0</v>
      </c>
      <c r="M50">
        <f t="shared" ca="1" si="38"/>
        <v>0</v>
      </c>
      <c r="N50">
        <f t="shared" ca="1" si="38"/>
        <v>0</v>
      </c>
      <c r="O50">
        <f t="shared" ca="1" si="38"/>
        <v>0</v>
      </c>
      <c r="P50">
        <f t="shared" si="38"/>
        <v>0</v>
      </c>
    </row>
    <row r="52" spans="1:16" ht="15" customHeight="1" x14ac:dyDescent="0.45">
      <c r="B52" s="16" t="s">
        <v>110</v>
      </c>
      <c r="G52">
        <f>F55</f>
        <v>338.28571428571428</v>
      </c>
      <c r="H52">
        <f t="shared" ref="H52:P52" ca="1" si="39">G55</f>
        <v>308.26043803202992</v>
      </c>
      <c r="I52">
        <f t="shared" ca="1" si="39"/>
        <v>401.03856944163886</v>
      </c>
      <c r="J52">
        <f t="shared" ca="1" si="39"/>
        <v>472.5514403137027</v>
      </c>
      <c r="K52">
        <f t="shared" ca="1" si="39"/>
        <v>469.23026334639428</v>
      </c>
      <c r="L52">
        <f t="shared" ca="1" si="39"/>
        <v>224.62939415245108</v>
      </c>
      <c r="M52">
        <f t="shared" ca="1" si="39"/>
        <v>0</v>
      </c>
      <c r="N52">
        <f t="shared" ca="1" si="39"/>
        <v>0</v>
      </c>
      <c r="O52">
        <f t="shared" ca="1" si="39"/>
        <v>0</v>
      </c>
      <c r="P52">
        <f t="shared" ca="1" si="39"/>
        <v>0</v>
      </c>
    </row>
    <row r="53" spans="1:16" ht="15" customHeight="1" x14ac:dyDescent="0.45">
      <c r="B53" s="16" t="s">
        <v>111</v>
      </c>
      <c r="G53">
        <f ca="1">G13+G16+G24+G41</f>
        <v>48.743483894083099</v>
      </c>
      <c r="H53">
        <f t="shared" ref="H53:P53" ca="1" si="40">H13+H16+H24+H41</f>
        <v>92.77813140960896</v>
      </c>
      <c r="I53">
        <f t="shared" ca="1" si="40"/>
        <v>138.92741453539082</v>
      </c>
      <c r="J53">
        <f t="shared" ca="1" si="40"/>
        <v>142.06543209411086</v>
      </c>
      <c r="K53">
        <f t="shared" ca="1" si="40"/>
        <v>141.06907900391838</v>
      </c>
      <c r="L53">
        <f t="shared" ca="1" si="40"/>
        <v>382.22145964236455</v>
      </c>
      <c r="M53">
        <f t="shared" ca="1" si="40"/>
        <v>605.21021791499379</v>
      </c>
      <c r="N53">
        <f t="shared" ca="1" si="40"/>
        <v>327.87043383851051</v>
      </c>
      <c r="O53">
        <f t="shared" ca="1" si="40"/>
        <v>23.646066743226836</v>
      </c>
      <c r="P53">
        <f t="shared" ca="1" si="40"/>
        <v>6.3001008219178107</v>
      </c>
    </row>
    <row r="54" spans="1:16" ht="15" customHeight="1" x14ac:dyDescent="0.45">
      <c r="B54" s="16" t="s">
        <v>112</v>
      </c>
      <c r="G54">
        <f ca="1">-MAX(G52+G53-G50,0)</f>
        <v>-78.768760147767466</v>
      </c>
      <c r="H54">
        <f t="shared" ref="H54:P54" ca="1" si="41">-MAX(H52+H53-H50,0)</f>
        <v>0</v>
      </c>
      <c r="I54">
        <f t="shared" ca="1" si="41"/>
        <v>-67.414543663327038</v>
      </c>
      <c r="J54">
        <f t="shared" ca="1" si="41"/>
        <v>-145.38660906141934</v>
      </c>
      <c r="K54">
        <f t="shared" ca="1" si="41"/>
        <v>-385.66994819786152</v>
      </c>
      <c r="L54">
        <f t="shared" ca="1" si="41"/>
        <v>-606.85085379481563</v>
      </c>
      <c r="M54">
        <f t="shared" ca="1" si="41"/>
        <v>-605.21021791499379</v>
      </c>
      <c r="N54">
        <f t="shared" ca="1" si="41"/>
        <v>-327.87043383851051</v>
      </c>
      <c r="O54">
        <f t="shared" ca="1" si="41"/>
        <v>-23.646066743226836</v>
      </c>
      <c r="P54">
        <f t="shared" ca="1" si="41"/>
        <v>-6.3001008219178107</v>
      </c>
    </row>
    <row r="55" spans="1:16" ht="15" customHeight="1" x14ac:dyDescent="0.45">
      <c r="B55" s="16" t="s">
        <v>113</v>
      </c>
      <c r="F55">
        <f>'S&amp;U'!F10</f>
        <v>338.28571428571428</v>
      </c>
      <c r="G55">
        <f ca="1">SUM(G52:G54)</f>
        <v>308.26043803202992</v>
      </c>
      <c r="H55">
        <f t="shared" ref="H55:P55" ca="1" si="42">SUM(H52:H54)</f>
        <v>401.03856944163886</v>
      </c>
      <c r="I55">
        <f t="shared" ca="1" si="42"/>
        <v>472.5514403137027</v>
      </c>
      <c r="J55">
        <f t="shared" ca="1" si="42"/>
        <v>469.23026334639428</v>
      </c>
      <c r="K55">
        <f t="shared" ca="1" si="42"/>
        <v>224.62939415245108</v>
      </c>
      <c r="L55">
        <f t="shared" ca="1" si="42"/>
        <v>0</v>
      </c>
      <c r="M55">
        <f t="shared" ca="1" si="42"/>
        <v>0</v>
      </c>
      <c r="N55">
        <f t="shared" ca="1" si="42"/>
        <v>0</v>
      </c>
      <c r="O55">
        <f t="shared" ca="1" si="42"/>
        <v>0</v>
      </c>
      <c r="P55">
        <f t="shared" ca="1" si="42"/>
        <v>0</v>
      </c>
    </row>
    <row r="57" spans="1:16" ht="15" customHeight="1" x14ac:dyDescent="0.45">
      <c r="A57" s="15" t="s">
        <v>114</v>
      </c>
    </row>
    <row r="58" spans="1:16" ht="15" customHeight="1" x14ac:dyDescent="0.45">
      <c r="B58" s="16" t="s">
        <v>115</v>
      </c>
      <c r="E58" s="65"/>
      <c r="F58" s="65"/>
    </row>
    <row r="59" spans="1:16" ht="15" customHeight="1" x14ac:dyDescent="0.45">
      <c r="B59" s="16" t="s">
        <v>116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6" ht="15" customHeight="1" x14ac:dyDescent="0.45">
      <c r="B60" s="16" t="s">
        <v>117</v>
      </c>
    </row>
    <row r="61" spans="1:16" ht="15" customHeight="1" x14ac:dyDescent="0.45">
      <c r="B61" s="16" t="s">
        <v>118</v>
      </c>
      <c r="C61" s="61"/>
    </row>
    <row r="63" spans="1:16" ht="15" customHeight="1" x14ac:dyDescent="0.45">
      <c r="A63"/>
      <c r="B63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119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120</v>
      </c>
    </row>
    <row r="5" spans="1:16" ht="15" customHeight="1" x14ac:dyDescent="0.45">
      <c r="B5" s="16" t="s">
        <v>121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122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123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124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125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126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127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128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129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130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131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H5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133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134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135</v>
      </c>
    </row>
    <row r="11" spans="1:16" ht="15" customHeight="1" x14ac:dyDescent="0.45">
      <c r="A11" s="60"/>
      <c r="B11" s="16" t="s">
        <v>98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912.53554034991805</v>
      </c>
      <c r="I11">
        <f t="shared" ca="1" si="3"/>
        <v>1009.9065743641847</v>
      </c>
      <c r="J11">
        <f t="shared" ca="1" si="3"/>
        <v>1128.5501172015727</v>
      </c>
      <c r="K11">
        <f t="shared" ca="1" si="3"/>
        <v>1181.8302985088994</v>
      </c>
      <c r="L11">
        <f t="shared" ca="1" si="3"/>
        <v>1008.0972609097876</v>
      </c>
      <c r="M11">
        <f t="shared" ca="1" si="3"/>
        <v>622.97727193570961</v>
      </c>
      <c r="N11">
        <f t="shared" ca="1" si="3"/>
        <v>242.06046236074087</v>
      </c>
      <c r="O11">
        <f t="shared" ca="1" si="3"/>
        <v>22.18132067503808</v>
      </c>
      <c r="P11">
        <f t="shared" ca="1" si="3"/>
        <v>7.1701008219177815</v>
      </c>
    </row>
    <row r="12" spans="1:16" ht="15" customHeight="1" x14ac:dyDescent="0.45">
      <c r="B12" s="16" t="s">
        <v>136</v>
      </c>
      <c r="D12">
        <f>IS!D27</f>
        <v>0</v>
      </c>
      <c r="E12">
        <f>IS!E27</f>
        <v>0</v>
      </c>
      <c r="F12">
        <f>IS!F27</f>
        <v>0</v>
      </c>
      <c r="G12">
        <f ca="1">IS!G27</f>
        <v>27.115082822194587</v>
      </c>
      <c r="H12">
        <f ca="1">IS!H27</f>
        <v>97.371034014266712</v>
      </c>
      <c r="I12">
        <f ca="1">IS!I27</f>
        <v>186.05808650071512</v>
      </c>
      <c r="J12">
        <f ca="1">IS!J27</f>
        <v>198.66679036874621</v>
      </c>
      <c r="K12">
        <f ca="1">IS!K27</f>
        <v>211.93691059874965</v>
      </c>
      <c r="L12">
        <f ca="1">IS!L27</f>
        <v>221.73086482073759</v>
      </c>
      <c r="M12">
        <f ca="1">IS!M27</f>
        <v>224.29340834002505</v>
      </c>
      <c r="N12">
        <f ca="1">IS!N27</f>
        <v>107.9912921528077</v>
      </c>
      <c r="O12">
        <f ca="1">IS!O27</f>
        <v>8.6348468901065392</v>
      </c>
      <c r="P12">
        <f ca="1">IS!P27</f>
        <v>-0.8</v>
      </c>
    </row>
    <row r="13" spans="1:16" ht="15" customHeight="1" x14ac:dyDescent="0.45">
      <c r="B13" s="16" t="s">
        <v>137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115</v>
      </c>
      <c r="G14">
        <f ca="1">Finance!G54</f>
        <v>-78.768760147767466</v>
      </c>
      <c r="H14">
        <f ca="1">Finance!H54</f>
        <v>0</v>
      </c>
      <c r="I14">
        <f ca="1">Finance!I54</f>
        <v>-67.414543663327038</v>
      </c>
      <c r="J14">
        <f ca="1">Finance!J54</f>
        <v>-145.38660906141934</v>
      </c>
      <c r="K14">
        <f ca="1">Finance!K54</f>
        <v>-385.66994819786152</v>
      </c>
      <c r="L14">
        <f ca="1">Finance!L54</f>
        <v>-606.85085379481563</v>
      </c>
      <c r="M14">
        <f ca="1">Finance!M54</f>
        <v>-605.21021791499379</v>
      </c>
      <c r="N14">
        <f ca="1">Finance!N54</f>
        <v>-327.87043383851051</v>
      </c>
      <c r="O14">
        <f ca="1">Finance!O54</f>
        <v>-23.646066743226836</v>
      </c>
      <c r="P14">
        <f ca="1">Finance!P54</f>
        <v>-6.3001008219178107</v>
      </c>
    </row>
    <row r="15" spans="1:16" ht="15" customHeight="1" x14ac:dyDescent="0.45">
      <c r="B15" s="16" t="s">
        <v>138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912.53554034991805</v>
      </c>
      <c r="H15">
        <f t="shared" ca="1" si="4"/>
        <v>1009.9065743641847</v>
      </c>
      <c r="I15">
        <f t="shared" ca="1" si="4"/>
        <v>1128.5501172015727</v>
      </c>
      <c r="J15">
        <f t="shared" ca="1" si="4"/>
        <v>1181.8302985088994</v>
      </c>
      <c r="K15">
        <f t="shared" ca="1" si="4"/>
        <v>1008.0972609097876</v>
      </c>
      <c r="L15">
        <f t="shared" ca="1" si="4"/>
        <v>622.97727193570961</v>
      </c>
      <c r="M15">
        <f t="shared" ca="1" si="4"/>
        <v>242.06046236074087</v>
      </c>
      <c r="N15">
        <f t="shared" ca="1" si="4"/>
        <v>22.18132067503808</v>
      </c>
      <c r="O15">
        <f t="shared" ca="1" si="4"/>
        <v>7.1701008219177815</v>
      </c>
      <c r="P15">
        <f t="shared" ca="1" si="4"/>
        <v>6.9999999999970974E-2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41.7304687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139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140</v>
      </c>
    </row>
    <row r="5" spans="1:16" ht="15" customHeight="1" x14ac:dyDescent="0.45">
      <c r="B5" s="16" t="s">
        <v>59</v>
      </c>
      <c r="F5">
        <f>'S&amp;U'!F29</f>
        <v>59.6</v>
      </c>
    </row>
    <row r="6" spans="1:16" ht="15" customHeight="1" x14ac:dyDescent="0.45">
      <c r="B6" s="16" t="s">
        <v>60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61</v>
      </c>
      <c r="F8">
        <f>'S&amp;U'!F32</f>
        <v>172.84</v>
      </c>
    </row>
    <row r="9" spans="1:16" ht="15" customHeight="1" x14ac:dyDescent="0.45">
      <c r="B9" s="16" t="s">
        <v>60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141</v>
      </c>
    </row>
    <row r="12" spans="1:16" ht="15" customHeight="1" x14ac:dyDescent="0.45">
      <c r="A12"/>
      <c r="B12" s="16" t="s">
        <v>142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61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143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144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145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146</v>
      </c>
      <c r="F18">
        <f>'S&amp;U'!C6</f>
        <v>2142</v>
      </c>
    </row>
    <row r="19" spans="1:16" ht="15" customHeight="1" x14ac:dyDescent="0.45">
      <c r="A19"/>
      <c r="B19" s="16" t="s">
        <v>147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148</v>
      </c>
      <c r="B21"/>
    </row>
    <row r="22" spans="1:16" ht="15" customHeight="1" x14ac:dyDescent="0.45">
      <c r="A22"/>
      <c r="B22" s="16" t="s">
        <v>98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149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150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100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151</v>
      </c>
      <c r="F27">
        <f ca="1">SUM('S&amp;U'!D55:F55)</f>
        <v>336.54334932097811</v>
      </c>
    </row>
    <row r="28" spans="1:16" ht="15" customHeight="1" x14ac:dyDescent="0.45">
      <c r="B28" s="16" t="s">
        <v>152</v>
      </c>
      <c r="F28">
        <f ca="1">F27/-F15</f>
        <v>-3.764466994641813</v>
      </c>
    </row>
    <row r="30" spans="1:16" ht="15" customHeight="1" x14ac:dyDescent="0.45">
      <c r="A30" s="15" t="s">
        <v>73</v>
      </c>
    </row>
    <row r="31" spans="1:16" ht="15" customHeight="1" x14ac:dyDescent="0.45">
      <c r="B31" s="16" t="s">
        <v>98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153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154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100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85</v>
      </c>
    </row>
    <row r="37" spans="1:16" ht="15" customHeight="1" x14ac:dyDescent="0.45">
      <c r="B37" s="16" t="s">
        <v>155</v>
      </c>
      <c r="D37">
        <f>NPV('S&amp;U'!D66,'S&amp;U'!E67:O67)</f>
        <v>37.191199292648413</v>
      </c>
    </row>
    <row r="38" spans="1:16" ht="15" customHeight="1" x14ac:dyDescent="0.45">
      <c r="B38" s="16" t="s">
        <v>152</v>
      </c>
      <c r="D38">
        <f>D37/-$F$15</f>
        <v>-0.41600894063365113</v>
      </c>
    </row>
    <row r="40" spans="1:16" ht="15" customHeight="1" x14ac:dyDescent="0.45">
      <c r="B40" s="16" t="s">
        <v>156</v>
      </c>
    </row>
    <row r="41" spans="1:16" ht="15" customHeight="1" x14ac:dyDescent="0.45">
      <c r="B41" s="16" t="s">
        <v>98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154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100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157</v>
      </c>
    </row>
    <row r="46" spans="1:16" ht="15" customHeight="1" x14ac:dyDescent="0.45">
      <c r="B46" s="16" t="s">
        <v>98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158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159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100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F19" activePane="bottomRight" state="frozen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160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130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150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161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162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163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154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164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165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166</v>
      </c>
      <c r="G21">
        <f ca="1">IF(switch=1,Finance!G30,0)</f>
        <v>-1</v>
      </c>
      <c r="H21">
        <f ca="1">IF(switch=1,Finance!H30,0)</f>
        <v>-1</v>
      </c>
      <c r="I21">
        <f ca="1">IF(switch=1,Finance!I30,0)</f>
        <v>-1</v>
      </c>
      <c r="J21">
        <f ca="1">IF(switch=1,Finance!J30,0)</f>
        <v>-1</v>
      </c>
      <c r="K21">
        <f ca="1">IF(switch=1,Finance!K30,0)</f>
        <v>-1</v>
      </c>
      <c r="L21">
        <f ca="1">IF(switch=1,Finance!L30,0)</f>
        <v>-1</v>
      </c>
      <c r="M21">
        <f ca="1">IF(switch=1,Finance!M30,0)</f>
        <v>-1</v>
      </c>
      <c r="N21">
        <f ca="1">IF(switch=1,Finance!N30,0)</f>
        <v>-1</v>
      </c>
      <c r="O21">
        <f ca="1">IF(switch=1,Finance!O30,0)</f>
        <v>-1</v>
      </c>
      <c r="P21">
        <f ca="1">IF(switch=1,Finance!P30,0)</f>
        <v>-1</v>
      </c>
    </row>
    <row r="22" spans="1:16" ht="15" customHeight="1" x14ac:dyDescent="0.45">
      <c r="A22"/>
      <c r="B22" s="16" t="s">
        <v>167</v>
      </c>
      <c r="G22">
        <f ca="1">IF(switch=1,Finance!G48,0)</f>
        <v>-72.215137150062375</v>
      </c>
      <c r="H22">
        <f ca="1">IF(switch=1,Finance!H48,0)</f>
        <v>-65.577413815800156</v>
      </c>
      <c r="I22">
        <f ca="1">IF(switch=1,Finance!I48,0)</f>
        <v>-52.533597648757997</v>
      </c>
      <c r="J22">
        <f ca="1">IF(switch=1,Finance!J48,0)</f>
        <v>-35.603686897720799</v>
      </c>
      <c r="K22">
        <f ca="1">IF(switch=1,Finance!K48,0)</f>
        <v>-17.836863839258445</v>
      </c>
      <c r="L22">
        <f ca="1">IF(switch=1,Finance!L48,0)</f>
        <v>-4.404497924557865</v>
      </c>
      <c r="M22">
        <f ca="1">IF(switch=1,Finance!M48,0)</f>
        <v>0</v>
      </c>
      <c r="N22">
        <f ca="1">IF(switch=1,Finance!N48,0)</f>
        <v>0</v>
      </c>
      <c r="O22">
        <f ca="1">IF(switch=1,Finance!O48,0)</f>
        <v>0</v>
      </c>
      <c r="P22">
        <f ca="1">IF(switch=1,Finance!P48,0)</f>
        <v>0</v>
      </c>
    </row>
    <row r="23" spans="1:16" ht="15" customHeight="1" x14ac:dyDescent="0.45">
      <c r="A23"/>
      <c r="B23" s="16" t="s">
        <v>168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169</v>
      </c>
      <c r="G24">
        <f ca="1">SUM(G19,G21:G23)</f>
        <v>33.893853527743232</v>
      </c>
      <c r="H24">
        <f t="shared" ref="H24:P24" ca="1" si="6">SUM(H19,H21:H23)</f>
        <v>121.71379251783338</v>
      </c>
      <c r="I24">
        <f t="shared" ca="1" si="6"/>
        <v>232.57260812589391</v>
      </c>
      <c r="J24">
        <f t="shared" ca="1" si="6"/>
        <v>248.33348796093276</v>
      </c>
      <c r="K24">
        <f t="shared" ca="1" si="6"/>
        <v>264.92113824843705</v>
      </c>
      <c r="L24">
        <f t="shared" ca="1" si="6"/>
        <v>277.16358102592199</v>
      </c>
      <c r="M24">
        <f t="shared" ca="1" si="6"/>
        <v>280.36676042503132</v>
      </c>
      <c r="N24">
        <f t="shared" ca="1" si="6"/>
        <v>134.98911519100963</v>
      </c>
      <c r="O24">
        <f t="shared" ca="1" si="6"/>
        <v>10.793558612633174</v>
      </c>
      <c r="P24">
        <f t="shared" ca="1" si="6"/>
        <v>-1</v>
      </c>
    </row>
    <row r="25" spans="1:16" ht="15" customHeight="1" x14ac:dyDescent="0.45">
      <c r="A25"/>
    </row>
    <row r="26" spans="1:16" ht="15" customHeight="1" x14ac:dyDescent="0.45">
      <c r="A26"/>
      <c r="B26" s="16" t="s">
        <v>170</v>
      </c>
      <c r="G26">
        <f ca="1">'S&amp;U'!G41*IS!G24</f>
        <v>-6.7787707055486468</v>
      </c>
      <c r="H26">
        <f ca="1">'S&amp;U'!H41*IS!H24</f>
        <v>-24.342758503566678</v>
      </c>
      <c r="I26">
        <f ca="1">'S&amp;U'!I41*IS!I24</f>
        <v>-46.514521625178787</v>
      </c>
      <c r="J26">
        <f ca="1">'S&amp;U'!J41*IS!J24</f>
        <v>-49.666697592186551</v>
      </c>
      <c r="K26">
        <f ca="1">'S&amp;U'!K41*IS!K24</f>
        <v>-52.984227649687412</v>
      </c>
      <c r="L26">
        <f ca="1">'S&amp;U'!L41*IS!L24</f>
        <v>-55.432716205184398</v>
      </c>
      <c r="M26">
        <f ca="1">'S&amp;U'!M41*IS!M24</f>
        <v>-56.073352085006263</v>
      </c>
      <c r="N26">
        <f ca="1">'S&amp;U'!N41*IS!N24</f>
        <v>-26.997823038201929</v>
      </c>
      <c r="O26">
        <f ca="1">'S&amp;U'!O41*IS!O24</f>
        <v>-2.1587117225266348</v>
      </c>
      <c r="P26">
        <f ca="1">'S&amp;U'!P41*IS!P24</f>
        <v>0.2</v>
      </c>
    </row>
    <row r="27" spans="1:16" ht="15" customHeight="1" x14ac:dyDescent="0.45">
      <c r="A27"/>
      <c r="B27" s="16" t="s">
        <v>171</v>
      </c>
      <c r="G27">
        <f ca="1">G24+G26</f>
        <v>27.115082822194587</v>
      </c>
      <c r="H27">
        <f t="shared" ref="H27:P27" ca="1" si="7">H24+H26</f>
        <v>97.371034014266712</v>
      </c>
      <c r="I27">
        <f t="shared" ca="1" si="7"/>
        <v>186.05808650071512</v>
      </c>
      <c r="J27">
        <f t="shared" ca="1" si="7"/>
        <v>198.66679036874621</v>
      </c>
      <c r="K27">
        <f t="shared" ca="1" si="7"/>
        <v>211.93691059874965</v>
      </c>
      <c r="L27">
        <f t="shared" ca="1" si="7"/>
        <v>221.73086482073759</v>
      </c>
      <c r="M27">
        <f t="shared" ca="1" si="7"/>
        <v>224.29340834002505</v>
      </c>
      <c r="N27">
        <f t="shared" ca="1" si="7"/>
        <v>107.9912921528077</v>
      </c>
      <c r="O27">
        <f t="shared" ca="1" si="7"/>
        <v>8.6348468901065392</v>
      </c>
      <c r="P27">
        <f t="shared" ca="1" si="7"/>
        <v>-0.8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24" activePane="bottomRight" state="frozen"/>
      <selection pane="topRight" activeCell="N10" sqref="N10:Q10"/>
      <selection pane="bottomLeft" activeCell="N10" sqref="N10:Q10"/>
      <selection pane="bottomRight" activeCell="E31" sqref="E31"/>
    </sheetView>
  </sheetViews>
  <sheetFormatPr defaultColWidth="9.1328125" defaultRowHeight="15" customHeight="1" x14ac:dyDescent="0.45"/>
  <cols>
    <col min="1" max="1" width="1.3984375" style="15" customWidth="1"/>
    <col min="2" max="2" width="20.59765625" style="16" customWidth="1"/>
    <col min="3" max="3" width="11" customWidth="1"/>
    <col min="4" max="16" width="12.73046875" customWidth="1"/>
  </cols>
  <sheetData>
    <row r="1" spans="1:16" s="46" customFormat="1" ht="45" customHeight="1" x14ac:dyDescent="0.85">
      <c r="A1" s="5" t="s">
        <v>172</v>
      </c>
      <c r="B1" s="10"/>
      <c r="C1" s="12"/>
      <c r="D1" s="12" t="s">
        <v>30</v>
      </c>
      <c r="E1" s="12" t="s">
        <v>30</v>
      </c>
      <c r="F1" s="12" t="s">
        <v>30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  <c r="M1" s="12" t="s">
        <v>31</v>
      </c>
      <c r="N1" s="12" t="s">
        <v>31</v>
      </c>
      <c r="O1" s="12" t="s">
        <v>31</v>
      </c>
      <c r="P1" s="12" t="s">
        <v>31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173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308.28043803202991</v>
      </c>
      <c r="H4">
        <f ca="1">CFS!H26</f>
        <v>401.0985694416388</v>
      </c>
      <c r="I4">
        <f ca="1">CFS!I26</f>
        <v>472.62144031370252</v>
      </c>
      <c r="J4">
        <f ca="1">CFS!J26</f>
        <v>469.30026334639405</v>
      </c>
      <c r="K4">
        <f ca="1">CFS!K26</f>
        <v>224.69939415245079</v>
      </c>
      <c r="L4">
        <f ca="1">CFS!L26</f>
        <v>6.9999999999652118E-2</v>
      </c>
      <c r="M4">
        <f ca="1">CFS!M26</f>
        <v>6.9999999999652118E-2</v>
      </c>
      <c r="N4">
        <f ca="1">CFS!N26</f>
        <v>6.9999999999652118E-2</v>
      </c>
      <c r="O4">
        <f ca="1">CFS!O26</f>
        <v>6.9999999999652118E-2</v>
      </c>
      <c r="P4">
        <f ca="1">CFS!P26</f>
        <v>6.9999999999652118E-2</v>
      </c>
    </row>
    <row r="5" spans="1:16" ht="15" customHeight="1" x14ac:dyDescent="0.45">
      <c r="A5"/>
      <c r="B5" s="16" t="s">
        <v>174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175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176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339.38180789504361</v>
      </c>
      <c r="H7">
        <f t="shared" ca="1" si="2"/>
        <v>460.08290916766623</v>
      </c>
      <c r="I7">
        <f t="shared" ca="1" si="2"/>
        <v>561.09794990274361</v>
      </c>
      <c r="J7">
        <f t="shared" ca="1" si="2"/>
        <v>557.77677293543513</v>
      </c>
      <c r="K7">
        <f t="shared" ca="1" si="2"/>
        <v>313.17590374149188</v>
      </c>
      <c r="L7">
        <f t="shared" ca="1" si="2"/>
        <v>88.546509589040738</v>
      </c>
      <c r="M7">
        <f t="shared" ca="1" si="2"/>
        <v>88.546509589040738</v>
      </c>
      <c r="N7">
        <f t="shared" ca="1" si="2"/>
        <v>47.257471780821575</v>
      </c>
      <c r="O7">
        <f t="shared" ca="1" si="2"/>
        <v>11.866867945205133</v>
      </c>
      <c r="P7">
        <f t="shared" ca="1" si="2"/>
        <v>6.9999999999652118E-2</v>
      </c>
    </row>
    <row r="8" spans="1:16" ht="15" customHeight="1" x14ac:dyDescent="0.45">
      <c r="A8"/>
    </row>
    <row r="9" spans="1:16" ht="15" customHeight="1" x14ac:dyDescent="0.45">
      <c r="A9"/>
      <c r="B9" s="16" t="s">
        <v>177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73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178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179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2729.329629077989</v>
      </c>
      <c r="H12">
        <f t="shared" ca="1" si="3"/>
        <v>2598.4572754892497</v>
      </c>
      <c r="I12">
        <f t="shared" ca="1" si="3"/>
        <v>2322.1121339322826</v>
      </c>
      <c r="J12">
        <f t="shared" ca="1" si="3"/>
        <v>1941.4307746729301</v>
      </c>
      <c r="K12">
        <f t="shared" ca="1" si="3"/>
        <v>1319.4697231869429</v>
      </c>
      <c r="L12">
        <f t="shared" ca="1" si="3"/>
        <v>717.48014674244791</v>
      </c>
      <c r="M12">
        <f t="shared" ca="1" si="3"/>
        <v>340.11996445040393</v>
      </c>
      <c r="N12">
        <f t="shared" ca="1" si="3"/>
        <v>97.572162753094659</v>
      </c>
      <c r="O12">
        <f t="shared" ca="1" si="3"/>
        <v>11.866867945205692</v>
      </c>
      <c r="P12">
        <f t="shared" ca="1" si="3"/>
        <v>7.0000000000212337E-2</v>
      </c>
    </row>
    <row r="13" spans="1:16" ht="15" customHeight="1" x14ac:dyDescent="0.45">
      <c r="A13"/>
    </row>
    <row r="14" spans="1:16" ht="15" customHeight="1" x14ac:dyDescent="0.45">
      <c r="A14"/>
      <c r="B14" s="16" t="s">
        <v>48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180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181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49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1760.7568575031187</v>
      </c>
      <c r="H18">
        <f ca="1">Finance!H43</f>
        <v>1518.1138332868888</v>
      </c>
      <c r="I18">
        <f ca="1">Finance!I43</f>
        <v>1108.5660491510109</v>
      </c>
      <c r="J18">
        <f ca="1">Finance!J43</f>
        <v>671.61829573502905</v>
      </c>
      <c r="K18">
        <f ca="1">Finance!K43</f>
        <v>220.22489622789323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85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182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1816.7940887280708</v>
      </c>
      <c r="H20">
        <f t="shared" ca="1" si="5"/>
        <v>1588.5507011250643</v>
      </c>
      <c r="I20">
        <f t="shared" ca="1" si="5"/>
        <v>1193.5620167307097</v>
      </c>
      <c r="J20">
        <f t="shared" ca="1" si="5"/>
        <v>759.60047616403017</v>
      </c>
      <c r="K20">
        <f t="shared" ca="1" si="5"/>
        <v>311.37246227715497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135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912.53554034991805</v>
      </c>
      <c r="H22">
        <f ca="1">Calcs!H15</f>
        <v>1009.9065743641847</v>
      </c>
      <c r="I22">
        <f ca="1">Calcs!I15</f>
        <v>1128.5501172015727</v>
      </c>
      <c r="J22">
        <f ca="1">Calcs!J15</f>
        <v>1181.8302985088994</v>
      </c>
      <c r="K22">
        <f ca="1">Calcs!K15</f>
        <v>1008.0972609097876</v>
      </c>
      <c r="L22">
        <f ca="1">Calcs!L15</f>
        <v>622.97727193570961</v>
      </c>
      <c r="M22">
        <f ca="1">Calcs!M15</f>
        <v>242.06046236074087</v>
      </c>
      <c r="N22">
        <f ca="1">Calcs!N15</f>
        <v>22.18132067503808</v>
      </c>
      <c r="O22">
        <f ca="1">Calcs!O15</f>
        <v>7.1701008219177815</v>
      </c>
      <c r="P22">
        <f ca="1">Calcs!P15</f>
        <v>6.9999999999970974E-2</v>
      </c>
    </row>
    <row r="23" spans="1:16" ht="15" customHeight="1" x14ac:dyDescent="0.45">
      <c r="A23"/>
      <c r="B23" s="16" t="s">
        <v>183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2729.329629077989</v>
      </c>
      <c r="H23">
        <f t="shared" ca="1" si="6"/>
        <v>2598.4572754892488</v>
      </c>
      <c r="I23">
        <f t="shared" ca="1" si="6"/>
        <v>2322.1121339322826</v>
      </c>
      <c r="J23">
        <f t="shared" ca="1" si="6"/>
        <v>1941.4307746729296</v>
      </c>
      <c r="K23">
        <f t="shared" ca="1" si="6"/>
        <v>1319.4697231869425</v>
      </c>
      <c r="L23">
        <f t="shared" ca="1" si="6"/>
        <v>717.48014674244757</v>
      </c>
      <c r="M23">
        <f t="shared" ca="1" si="6"/>
        <v>340.1199644504037</v>
      </c>
      <c r="N23">
        <f t="shared" ca="1" si="6"/>
        <v>97.572162753094375</v>
      </c>
      <c r="O23">
        <f t="shared" ca="1" si="6"/>
        <v>11.866867945205453</v>
      </c>
      <c r="P23">
        <f t="shared" ca="1" si="6"/>
        <v>6.9999999999970974E-2</v>
      </c>
    </row>
    <row r="24" spans="1:16" ht="15" customHeight="1" x14ac:dyDescent="0.45">
      <c r="B24"/>
    </row>
    <row r="25" spans="1:16" ht="15" customHeight="1" x14ac:dyDescent="0.45">
      <c r="A25"/>
      <c r="B25" s="16" t="s">
        <v>184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6E27A-5E58-4F7A-AC69-DA63EF142F40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BFA3630E-DCD0-4F36-8208-B1B0BF7BA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4EA703-12AA-4CC6-8904-1F8C48F77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2025-08-12T13:13:26Z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