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Desktop/8090 Building a Full Project Finance Model/23. Main Model - Returns to Equity Holders - Development/"/>
    </mc:Choice>
  </mc:AlternateContent>
  <xr:revisionPtr revIDLastSave="2" documentId="13_ncr:1_{520EFA7F-9F7D-44C2-991C-090B2846B31F}" xr6:coauthVersionLast="47" xr6:coauthVersionMax="47" xr10:uidLastSave="{4A80ABDB-B9AD-4646-A4C3-FFB74D9AEFEF}"/>
  <bookViews>
    <workbookView xWindow="-98" yWindow="-98" windowWidth="21795" windowHeight="13875" activeTab="3" xr2:uid="{00000000-000D-0000-FFFF-FFFF00000000}"/>
  </bookViews>
  <sheets>
    <sheet name="Welcome" sheetId="1" r:id="rId1"/>
    <sheet name="Info" sheetId="6" r:id="rId2"/>
    <sheet name="S&amp;U" sheetId="2" r:id="rId3"/>
    <sheet name="Finance" sheetId="15" r:id="rId4"/>
    <sheet name="Revenues" sheetId="11" r:id="rId5"/>
    <sheet name="Calcs" sheetId="17" r:id="rId6"/>
    <sheet name="Depletion" sheetId="12" r:id="rId7"/>
    <sheet name="IS" sheetId="14" r:id="rId8"/>
    <sheet name="BS" sheetId="16" r:id="rId9"/>
    <sheet name="CFS" sheetId="18" r:id="rId10"/>
  </sheets>
  <externalReferences>
    <externalReference r:id="rId11"/>
  </externalReferences>
  <definedNames>
    <definedName name="switch">Info!$N$10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53" i="2"/>
  <c r="P50" i="15" l="1"/>
  <c r="I40" i="15" l="1"/>
  <c r="J40" i="15"/>
  <c r="K40" i="15"/>
  <c r="L40" i="15"/>
  <c r="M40" i="15"/>
  <c r="N40" i="15"/>
  <c r="O40" i="15"/>
  <c r="P40" i="15"/>
  <c r="C35" i="15"/>
  <c r="C46" i="15"/>
  <c r="G40" i="15"/>
  <c r="D39" i="15"/>
  <c r="C37" i="15"/>
  <c r="D37" i="15"/>
  <c r="D35" i="15"/>
  <c r="D36" i="15"/>
  <c r="H14" i="15" l="1"/>
  <c r="I14" i="15"/>
  <c r="J14" i="15"/>
  <c r="K14" i="15"/>
  <c r="L14" i="15"/>
  <c r="M14" i="15"/>
  <c r="N14" i="15"/>
  <c r="O14" i="15"/>
  <c r="P14" i="15"/>
  <c r="G14" i="15"/>
  <c r="G12" i="15" l="1"/>
  <c r="H12" i="15"/>
  <c r="I12" i="15"/>
  <c r="J12" i="15"/>
  <c r="K12" i="15"/>
  <c r="L12" i="15"/>
  <c r="M12" i="15"/>
  <c r="N12" i="15"/>
  <c r="O12" i="15"/>
  <c r="P12" i="15"/>
  <c r="B12" i="15"/>
  <c r="E56" i="2"/>
  <c r="F56" i="2"/>
  <c r="D56" i="2"/>
  <c r="G20" i="18" l="1"/>
  <c r="H20" i="18"/>
  <c r="I20" i="18"/>
  <c r="J20" i="18"/>
  <c r="K20" i="18"/>
  <c r="L20" i="18"/>
  <c r="M20" i="18"/>
  <c r="N20" i="18"/>
  <c r="O20" i="18"/>
  <c r="P20" i="18"/>
  <c r="D24" i="18"/>
  <c r="E4" i="18"/>
  <c r="F4" i="18"/>
  <c r="E5" i="18"/>
  <c r="F5" i="18"/>
  <c r="E6" i="18"/>
  <c r="F6" i="18"/>
  <c r="E7" i="18"/>
  <c r="F7" i="18"/>
  <c r="D8" i="18"/>
  <c r="D7" i="18"/>
  <c r="D6" i="18"/>
  <c r="D5" i="18"/>
  <c r="D4" i="18"/>
  <c r="E5" i="16"/>
  <c r="F5" i="16"/>
  <c r="E6" i="16"/>
  <c r="E15" i="16"/>
  <c r="F15" i="16"/>
  <c r="D15" i="16"/>
  <c r="D6" i="16"/>
  <c r="D5" i="16"/>
  <c r="H18" i="14"/>
  <c r="I18" i="14"/>
  <c r="J18" i="14"/>
  <c r="K18" i="14"/>
  <c r="L18" i="14"/>
  <c r="M18" i="14"/>
  <c r="N18" i="14"/>
  <c r="O18" i="14"/>
  <c r="P18" i="14"/>
  <c r="G18" i="14"/>
  <c r="D9" i="18" l="1"/>
  <c r="P6" i="12" l="1"/>
  <c r="P9" i="12"/>
  <c r="P48" i="12"/>
  <c r="P5" i="11"/>
  <c r="P14" i="11"/>
  <c r="P15" i="11"/>
  <c r="P16" i="11"/>
  <c r="Q33" i="2"/>
  <c r="Q30" i="2"/>
  <c r="P8" i="18" l="1"/>
  <c r="P9" i="15" s="1"/>
  <c r="P11" i="15"/>
  <c r="P10" i="11"/>
  <c r="P5" i="14" s="1"/>
  <c r="B9" i="15"/>
  <c r="B11" i="15"/>
  <c r="B10" i="15"/>
  <c r="B8" i="15"/>
  <c r="C21" i="15" l="1"/>
  <c r="H14" i="11" l="1"/>
  <c r="I14" i="11"/>
  <c r="J14" i="11"/>
  <c r="K14" i="11"/>
  <c r="L14" i="11"/>
  <c r="M14" i="11"/>
  <c r="N14" i="11"/>
  <c r="O14" i="11"/>
  <c r="H15" i="11"/>
  <c r="I15" i="11"/>
  <c r="J15" i="11"/>
  <c r="K15" i="11"/>
  <c r="L15" i="11"/>
  <c r="M15" i="11"/>
  <c r="N15" i="11"/>
  <c r="O15" i="11"/>
  <c r="G15" i="11"/>
  <c r="G14" i="11"/>
  <c r="B20" i="11"/>
  <c r="B15" i="11"/>
  <c r="B14" i="11"/>
  <c r="D4" i="15"/>
  <c r="E4" i="15" s="1"/>
  <c r="F4" i="15" s="1"/>
  <c r="G4" i="15" l="1"/>
  <c r="F42" i="15"/>
  <c r="G16" i="11"/>
  <c r="H4" i="15" l="1"/>
  <c r="G42" i="15"/>
  <c r="H11" i="15"/>
  <c r="I11" i="15"/>
  <c r="J11" i="15"/>
  <c r="K11" i="15"/>
  <c r="L11" i="15"/>
  <c r="M11" i="15"/>
  <c r="N11" i="15"/>
  <c r="O11" i="15"/>
  <c r="G11" i="15"/>
  <c r="E8" i="17"/>
  <c r="D8" i="17"/>
  <c r="C28" i="15"/>
  <c r="H14" i="2"/>
  <c r="C20" i="15" s="1"/>
  <c r="E26" i="16"/>
  <c r="I4" i="15" l="1"/>
  <c r="H42" i="15"/>
  <c r="D11" i="18"/>
  <c r="E11" i="18"/>
  <c r="D9" i="2"/>
  <c r="E9" i="2"/>
  <c r="D23" i="15"/>
  <c r="E12" i="17"/>
  <c r="F12" i="17"/>
  <c r="D12" i="17"/>
  <c r="D11" i="17"/>
  <c r="H48" i="12"/>
  <c r="H8" i="18" s="1"/>
  <c r="I48" i="12"/>
  <c r="I8" i="18" s="1"/>
  <c r="J48" i="12"/>
  <c r="J8" i="18" s="1"/>
  <c r="K48" i="12"/>
  <c r="K8" i="18" s="1"/>
  <c r="L48" i="12"/>
  <c r="L8" i="18" s="1"/>
  <c r="M48" i="12"/>
  <c r="M8" i="18" s="1"/>
  <c r="N48" i="12"/>
  <c r="N8" i="18" s="1"/>
  <c r="O48" i="12"/>
  <c r="O8" i="18" s="1"/>
  <c r="F48" i="12"/>
  <c r="F8" i="18" s="1"/>
  <c r="F9" i="18" s="1"/>
  <c r="G48" i="12"/>
  <c r="G8" i="18" s="1"/>
  <c r="E48" i="12"/>
  <c r="D37" i="12"/>
  <c r="D49" i="12" s="1"/>
  <c r="D19" i="16" s="1"/>
  <c r="D31" i="12"/>
  <c r="D22" i="12"/>
  <c r="H6" i="12"/>
  <c r="I6" i="12"/>
  <c r="J6" i="12"/>
  <c r="K6" i="12"/>
  <c r="L6" i="12"/>
  <c r="M6" i="12"/>
  <c r="N6" i="12"/>
  <c r="O6" i="12"/>
  <c r="H9" i="12"/>
  <c r="I9" i="12"/>
  <c r="J9" i="12"/>
  <c r="K9" i="12"/>
  <c r="L9" i="12"/>
  <c r="M9" i="12"/>
  <c r="N9" i="12"/>
  <c r="O9" i="12"/>
  <c r="G9" i="12"/>
  <c r="G6" i="12"/>
  <c r="F5" i="12"/>
  <c r="F12" i="12" s="1"/>
  <c r="H5" i="11"/>
  <c r="H10" i="11" s="1"/>
  <c r="H5" i="14" s="1"/>
  <c r="I5" i="11"/>
  <c r="I10" i="11" s="1"/>
  <c r="I5" i="14" s="1"/>
  <c r="J5" i="11"/>
  <c r="J10" i="11" s="1"/>
  <c r="J5" i="14" s="1"/>
  <c r="K5" i="11"/>
  <c r="K10" i="11" s="1"/>
  <c r="K5" i="14" s="1"/>
  <c r="L5" i="11"/>
  <c r="M5" i="11"/>
  <c r="M10" i="11" s="1"/>
  <c r="M5" i="14" s="1"/>
  <c r="N5" i="11"/>
  <c r="O5" i="11"/>
  <c r="H16" i="11"/>
  <c r="I16" i="11"/>
  <c r="J16" i="11"/>
  <c r="K16" i="11"/>
  <c r="L16" i="11"/>
  <c r="M16" i="11"/>
  <c r="N16" i="11"/>
  <c r="O16" i="11"/>
  <c r="G5" i="11"/>
  <c r="G10" i="11" s="1"/>
  <c r="G5" i="14" s="1"/>
  <c r="H15" i="2"/>
  <c r="E47" i="2"/>
  <c r="E6" i="2" s="1"/>
  <c r="F47" i="2"/>
  <c r="F6" i="2" s="1"/>
  <c r="F14" i="18" s="1"/>
  <c r="D47" i="2"/>
  <c r="D6" i="2" s="1"/>
  <c r="D14" i="18" s="1"/>
  <c r="H40" i="15" l="1"/>
  <c r="C36" i="15"/>
  <c r="F10" i="2"/>
  <c r="F55" i="15" s="1"/>
  <c r="G52" i="15" s="1"/>
  <c r="J4" i="15"/>
  <c r="I42" i="15"/>
  <c r="E8" i="18"/>
  <c r="E9" i="18" s="1"/>
  <c r="E12" i="18" s="1"/>
  <c r="E14" i="18"/>
  <c r="D12" i="18"/>
  <c r="M9" i="15"/>
  <c r="L9" i="15"/>
  <c r="H9" i="15"/>
  <c r="N9" i="15"/>
  <c r="J9" i="15"/>
  <c r="G9" i="15"/>
  <c r="I9" i="15"/>
  <c r="O9" i="15"/>
  <c r="K9" i="15"/>
  <c r="D23" i="12"/>
  <c r="D25" i="12" s="1"/>
  <c r="D9" i="16" s="1"/>
  <c r="F23" i="12"/>
  <c r="E23" i="12"/>
  <c r="C6" i="2"/>
  <c r="F18" i="12" s="1"/>
  <c r="O10" i="11"/>
  <c r="O5" i="14" s="1"/>
  <c r="L10" i="11"/>
  <c r="L5" i="14" s="1"/>
  <c r="N10" i="11"/>
  <c r="N5" i="14" s="1"/>
  <c r="E46" i="12"/>
  <c r="G12" i="12"/>
  <c r="D43" i="12"/>
  <c r="D11" i="16" s="1"/>
  <c r="B7" i="18"/>
  <c r="B6" i="18"/>
  <c r="B5" i="18"/>
  <c r="E2" i="18"/>
  <c r="D2" i="18" s="1"/>
  <c r="A2" i="18"/>
  <c r="B7" i="17"/>
  <c r="B6" i="17"/>
  <c r="B5" i="17"/>
  <c r="E2" i="17"/>
  <c r="D2" i="17" s="1"/>
  <c r="A2" i="17"/>
  <c r="K4" i="15" l="1"/>
  <c r="J42" i="15"/>
  <c r="E22" i="12"/>
  <c r="E25" i="12" s="1"/>
  <c r="E9" i="16" s="1"/>
  <c r="H12" i="12"/>
  <c r="I12" i="12" s="1"/>
  <c r="J12" i="12" s="1"/>
  <c r="K12" i="12" s="1"/>
  <c r="F22" i="12"/>
  <c r="F25" i="12" s="1"/>
  <c r="F9" i="16" s="1"/>
  <c r="E41" i="12"/>
  <c r="E43" i="12" s="1"/>
  <c r="E11" i="16" s="1"/>
  <c r="E47" i="12"/>
  <c r="F2" i="18"/>
  <c r="G2" i="18" s="1"/>
  <c r="H2" i="18" s="1"/>
  <c r="I2" i="18" s="1"/>
  <c r="J2" i="18" s="1"/>
  <c r="K2" i="18" s="1"/>
  <c r="L2" i="18" s="1"/>
  <c r="M2" i="18" s="1"/>
  <c r="N2" i="18" s="1"/>
  <c r="O2" i="18" s="1"/>
  <c r="P2" i="18" s="1"/>
  <c r="F2" i="17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E2" i="16"/>
  <c r="D2" i="16" s="1"/>
  <c r="A2" i="16"/>
  <c r="E2" i="15"/>
  <c r="D2" i="15" s="1"/>
  <c r="A2" i="15"/>
  <c r="F32" i="2"/>
  <c r="P6" i="11" s="1"/>
  <c r="P7" i="11" s="1"/>
  <c r="B6" i="14"/>
  <c r="B7" i="14"/>
  <c r="B5" i="14"/>
  <c r="E2" i="14"/>
  <c r="D2" i="14" s="1"/>
  <c r="A2" i="14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B6" i="2"/>
  <c r="E2" i="12"/>
  <c r="D2" i="12" s="1"/>
  <c r="A2" i="12"/>
  <c r="L4" i="15" l="1"/>
  <c r="K42" i="15"/>
  <c r="P11" i="11"/>
  <c r="P8" i="11"/>
  <c r="F8" i="12"/>
  <c r="F13" i="12" s="1"/>
  <c r="I6" i="11"/>
  <c r="I7" i="11" s="1"/>
  <c r="M6" i="11"/>
  <c r="M7" i="11" s="1"/>
  <c r="K6" i="11"/>
  <c r="K7" i="11" s="1"/>
  <c r="J6" i="11"/>
  <c r="J7" i="11" s="1"/>
  <c r="N6" i="11"/>
  <c r="N7" i="11" s="1"/>
  <c r="G6" i="11"/>
  <c r="G7" i="11" s="1"/>
  <c r="O6" i="11"/>
  <c r="O7" i="11" s="1"/>
  <c r="H6" i="11"/>
  <c r="H7" i="11" s="1"/>
  <c r="L6" i="11"/>
  <c r="L7" i="11" s="1"/>
  <c r="G22" i="12"/>
  <c r="F41" i="12"/>
  <c r="F43" i="12" s="1"/>
  <c r="F11" i="16" s="1"/>
  <c r="E49" i="12"/>
  <c r="E19" i="16" s="1"/>
  <c r="L12" i="12"/>
  <c r="F2" i="16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F2" i="15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F2" i="14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D2" i="2"/>
  <c r="F2" i="12"/>
  <c r="G2" i="12" s="1"/>
  <c r="H2" i="12" s="1"/>
  <c r="I2" i="12" s="1"/>
  <c r="J2" i="12" s="1"/>
  <c r="K2" i="12" s="1"/>
  <c r="L2" i="12" s="1"/>
  <c r="M2" i="12" s="1"/>
  <c r="N2" i="12" s="1"/>
  <c r="O2" i="12" s="1"/>
  <c r="P2" i="12" s="1"/>
  <c r="E2" i="11"/>
  <c r="D2" i="11" s="1"/>
  <c r="A2" i="11"/>
  <c r="M4" i="15" l="1"/>
  <c r="L42" i="15"/>
  <c r="P18" i="11"/>
  <c r="P9" i="14" s="1"/>
  <c r="P19" i="11"/>
  <c r="P10" i="14" s="1"/>
  <c r="P6" i="14"/>
  <c r="P7" i="14" s="1"/>
  <c r="P12" i="11"/>
  <c r="H11" i="11"/>
  <c r="H6" i="14" s="1"/>
  <c r="H7" i="14" s="1"/>
  <c r="H8" i="11"/>
  <c r="O11" i="11"/>
  <c r="O6" i="14" s="1"/>
  <c r="O7" i="14" s="1"/>
  <c r="O8" i="11"/>
  <c r="K8" i="11"/>
  <c r="K11" i="11"/>
  <c r="K6" i="14" s="1"/>
  <c r="K7" i="14" s="1"/>
  <c r="M8" i="11"/>
  <c r="M11" i="11"/>
  <c r="M6" i="14" s="1"/>
  <c r="M7" i="14" s="1"/>
  <c r="J11" i="11"/>
  <c r="J6" i="14" s="1"/>
  <c r="J7" i="14" s="1"/>
  <c r="J8" i="11"/>
  <c r="G13" i="12"/>
  <c r="F14" i="12"/>
  <c r="F15" i="12" s="1"/>
  <c r="G11" i="11"/>
  <c r="G6" i="14" s="1"/>
  <c r="G7" i="14" s="1"/>
  <c r="G8" i="11"/>
  <c r="L11" i="11"/>
  <c r="L6" i="14" s="1"/>
  <c r="L7" i="14" s="1"/>
  <c r="L8" i="11"/>
  <c r="N11" i="11"/>
  <c r="N6" i="14" s="1"/>
  <c r="N7" i="14" s="1"/>
  <c r="N8" i="11"/>
  <c r="I8" i="11"/>
  <c r="I11" i="11"/>
  <c r="I6" i="14" s="1"/>
  <c r="I7" i="14" s="1"/>
  <c r="F46" i="12"/>
  <c r="G41" i="12"/>
  <c r="M12" i="12"/>
  <c r="F2" i="1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A7" i="1"/>
  <c r="N4" i="15" l="1"/>
  <c r="M42" i="15"/>
  <c r="P5" i="17"/>
  <c r="P5" i="16" s="1"/>
  <c r="P20" i="11"/>
  <c r="O19" i="11"/>
  <c r="O10" i="14" s="1"/>
  <c r="O18" i="11"/>
  <c r="O9" i="14" s="1"/>
  <c r="I18" i="11"/>
  <c r="I9" i="14" s="1"/>
  <c r="I19" i="11"/>
  <c r="I10" i="14" s="1"/>
  <c r="M18" i="11"/>
  <c r="M9" i="14" s="1"/>
  <c r="M19" i="11"/>
  <c r="M10" i="14" s="1"/>
  <c r="N18" i="11"/>
  <c r="N9" i="14" s="1"/>
  <c r="N19" i="11"/>
  <c r="N10" i="14" s="1"/>
  <c r="G19" i="11"/>
  <c r="G10" i="14" s="1"/>
  <c r="G18" i="11"/>
  <c r="G9" i="14" s="1"/>
  <c r="J18" i="11"/>
  <c r="J9" i="14" s="1"/>
  <c r="J19" i="11"/>
  <c r="J10" i="14" s="1"/>
  <c r="H18" i="11"/>
  <c r="H9" i="14" s="1"/>
  <c r="H19" i="11"/>
  <c r="H10" i="14" s="1"/>
  <c r="L18" i="11"/>
  <c r="L9" i="14" s="1"/>
  <c r="L19" i="11"/>
  <c r="L10" i="14" s="1"/>
  <c r="K19" i="11"/>
  <c r="K10" i="14" s="1"/>
  <c r="K18" i="11"/>
  <c r="K9" i="14" s="1"/>
  <c r="H13" i="12"/>
  <c r="G14" i="12"/>
  <c r="G15" i="12" s="1"/>
  <c r="G16" i="12" s="1"/>
  <c r="O12" i="11"/>
  <c r="G12" i="11"/>
  <c r="J12" i="11"/>
  <c r="K12" i="11"/>
  <c r="L12" i="11"/>
  <c r="M12" i="11"/>
  <c r="N12" i="11"/>
  <c r="I12" i="11"/>
  <c r="F19" i="12"/>
  <c r="D38" i="12"/>
  <c r="H12" i="11"/>
  <c r="F47" i="12"/>
  <c r="F54" i="2" s="1"/>
  <c r="N12" i="12"/>
  <c r="A2" i="2"/>
  <c r="O4" i="15" l="1"/>
  <c r="N42" i="15"/>
  <c r="P21" i="11"/>
  <c r="P16" i="14"/>
  <c r="N5" i="17"/>
  <c r="N5" i="16" s="1"/>
  <c r="N20" i="11"/>
  <c r="L5" i="17"/>
  <c r="L5" i="16" s="1"/>
  <c r="L20" i="11"/>
  <c r="J5" i="17"/>
  <c r="J5" i="16" s="1"/>
  <c r="J20" i="11"/>
  <c r="H5" i="17"/>
  <c r="H5" i="16" s="1"/>
  <c r="H20" i="11"/>
  <c r="I5" i="17"/>
  <c r="I5" i="16" s="1"/>
  <c r="I20" i="11"/>
  <c r="M5" i="17"/>
  <c r="M5" i="16" s="1"/>
  <c r="M20" i="11"/>
  <c r="K5" i="17"/>
  <c r="K5" i="16" s="1"/>
  <c r="K20" i="11"/>
  <c r="G5" i="17"/>
  <c r="G5" i="16" s="1"/>
  <c r="G20" i="11"/>
  <c r="O5" i="17"/>
  <c r="O5" i="16" s="1"/>
  <c r="O20" i="11"/>
  <c r="G24" i="12"/>
  <c r="G11" i="14" s="1"/>
  <c r="G5" i="18" s="1"/>
  <c r="G42" i="12"/>
  <c r="I13" i="12"/>
  <c r="H14" i="12"/>
  <c r="H15" i="12" s="1"/>
  <c r="H16" i="12" s="1"/>
  <c r="F49" i="12"/>
  <c r="F19" i="16" s="1"/>
  <c r="O12" i="12"/>
  <c r="P12" i="12" s="1"/>
  <c r="A1" i="6"/>
  <c r="O42" i="15" l="1"/>
  <c r="P4" i="15"/>
  <c r="P42" i="15" s="1"/>
  <c r="G12" i="14"/>
  <c r="G14" i="14" s="1"/>
  <c r="O21" i="11"/>
  <c r="O16" i="14"/>
  <c r="K21" i="11"/>
  <c r="K16" i="14"/>
  <c r="I21" i="11"/>
  <c r="I16" i="14"/>
  <c r="J21" i="11"/>
  <c r="J16" i="14"/>
  <c r="N21" i="11"/>
  <c r="N16" i="14"/>
  <c r="G43" i="12"/>
  <c r="G11" i="16" s="1"/>
  <c r="G21" i="11"/>
  <c r="G16" i="14"/>
  <c r="M21" i="11"/>
  <c r="M16" i="14"/>
  <c r="H21" i="11"/>
  <c r="H16" i="14"/>
  <c r="L21" i="11"/>
  <c r="L16" i="14"/>
  <c r="H24" i="12"/>
  <c r="H11" i="14" s="1"/>
  <c r="H42" i="12"/>
  <c r="J13" i="12"/>
  <c r="I14" i="12"/>
  <c r="I15" i="12" s="1"/>
  <c r="I16" i="12" s="1"/>
  <c r="G25" i="12"/>
  <c r="G9" i="16" s="1"/>
  <c r="G46" i="12"/>
  <c r="G47" i="12" s="1"/>
  <c r="G23" i="14" s="1"/>
  <c r="H41" i="12" l="1"/>
  <c r="H5" i="18"/>
  <c r="H12" i="14"/>
  <c r="H14" i="14" s="1"/>
  <c r="G7" i="18"/>
  <c r="H43" i="12"/>
  <c r="H22" i="12"/>
  <c r="H25" i="12" s="1"/>
  <c r="H9" i="16" s="1"/>
  <c r="I42" i="12"/>
  <c r="I24" i="12"/>
  <c r="I11" i="14" s="1"/>
  <c r="J14" i="12"/>
  <c r="J15" i="12" s="1"/>
  <c r="K13" i="12"/>
  <c r="G49" i="12"/>
  <c r="G19" i="16" s="1"/>
  <c r="I41" i="12" l="1"/>
  <c r="H11" i="16"/>
  <c r="I5" i="18"/>
  <c r="I12" i="14"/>
  <c r="I14" i="14" s="1"/>
  <c r="I43" i="12"/>
  <c r="H46" i="12"/>
  <c r="H47" i="12" s="1"/>
  <c r="I22" i="12"/>
  <c r="I25" i="12" s="1"/>
  <c r="I9" i="16" s="1"/>
  <c r="J16" i="12"/>
  <c r="K14" i="12"/>
  <c r="K15" i="12" s="1"/>
  <c r="K16" i="12" s="1"/>
  <c r="L13" i="12"/>
  <c r="H23" i="14" l="1"/>
  <c r="H7" i="18" s="1"/>
  <c r="J41" i="12"/>
  <c r="I11" i="16"/>
  <c r="H49" i="12"/>
  <c r="H19" i="16" s="1"/>
  <c r="J22" i="12"/>
  <c r="K42" i="12"/>
  <c r="K24" i="12"/>
  <c r="K11" i="14" s="1"/>
  <c r="M13" i="12"/>
  <c r="L14" i="12"/>
  <c r="L15" i="12" s="1"/>
  <c r="J24" i="12"/>
  <c r="J11" i="14" s="1"/>
  <c r="J42" i="12"/>
  <c r="J43" i="12" l="1"/>
  <c r="J11" i="16" s="1"/>
  <c r="K5" i="18"/>
  <c r="K12" i="14"/>
  <c r="K14" i="14" s="1"/>
  <c r="J5" i="18"/>
  <c r="J12" i="14"/>
  <c r="J14" i="14" s="1"/>
  <c r="I46" i="12"/>
  <c r="I47" i="12" s="1"/>
  <c r="M14" i="12"/>
  <c r="M15" i="12" s="1"/>
  <c r="N13" i="12"/>
  <c r="J25" i="12"/>
  <c r="J9" i="16" s="1"/>
  <c r="L16" i="12"/>
  <c r="I23" i="14" l="1"/>
  <c r="I7" i="18" s="1"/>
  <c r="K41" i="12"/>
  <c r="K43" i="12" s="1"/>
  <c r="K11" i="16" s="1"/>
  <c r="I49" i="12"/>
  <c r="I19" i="16" s="1"/>
  <c r="K22" i="12"/>
  <c r="K25" i="12" s="1"/>
  <c r="K9" i="16" s="1"/>
  <c r="N14" i="12"/>
  <c r="N15" i="12" s="1"/>
  <c r="N16" i="12" s="1"/>
  <c r="O13" i="12"/>
  <c r="L24" i="12"/>
  <c r="L11" i="14" s="1"/>
  <c r="L42" i="12"/>
  <c r="M16" i="12"/>
  <c r="L41" i="12" l="1"/>
  <c r="L5" i="18"/>
  <c r="L12" i="14"/>
  <c r="L14" i="14" s="1"/>
  <c r="O14" i="12"/>
  <c r="O15" i="12" s="1"/>
  <c r="O16" i="12" s="1"/>
  <c r="O42" i="12" s="1"/>
  <c r="P13" i="12"/>
  <c r="P14" i="12" s="1"/>
  <c r="P15" i="12" s="1"/>
  <c r="J46" i="12"/>
  <c r="J47" i="12" s="1"/>
  <c r="L22" i="12"/>
  <c r="L25" i="12" s="1"/>
  <c r="L9" i="16" s="1"/>
  <c r="N42" i="12"/>
  <c r="N24" i="12"/>
  <c r="N11" i="14" s="1"/>
  <c r="L43" i="12"/>
  <c r="L11" i="16" s="1"/>
  <c r="M24" i="12"/>
  <c r="M11" i="14" s="1"/>
  <c r="M42" i="12"/>
  <c r="J23" i="14" l="1"/>
  <c r="J7" i="18" s="1"/>
  <c r="N5" i="18"/>
  <c r="N12" i="14"/>
  <c r="N14" i="14" s="1"/>
  <c r="M5" i="18"/>
  <c r="M12" i="14"/>
  <c r="M14" i="14" s="1"/>
  <c r="O24" i="12"/>
  <c r="O11" i="14" s="1"/>
  <c r="P16" i="12"/>
  <c r="J49" i="12"/>
  <c r="J19" i="16" s="1"/>
  <c r="M41" i="12"/>
  <c r="M43" i="12" s="1"/>
  <c r="M11" i="16" s="1"/>
  <c r="M22" i="12"/>
  <c r="M25" i="12" s="1"/>
  <c r="M9" i="16" s="1"/>
  <c r="O5" i="18" l="1"/>
  <c r="O12" i="14"/>
  <c r="O14" i="14" s="1"/>
  <c r="P24" i="12"/>
  <c r="P11" i="14" s="1"/>
  <c r="P42" i="12"/>
  <c r="K46" i="12"/>
  <c r="K47" i="12" s="1"/>
  <c r="N22" i="12"/>
  <c r="N25" i="12" s="1"/>
  <c r="N9" i="16" s="1"/>
  <c r="N41" i="12"/>
  <c r="N43" i="12" s="1"/>
  <c r="N11" i="16" s="1"/>
  <c r="K23" i="14" l="1"/>
  <c r="K7" i="18" s="1"/>
  <c r="P5" i="18"/>
  <c r="P12" i="14"/>
  <c r="P14" i="14" s="1"/>
  <c r="K49" i="12"/>
  <c r="K19" i="16" s="1"/>
  <c r="O41" i="12"/>
  <c r="O43" i="12" s="1"/>
  <c r="O11" i="16" s="1"/>
  <c r="O22" i="12"/>
  <c r="O25" i="12" s="1"/>
  <c r="O9" i="16" s="1"/>
  <c r="P22" i="12" l="1"/>
  <c r="P25" i="12" s="1"/>
  <c r="P9" i="16" s="1"/>
  <c r="P6" i="17"/>
  <c r="P6" i="16" s="1"/>
  <c r="P7" i="17"/>
  <c r="P15" i="16" s="1"/>
  <c r="P41" i="12"/>
  <c r="P43" i="12" s="1"/>
  <c r="P11" i="16" s="1"/>
  <c r="L46" i="12"/>
  <c r="L47" i="12" s="1"/>
  <c r="L23" i="14" l="1"/>
  <c r="L7" i="18" s="1"/>
  <c r="P8" i="17"/>
  <c r="L49" i="12"/>
  <c r="L19" i="16" s="1"/>
  <c r="M46" i="12" l="1"/>
  <c r="M47" i="12" s="1"/>
  <c r="M23" i="14" l="1"/>
  <c r="M7" i="18" s="1"/>
  <c r="M49" i="12"/>
  <c r="M19" i="16" s="1"/>
  <c r="N46" i="12" l="1"/>
  <c r="N47" i="12" s="1"/>
  <c r="N23" i="14" l="1"/>
  <c r="N7" i="18" s="1"/>
  <c r="N49" i="12"/>
  <c r="N19" i="16" s="1"/>
  <c r="O46" i="12" l="1"/>
  <c r="O47" i="12" l="1"/>
  <c r="O23" i="14" s="1"/>
  <c r="O49" i="12" l="1"/>
  <c r="O19" i="16" s="1"/>
  <c r="O7" i="18"/>
  <c r="G6" i="17"/>
  <c r="G6" i="16" s="1"/>
  <c r="G7" i="17"/>
  <c r="G15" i="16" s="1"/>
  <c r="P46" i="12" l="1"/>
  <c r="P47" i="12" s="1"/>
  <c r="P23" i="14" s="1"/>
  <c r="F6" i="17"/>
  <c r="F6" i="16" s="1"/>
  <c r="G8" i="17"/>
  <c r="P49" i="12" l="1"/>
  <c r="P19" i="16" s="1"/>
  <c r="P7" i="18"/>
  <c r="F8" i="17"/>
  <c r="H6" i="17"/>
  <c r="H6" i="16" s="1"/>
  <c r="I6" i="17"/>
  <c r="I6" i="16" s="1"/>
  <c r="J6" i="17"/>
  <c r="J6" i="16" s="1"/>
  <c r="K6" i="17"/>
  <c r="K6" i="16" s="1"/>
  <c r="L6" i="17"/>
  <c r="L6" i="16" s="1"/>
  <c r="M6" i="17"/>
  <c r="M6" i="16" s="1"/>
  <c r="N6" i="17"/>
  <c r="N6" i="16" s="1"/>
  <c r="O6" i="17"/>
  <c r="O6" i="16" s="1"/>
  <c r="H7" i="17"/>
  <c r="H15" i="16" s="1"/>
  <c r="I7" i="17"/>
  <c r="I15" i="16" s="1"/>
  <c r="J7" i="17"/>
  <c r="J15" i="16" s="1"/>
  <c r="K7" i="17"/>
  <c r="K15" i="16" s="1"/>
  <c r="L7" i="17"/>
  <c r="L15" i="16" s="1"/>
  <c r="M7" i="17"/>
  <c r="M15" i="16" s="1"/>
  <c r="N7" i="17"/>
  <c r="N15" i="16" s="1"/>
  <c r="O7" i="17"/>
  <c r="O15" i="16" s="1"/>
  <c r="F9" i="2" l="1"/>
  <c r="G11" i="18"/>
  <c r="G10" i="15" s="1"/>
  <c r="F11" i="18"/>
  <c r="F12" i="18" s="1"/>
  <c r="H8" i="17"/>
  <c r="I8" i="17"/>
  <c r="O8" i="17"/>
  <c r="K8" i="17"/>
  <c r="N8" i="17"/>
  <c r="M8" i="17"/>
  <c r="L8" i="17"/>
  <c r="J8" i="17"/>
  <c r="M11" i="18" l="1"/>
  <c r="N11" i="18"/>
  <c r="J11" i="18"/>
  <c r="J10" i="15" s="1"/>
  <c r="P11" i="18"/>
  <c r="P10" i="15" s="1"/>
  <c r="O11" i="18"/>
  <c r="O10" i="15" s="1"/>
  <c r="I11" i="18"/>
  <c r="I10" i="15" s="1"/>
  <c r="H11" i="18"/>
  <c r="H10" i="15" s="1"/>
  <c r="K11" i="18"/>
  <c r="K10" i="15" s="1"/>
  <c r="L11" i="18"/>
  <c r="L10" i="15" s="1"/>
  <c r="N10" i="15"/>
  <c r="M10" i="15"/>
  <c r="D25" i="15" l="1"/>
  <c r="E23" i="15" l="1"/>
  <c r="E25" i="15" s="1"/>
  <c r="D14" i="16"/>
  <c r="D18" i="18" s="1"/>
  <c r="E26" i="15"/>
  <c r="D26" i="15"/>
  <c r="E28" i="15"/>
  <c r="D28" i="15"/>
  <c r="D16" i="16" l="1"/>
  <c r="F23" i="15"/>
  <c r="F25" i="15" s="1"/>
  <c r="E14" i="16"/>
  <c r="E29" i="15"/>
  <c r="E30" i="15" s="1"/>
  <c r="D29" i="15"/>
  <c r="D30" i="15" s="1"/>
  <c r="D7" i="2"/>
  <c r="E18" i="18" l="1"/>
  <c r="E16" i="16"/>
  <c r="F14" i="16"/>
  <c r="F28" i="15"/>
  <c r="F29" i="15" s="1"/>
  <c r="G23" i="15"/>
  <c r="F26" i="15"/>
  <c r="E7" i="2"/>
  <c r="F7" i="2"/>
  <c r="F30" i="15" l="1"/>
  <c r="F18" i="18"/>
  <c r="F16" i="16"/>
  <c r="C7" i="2"/>
  <c r="D42" i="15" l="1"/>
  <c r="E42" i="15"/>
  <c r="E54" i="2" s="1"/>
  <c r="D54" i="2" l="1"/>
  <c r="D21" i="18"/>
  <c r="E21" i="18"/>
  <c r="F21" i="18"/>
  <c r="D4" i="16" l="1"/>
  <c r="E4" i="16"/>
  <c r="F4" i="16"/>
  <c r="G4" i="16"/>
  <c r="H4" i="16"/>
  <c r="I4" i="16"/>
  <c r="J4" i="16"/>
  <c r="K4" i="16"/>
  <c r="L4" i="16"/>
  <c r="M4" i="16"/>
  <c r="N4" i="16"/>
  <c r="O4" i="16"/>
  <c r="P4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G14" i="16"/>
  <c r="H14" i="16"/>
  <c r="I14" i="16"/>
  <c r="J14" i="16"/>
  <c r="K14" i="16"/>
  <c r="L14" i="16"/>
  <c r="M14" i="16"/>
  <c r="N14" i="16"/>
  <c r="O14" i="16"/>
  <c r="P14" i="16"/>
  <c r="G16" i="16"/>
  <c r="H16" i="16"/>
  <c r="I16" i="16"/>
  <c r="J16" i="16"/>
  <c r="K16" i="16"/>
  <c r="L16" i="16"/>
  <c r="M16" i="16"/>
  <c r="N16" i="16"/>
  <c r="O16" i="16"/>
  <c r="P16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E11" i="17"/>
  <c r="F11" i="17"/>
  <c r="G11" i="17"/>
  <c r="H11" i="17"/>
  <c r="I11" i="17"/>
  <c r="J11" i="17"/>
  <c r="K11" i="17"/>
  <c r="L11" i="17"/>
  <c r="M11" i="17"/>
  <c r="N11" i="17"/>
  <c r="O11" i="17"/>
  <c r="P11" i="17"/>
  <c r="G12" i="17"/>
  <c r="H12" i="17"/>
  <c r="I12" i="17"/>
  <c r="J12" i="17"/>
  <c r="K12" i="17"/>
  <c r="L12" i="17"/>
  <c r="M12" i="17"/>
  <c r="N12" i="17"/>
  <c r="O12" i="17"/>
  <c r="P12" i="17"/>
  <c r="D13" i="17"/>
  <c r="E13" i="17"/>
  <c r="F13" i="17"/>
  <c r="G14" i="17"/>
  <c r="H14" i="17"/>
  <c r="I14" i="17"/>
  <c r="J14" i="17"/>
  <c r="K14" i="17"/>
  <c r="L14" i="17"/>
  <c r="M14" i="17"/>
  <c r="N14" i="17"/>
  <c r="O14" i="17"/>
  <c r="P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G4" i="18"/>
  <c r="H4" i="18"/>
  <c r="I4" i="18"/>
  <c r="J4" i="18"/>
  <c r="K4" i="18"/>
  <c r="L4" i="18"/>
  <c r="M4" i="18"/>
  <c r="N4" i="18"/>
  <c r="O4" i="18"/>
  <c r="P4" i="18"/>
  <c r="G6" i="18"/>
  <c r="H6" i="18"/>
  <c r="I6" i="18"/>
  <c r="J6" i="18"/>
  <c r="K6" i="18"/>
  <c r="L6" i="18"/>
  <c r="M6" i="18"/>
  <c r="N6" i="18"/>
  <c r="O6" i="18"/>
  <c r="P6" i="18"/>
  <c r="G9" i="18"/>
  <c r="H9" i="18"/>
  <c r="I9" i="18"/>
  <c r="J9" i="18"/>
  <c r="K9" i="18"/>
  <c r="L9" i="18"/>
  <c r="M9" i="18"/>
  <c r="N9" i="18"/>
  <c r="O9" i="18"/>
  <c r="P9" i="18"/>
  <c r="G12" i="18"/>
  <c r="H12" i="18"/>
  <c r="I12" i="18"/>
  <c r="J12" i="18"/>
  <c r="K12" i="18"/>
  <c r="L12" i="18"/>
  <c r="M12" i="18"/>
  <c r="N12" i="18"/>
  <c r="O12" i="18"/>
  <c r="P12" i="18"/>
  <c r="D15" i="18"/>
  <c r="E15" i="18"/>
  <c r="F15" i="18"/>
  <c r="D16" i="18"/>
  <c r="E16" i="18"/>
  <c r="F16" i="18"/>
  <c r="G18" i="18"/>
  <c r="H18" i="18"/>
  <c r="I18" i="18"/>
  <c r="J18" i="18"/>
  <c r="K18" i="18"/>
  <c r="L18" i="18"/>
  <c r="M18" i="18"/>
  <c r="N18" i="18"/>
  <c r="O18" i="18"/>
  <c r="P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D20" i="18"/>
  <c r="E20" i="18"/>
  <c r="F20" i="18"/>
  <c r="G21" i="18"/>
  <c r="H21" i="18"/>
  <c r="I21" i="18"/>
  <c r="J21" i="18"/>
  <c r="K21" i="18"/>
  <c r="L21" i="18"/>
  <c r="M21" i="18"/>
  <c r="N21" i="18"/>
  <c r="O21" i="18"/>
  <c r="P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F27" i="12"/>
  <c r="F28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D32" i="12"/>
  <c r="E32" i="12"/>
  <c r="F32" i="12"/>
  <c r="G33" i="12"/>
  <c r="H33" i="12"/>
  <c r="I33" i="12"/>
  <c r="J33" i="12"/>
  <c r="K33" i="12"/>
  <c r="L33" i="12"/>
  <c r="M33" i="12"/>
  <c r="N33" i="12"/>
  <c r="O33" i="12"/>
  <c r="P33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G7" i="15"/>
  <c r="H7" i="15"/>
  <c r="I7" i="15"/>
  <c r="J7" i="15"/>
  <c r="K7" i="15"/>
  <c r="L7" i="15"/>
  <c r="M7" i="15"/>
  <c r="N7" i="15"/>
  <c r="O7" i="15"/>
  <c r="P7" i="15"/>
  <c r="G8" i="15"/>
  <c r="H8" i="15"/>
  <c r="I8" i="15"/>
  <c r="J8" i="15"/>
  <c r="K8" i="15"/>
  <c r="L8" i="15"/>
  <c r="M8" i="15"/>
  <c r="N8" i="15"/>
  <c r="O8" i="15"/>
  <c r="P8" i="15"/>
  <c r="G13" i="15"/>
  <c r="H13" i="15"/>
  <c r="I13" i="15"/>
  <c r="J13" i="15"/>
  <c r="K13" i="15"/>
  <c r="L13" i="15"/>
  <c r="M13" i="15"/>
  <c r="N13" i="15"/>
  <c r="O13" i="15"/>
  <c r="P13" i="15"/>
  <c r="G15" i="15"/>
  <c r="H15" i="15"/>
  <c r="I15" i="15"/>
  <c r="J15" i="15"/>
  <c r="K15" i="15"/>
  <c r="L15" i="15"/>
  <c r="M15" i="15"/>
  <c r="N15" i="15"/>
  <c r="O15" i="15"/>
  <c r="P15" i="15"/>
  <c r="G16" i="15"/>
  <c r="H16" i="15"/>
  <c r="I16" i="15"/>
  <c r="J16" i="15"/>
  <c r="K16" i="15"/>
  <c r="L16" i="15"/>
  <c r="M16" i="15"/>
  <c r="N16" i="15"/>
  <c r="O16" i="15"/>
  <c r="P16" i="15"/>
  <c r="G17" i="15"/>
  <c r="H17" i="15"/>
  <c r="I17" i="15"/>
  <c r="J17" i="15"/>
  <c r="K17" i="15"/>
  <c r="L17" i="15"/>
  <c r="M17" i="15"/>
  <c r="N17" i="15"/>
  <c r="O17" i="15"/>
  <c r="P17" i="15"/>
  <c r="H23" i="15"/>
  <c r="I23" i="15"/>
  <c r="J23" i="15"/>
  <c r="K23" i="15"/>
  <c r="L23" i="15"/>
  <c r="M23" i="15"/>
  <c r="N23" i="15"/>
  <c r="O23" i="15"/>
  <c r="P23" i="15"/>
  <c r="G24" i="15"/>
  <c r="H24" i="15"/>
  <c r="I24" i="15"/>
  <c r="J24" i="15"/>
  <c r="K24" i="15"/>
  <c r="L24" i="15"/>
  <c r="M24" i="15"/>
  <c r="N24" i="15"/>
  <c r="O24" i="15"/>
  <c r="P24" i="15"/>
  <c r="G25" i="15"/>
  <c r="H25" i="15"/>
  <c r="I25" i="15"/>
  <c r="J25" i="15"/>
  <c r="K25" i="15"/>
  <c r="L25" i="15"/>
  <c r="M25" i="15"/>
  <c r="N25" i="15"/>
  <c r="O25" i="15"/>
  <c r="P25" i="15"/>
  <c r="G26" i="15"/>
  <c r="H26" i="15"/>
  <c r="I26" i="15"/>
  <c r="J26" i="15"/>
  <c r="K26" i="15"/>
  <c r="L26" i="15"/>
  <c r="M26" i="15"/>
  <c r="N26" i="15"/>
  <c r="O26" i="15"/>
  <c r="P26" i="15"/>
  <c r="G28" i="15"/>
  <c r="H28" i="15"/>
  <c r="I28" i="15"/>
  <c r="J28" i="15"/>
  <c r="K28" i="15"/>
  <c r="L28" i="15"/>
  <c r="M28" i="15"/>
  <c r="N28" i="15"/>
  <c r="O28" i="15"/>
  <c r="P28" i="15"/>
  <c r="G29" i="15"/>
  <c r="H29" i="15"/>
  <c r="I29" i="15"/>
  <c r="J29" i="15"/>
  <c r="K29" i="15"/>
  <c r="L29" i="15"/>
  <c r="M29" i="15"/>
  <c r="N29" i="15"/>
  <c r="O29" i="15"/>
  <c r="P29" i="15"/>
  <c r="G30" i="15"/>
  <c r="H30" i="15"/>
  <c r="I30" i="15"/>
  <c r="J30" i="15"/>
  <c r="K30" i="15"/>
  <c r="L30" i="15"/>
  <c r="M30" i="15"/>
  <c r="N30" i="15"/>
  <c r="O30" i="15"/>
  <c r="P30" i="15"/>
  <c r="G32" i="15"/>
  <c r="H32" i="15"/>
  <c r="I32" i="15"/>
  <c r="J32" i="15"/>
  <c r="K32" i="15"/>
  <c r="L32" i="15"/>
  <c r="M32" i="15"/>
  <c r="N32" i="15"/>
  <c r="O32" i="15"/>
  <c r="P32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D40" i="15"/>
  <c r="E40" i="15"/>
  <c r="F40" i="15"/>
  <c r="G41" i="15"/>
  <c r="H41" i="15"/>
  <c r="I41" i="15"/>
  <c r="J41" i="15"/>
  <c r="K41" i="15"/>
  <c r="L41" i="15"/>
  <c r="M41" i="15"/>
  <c r="N41" i="15"/>
  <c r="O41" i="15"/>
  <c r="P41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D46" i="15"/>
  <c r="E46" i="15"/>
  <c r="F46" i="15"/>
  <c r="D47" i="15"/>
  <c r="E47" i="15"/>
  <c r="F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G50" i="15"/>
  <c r="H50" i="15"/>
  <c r="I50" i="15"/>
  <c r="J50" i="15"/>
  <c r="K50" i="15"/>
  <c r="L50" i="15"/>
  <c r="M50" i="15"/>
  <c r="N50" i="15"/>
  <c r="O50" i="15"/>
  <c r="H52" i="15"/>
  <c r="I52" i="15"/>
  <c r="J52" i="15"/>
  <c r="K52" i="15"/>
  <c r="L52" i="15"/>
  <c r="M52" i="15"/>
  <c r="N52" i="15"/>
  <c r="O52" i="15"/>
  <c r="P52" i="15"/>
  <c r="G53" i="15"/>
  <c r="H53" i="15"/>
  <c r="I53" i="15"/>
  <c r="J53" i="15"/>
  <c r="K53" i="15"/>
  <c r="L53" i="15"/>
  <c r="M53" i="15"/>
  <c r="N53" i="15"/>
  <c r="O53" i="15"/>
  <c r="P53" i="15"/>
  <c r="G54" i="15"/>
  <c r="H54" i="15"/>
  <c r="I54" i="15"/>
  <c r="J54" i="15"/>
  <c r="K54" i="15"/>
  <c r="L54" i="15"/>
  <c r="M54" i="15"/>
  <c r="N54" i="15"/>
  <c r="O54" i="15"/>
  <c r="P54" i="15"/>
  <c r="G55" i="15"/>
  <c r="H55" i="15"/>
  <c r="I55" i="15"/>
  <c r="J55" i="15"/>
  <c r="K55" i="15"/>
  <c r="L55" i="15"/>
  <c r="M55" i="15"/>
  <c r="N55" i="15"/>
  <c r="O55" i="15"/>
  <c r="P55" i="15"/>
  <c r="G58" i="15"/>
  <c r="H58" i="15"/>
  <c r="I58" i="15"/>
  <c r="J58" i="15"/>
  <c r="K58" i="15"/>
  <c r="L58" i="15"/>
  <c r="M58" i="15"/>
  <c r="N58" i="15"/>
  <c r="O58" i="15"/>
  <c r="P58" i="15"/>
  <c r="P59" i="15"/>
  <c r="D60" i="15"/>
  <c r="E60" i="15"/>
  <c r="F60" i="15"/>
  <c r="G60" i="15"/>
  <c r="H60" i="15"/>
  <c r="I60" i="15"/>
  <c r="J60" i="15"/>
  <c r="K60" i="15"/>
  <c r="L60" i="15"/>
  <c r="M60" i="15"/>
  <c r="N60" i="15"/>
  <c r="O60" i="15"/>
  <c r="P60" i="15"/>
  <c r="C61" i="15"/>
  <c r="G17" i="14"/>
  <c r="H17" i="14"/>
  <c r="I17" i="14"/>
  <c r="J17" i="14"/>
  <c r="K17" i="14"/>
  <c r="L17" i="14"/>
  <c r="M17" i="14"/>
  <c r="N17" i="14"/>
  <c r="O17" i="14"/>
  <c r="P17" i="14"/>
  <c r="G19" i="14"/>
  <c r="H19" i="14"/>
  <c r="I19" i="14"/>
  <c r="J19" i="14"/>
  <c r="K19" i="14"/>
  <c r="L19" i="14"/>
  <c r="M19" i="14"/>
  <c r="N19" i="14"/>
  <c r="O19" i="14"/>
  <c r="P19" i="14"/>
  <c r="G21" i="14"/>
  <c r="H21" i="14"/>
  <c r="I21" i="14"/>
  <c r="J21" i="14"/>
  <c r="K21" i="14"/>
  <c r="L21" i="14"/>
  <c r="M21" i="14"/>
  <c r="N21" i="14"/>
  <c r="O21" i="14"/>
  <c r="P21" i="14"/>
  <c r="G22" i="14"/>
  <c r="H22" i="14"/>
  <c r="I22" i="14"/>
  <c r="J22" i="14"/>
  <c r="K22" i="14"/>
  <c r="L22" i="14"/>
  <c r="M22" i="14"/>
  <c r="N22" i="14"/>
  <c r="O22" i="14"/>
  <c r="P22" i="14"/>
  <c r="G24" i="14"/>
  <c r="H24" i="14"/>
  <c r="I24" i="14"/>
  <c r="J24" i="14"/>
  <c r="K24" i="14"/>
  <c r="L24" i="14"/>
  <c r="M24" i="14"/>
  <c r="N24" i="14"/>
  <c r="O24" i="14"/>
  <c r="P24" i="14"/>
  <c r="G26" i="14"/>
  <c r="H26" i="14"/>
  <c r="I26" i="14"/>
  <c r="J26" i="14"/>
  <c r="K26" i="14"/>
  <c r="L26" i="14"/>
  <c r="M26" i="14"/>
  <c r="N26" i="14"/>
  <c r="O26" i="14"/>
  <c r="P26" i="14"/>
  <c r="G27" i="14"/>
  <c r="H27" i="14"/>
  <c r="I27" i="14"/>
  <c r="J27" i="14"/>
  <c r="K27" i="14"/>
  <c r="L27" i="14"/>
  <c r="M27" i="14"/>
  <c r="N27" i="14"/>
  <c r="O27" i="14"/>
  <c r="P27" i="14"/>
  <c r="D8" i="2"/>
  <c r="E8" i="2"/>
  <c r="F8" i="2"/>
  <c r="C11" i="2"/>
  <c r="D11" i="2"/>
  <c r="E11" i="2"/>
  <c r="F11" i="2"/>
  <c r="D12" i="2"/>
  <c r="E12" i="2"/>
  <c r="F12" i="2"/>
  <c r="D15" i="2"/>
  <c r="E15" i="2"/>
  <c r="F15" i="2"/>
  <c r="C16" i="2"/>
  <c r="D16" i="2"/>
  <c r="E16" i="2"/>
  <c r="F16" i="2"/>
  <c r="C17" i="2"/>
  <c r="D17" i="2"/>
  <c r="E17" i="2"/>
  <c r="F17" i="2"/>
  <c r="D53" i="2"/>
  <c r="E53" i="2"/>
  <c r="F53" i="2"/>
  <c r="D55" i="2"/>
  <c r="E55" i="2"/>
  <c r="F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F10" authorId="0" shapeId="0" xr:uid="{DEF23B06-DD16-484A-88FB-7C7140F45CB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 rough estimate based on a 7 year straight line amortization plus interest.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36" authorId="0" shapeId="0" xr:uid="{D91BDFCD-5AB7-45CF-89E3-0C65E7EC82C1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Assume ARO is created at the end of the first year when drilling starts in earnest.</t>
        </r>
      </text>
    </comment>
  </commentList>
</comments>
</file>

<file path=xl/sharedStrings.xml><?xml version="1.0" encoding="utf-8"?>
<sst xmlns="http://schemas.openxmlformats.org/spreadsheetml/2006/main" count="354" uniqueCount="201">
  <si>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</si>
  <si>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</si>
  <si>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</si>
  <si>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</si>
  <si>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</si>
  <si>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</si>
  <si>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</si>
  <si>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</si>
  <si>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</si>
  <si>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</si>
  <si>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</si>
  <si>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</si>
  <si>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</si>
  <si>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</si>
  <si>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</si>
  <si>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</si>
  <si>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</si>
  <si>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</si>
  <si>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Modeling an income statement</t>
  </si>
  <si>
    <t>Modeling a balance sheet</t>
  </si>
  <si>
    <t>Modeling a cash flow statement</t>
  </si>
  <si>
    <t>Assumptions, income statement, balance sheet, cash flow statement</t>
  </si>
  <si>
    <t>Model 2</t>
  </si>
  <si>
    <t>Model 1</t>
  </si>
  <si>
    <t>Modeling interest</t>
  </si>
  <si>
    <t>Dealing with circular references</t>
  </si>
  <si>
    <t>US$</t>
  </si>
  <si>
    <t>Assumptions</t>
  </si>
  <si>
    <t>Reserves</t>
  </si>
  <si>
    <t>% production</t>
  </si>
  <si>
    <t>Total</t>
  </si>
  <si>
    <t>Crude oil reserves MMBOE</t>
  </si>
  <si>
    <t>NGL reserves 1,000 cubic feet</t>
  </si>
  <si>
    <t>NGL production 1,000 cubic feet</t>
  </si>
  <si>
    <t>Crude oil production MMBOE</t>
  </si>
  <si>
    <t>NGL production MMBOE</t>
  </si>
  <si>
    <t>Key conversions</t>
  </si>
  <si>
    <t>NGL cubic feet per barrel of oil equivalent</t>
  </si>
  <si>
    <t xml:space="preserve"> Total production MMBOE</t>
  </si>
  <si>
    <t>Brent oil price forecast</t>
  </si>
  <si>
    <t>Construction</t>
  </si>
  <si>
    <t>Operation</t>
  </si>
  <si>
    <t>Revenues</t>
  </si>
  <si>
    <t>Lifting costs per BOE US$</t>
  </si>
  <si>
    <t>Transportation costs per BOE US$</t>
  </si>
  <si>
    <t xml:space="preserve"> Total variable costs per BOE US$</t>
  </si>
  <si>
    <t>Total variable costs US$MM</t>
  </si>
  <si>
    <t>Total BOE revenues</t>
  </si>
  <si>
    <t>Revenues and variable costs</t>
  </si>
  <si>
    <t>Total oil reserves MMBOE</t>
  </si>
  <si>
    <t>Total reserves MMBOE</t>
  </si>
  <si>
    <t xml:space="preserve">Capex </t>
  </si>
  <si>
    <t>Drilling</t>
  </si>
  <si>
    <t>Pre-spud</t>
  </si>
  <si>
    <t>Testing / completion</t>
  </si>
  <si>
    <t>Depletion</t>
  </si>
  <si>
    <t>Property, plant and equipment</t>
  </si>
  <si>
    <t>Beginning balance</t>
  </si>
  <si>
    <t>Capex</t>
  </si>
  <si>
    <t xml:space="preserve"> Ending balance</t>
  </si>
  <si>
    <t>Total development capex</t>
  </si>
  <si>
    <t>Total development costs</t>
  </si>
  <si>
    <t>Depletion per BOE</t>
  </si>
  <si>
    <t>NGL reserves MMBOE</t>
  </si>
  <si>
    <t>Total production MMBOE</t>
  </si>
  <si>
    <t>Depletion and amortization</t>
  </si>
  <si>
    <t>Soft costs</t>
  </si>
  <si>
    <t>Petroleum consultants</t>
  </si>
  <si>
    <t>Legal / accounting</t>
  </si>
  <si>
    <t xml:space="preserve"> Total soft costs spend</t>
  </si>
  <si>
    <t>Total soft costs</t>
  </si>
  <si>
    <t>Amortization per BOE</t>
  </si>
  <si>
    <t>Soft costs spend</t>
  </si>
  <si>
    <t>Amortization</t>
  </si>
  <si>
    <t>Asset retirement obligation</t>
  </si>
  <si>
    <t>Projected termination spend</t>
  </si>
  <si>
    <t>Discount rate</t>
  </si>
  <si>
    <t>Net present value</t>
  </si>
  <si>
    <t>Accrued interest</t>
  </si>
  <si>
    <t>Asset retirement spend</t>
  </si>
  <si>
    <t>Asset retirement obligation liability</t>
  </si>
  <si>
    <t>Asset retirement obligation asset</t>
  </si>
  <si>
    <t>Sources and uses of funds</t>
  </si>
  <si>
    <t>Total uses of funds</t>
  </si>
  <si>
    <t>Total sources of funds</t>
  </si>
  <si>
    <t>Uses and sources of funds</t>
  </si>
  <si>
    <t>Equity % capital</t>
  </si>
  <si>
    <t>Percent of spend</t>
  </si>
  <si>
    <t>Interest rate</t>
  </si>
  <si>
    <t>Commitment fee</t>
  </si>
  <si>
    <t>Drawdown</t>
  </si>
  <si>
    <t>Repayment</t>
  </si>
  <si>
    <t>Interest expense</t>
  </si>
  <si>
    <t>Unused facility</t>
  </si>
  <si>
    <t>Returns to equity holders</t>
  </si>
  <si>
    <t>Year count</t>
  </si>
  <si>
    <t>Spread over</t>
  </si>
  <si>
    <t>LIBOR</t>
  </si>
  <si>
    <t xml:space="preserve">Commitment </t>
  </si>
  <si>
    <t>fee</t>
  </si>
  <si>
    <t>Free cash flows to equity holders</t>
  </si>
  <si>
    <t>Internal rate of return</t>
  </si>
  <si>
    <t>Income statement</t>
  </si>
  <si>
    <t>Crude oil revenues</t>
  </si>
  <si>
    <t>NGL revenues</t>
  </si>
  <si>
    <t>Lifting costs</t>
  </si>
  <si>
    <t>Transportation costs</t>
  </si>
  <si>
    <t xml:space="preserve"> Gross profit</t>
  </si>
  <si>
    <t>Royalties / license costs % of revenue</t>
  </si>
  <si>
    <t>Royalties</t>
  </si>
  <si>
    <t>Operational expenditure</t>
  </si>
  <si>
    <t xml:space="preserve"> Operating profit</t>
  </si>
  <si>
    <t>Interest on asset retirement obligation</t>
  </si>
  <si>
    <t xml:space="preserve"> Profit before tax</t>
  </si>
  <si>
    <t>Tax expense</t>
  </si>
  <si>
    <t>Tax rate</t>
  </si>
  <si>
    <t xml:space="preserve"> Net income</t>
  </si>
  <si>
    <t>Balance sheet</t>
  </si>
  <si>
    <t>Cash</t>
  </si>
  <si>
    <t>Working capital</t>
  </si>
  <si>
    <t>Accounts receivable</t>
  </si>
  <si>
    <t>Inventory</t>
  </si>
  <si>
    <t>Accounts payable</t>
  </si>
  <si>
    <t>Accounts receivable days (DSO)</t>
  </si>
  <si>
    <t>Inventory days (DIO)</t>
  </si>
  <si>
    <t>Accounts payable days (DPO)</t>
  </si>
  <si>
    <t>Inventory build up %</t>
  </si>
  <si>
    <t xml:space="preserve"> Total current assets</t>
  </si>
  <si>
    <t xml:space="preserve"> Total cost of goods sold</t>
  </si>
  <si>
    <t>Net PP&amp;E</t>
  </si>
  <si>
    <t>Asset retirement asset</t>
  </si>
  <si>
    <t xml:space="preserve"> Total assets</t>
  </si>
  <si>
    <t>Revolving credit facility / letter of credit</t>
  </si>
  <si>
    <t>Drawdown (repayment)</t>
  </si>
  <si>
    <t xml:space="preserve"> Total current liabilities</t>
  </si>
  <si>
    <t xml:space="preserve"> Total liabilities</t>
  </si>
  <si>
    <t>Operating working capital</t>
  </si>
  <si>
    <t xml:space="preserve"> Operating working capital</t>
  </si>
  <si>
    <t>Shareholders' equity</t>
  </si>
  <si>
    <t>Net income</t>
  </si>
  <si>
    <t>Issuance</t>
  </si>
  <si>
    <t>Dividends</t>
  </si>
  <si>
    <t xml:space="preserve"> Ending</t>
  </si>
  <si>
    <t>Calculations</t>
  </si>
  <si>
    <t>Finance</t>
  </si>
  <si>
    <t xml:space="preserve"> Total liabilities and equity</t>
  </si>
  <si>
    <t>Check</t>
  </si>
  <si>
    <t>Cash flow statement</t>
  </si>
  <si>
    <t xml:space="preserve"> Funds from operations</t>
  </si>
  <si>
    <t>(Inc) dec in operating working capital</t>
  </si>
  <si>
    <t xml:space="preserve"> Cash flow from operations</t>
  </si>
  <si>
    <t>(Capital expenditure)</t>
  </si>
  <si>
    <t xml:space="preserve"> Cash flow from investing activities</t>
  </si>
  <si>
    <t>Inc (dec) in revolving credit facility</t>
  </si>
  <si>
    <t>(Dividends)</t>
  </si>
  <si>
    <t xml:space="preserve"> Cash flow from financing</t>
  </si>
  <si>
    <t>Beginning cash</t>
  </si>
  <si>
    <t>Net cash flow</t>
  </si>
  <si>
    <t xml:space="preserve"> Ending cash</t>
  </si>
  <si>
    <t>Issuance of equity</t>
  </si>
  <si>
    <t>Cash flow for debt servicing</t>
  </si>
  <si>
    <t>Interest on revolving credit facility</t>
  </si>
  <si>
    <t>Cash capitalized interest</t>
  </si>
  <si>
    <t>Non-cash capitalized interest</t>
  </si>
  <si>
    <t>(Cash soft asset expenditure)</t>
  </si>
  <si>
    <t>License purchase</t>
  </si>
  <si>
    <t>Average life</t>
  </si>
  <si>
    <t>Equity IRR</t>
  </si>
  <si>
    <t>Oil and gas project</t>
  </si>
  <si>
    <t>Reserve assumptions</t>
  </si>
  <si>
    <t>Project Finance Modeling - Oil and Gas Project</t>
  </si>
  <si>
    <t>End</t>
  </si>
  <si>
    <t>Equity - sponsor</t>
  </si>
  <si>
    <t>SG&amp;A Opex</t>
  </si>
  <si>
    <t>(Asset retirement payments)</t>
  </si>
  <si>
    <t>Total cash interest expense on revolving credit facility</t>
  </si>
  <si>
    <t>Syndicated loan</t>
  </si>
  <si>
    <t>Interest expense syndicated loan</t>
  </si>
  <si>
    <t>Inc (dec) in syndicated loan</t>
  </si>
  <si>
    <t>Cash flow to service syndicated loan</t>
  </si>
  <si>
    <t>Dividends to equity holders</t>
  </si>
  <si>
    <t>Debt service coverage ratio</t>
  </si>
  <si>
    <t xml:space="preserve"> Cash flow available for debt service</t>
  </si>
  <si>
    <t>Cash after debt servicing</t>
  </si>
  <si>
    <t>EBITDA</t>
  </si>
  <si>
    <t>Total cash interest expense on syndicated loan</t>
  </si>
  <si>
    <t xml:space="preserve"> Cash flow available for debt repayment</t>
  </si>
  <si>
    <t>Beginning debt service reserve account</t>
  </si>
  <si>
    <t>Next year's interest and debt repayment</t>
  </si>
  <si>
    <t>Ending debt service reserve account</t>
  </si>
  <si>
    <t>LLCR (over project period)</t>
  </si>
  <si>
    <t xml:space="preserve"> Unlevered free cash flow</t>
  </si>
  <si>
    <t>Interest during construction</t>
  </si>
  <si>
    <t>Rolled up interest</t>
  </si>
  <si>
    <t>Rolled up interest years</t>
  </si>
  <si>
    <t>Rolled up</t>
  </si>
  <si>
    <t>interest years</t>
  </si>
  <si>
    <t xml:space="preserve"> Total cash soft costs spend excluding interest</t>
  </si>
  <si>
    <t>Non-interest cash soft costs spend</t>
  </si>
  <si>
    <t>Ending cash</t>
  </si>
  <si>
    <t>Debt service reserve account initial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</si>
</sst>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  <numFmt numFmtId="173" formatCode="#,##0_);\(#,##0\);0_);@_)"/>
    <numFmt numFmtId="174" formatCode="#,##0.0\ \x_);\(#,##0.0\ \x\)"/>
  </numFmts>
  <fonts count="38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85393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74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1" applyNumberFormat="0">
      <protection locked="0"/>
    </xf>
    <xf numFmtId="0" fontId="2" fillId="5" borderId="12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7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2" xfId="62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Alignment="1"/>
    <xf numFmtId="0" fontId="5" fillId="5" borderId="12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8" fontId="30" fillId="37" borderId="11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2" xfId="62" applyFont="1" applyAlignment="1"/>
    <xf numFmtId="172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0" fontId="0" fillId="0" borderId="0" xfId="57" applyFont="1" applyFill="1"/>
    <xf numFmtId="170" fontId="30" fillId="37" borderId="11" xfId="57" applyFont="1" applyFill="1" applyBorder="1" applyProtection="1">
      <protection locked="0"/>
    </xf>
    <xf numFmtId="172" fontId="30" fillId="37" borderId="11" xfId="61" applyNumberFormat="1">
      <protection locked="0"/>
    </xf>
    <xf numFmtId="173" fontId="30" fillId="37" borderId="11" xfId="61" applyNumberFormat="1">
      <protection locked="0"/>
    </xf>
    <xf numFmtId="173" fontId="0" fillId="0" borderId="0" xfId="0" applyNumberFormat="1"/>
    <xf numFmtId="172" fontId="0" fillId="0" borderId="0" xfId="0" applyAlignment="1">
      <alignment horizontal="right"/>
    </xf>
    <xf numFmtId="168" fontId="35" fillId="0" borderId="0" xfId="54" applyFont="1">
      <alignment vertical="top"/>
    </xf>
    <xf numFmtId="172" fontId="36" fillId="0" borderId="0" xfId="0" applyFont="1"/>
    <xf numFmtId="0" fontId="37" fillId="0" borderId="0" xfId="0" applyNumberFormat="1" applyFont="1"/>
    <xf numFmtId="9" fontId="0" fillId="0" borderId="0" xfId="0" applyNumberFormat="1"/>
    <xf numFmtId="174" fontId="30" fillId="37" borderId="11" xfId="56" applyFont="1" applyFill="1" applyBorder="1" applyProtection="1">
      <protection locked="0"/>
    </xf>
    <xf numFmtId="174" fontId="0" fillId="0" borderId="0" xfId="56" applyFont="1"/>
    <xf numFmtId="172" fontId="29" fillId="0" borderId="0" xfId="0" applyFont="1"/>
    <xf numFmtId="172" fontId="0" fillId="0" borderId="0" xfId="0" quotePrefix="1"/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72" fontId="0" fillId="5" borderId="0" xfId="51" applyNumberFormat="1" applyFont="1" applyAlignment="1">
      <alignment horizontal="left"/>
    </xf>
    <xf numFmtId="168" fontId="30" fillId="37" borderId="11" xfId="61" applyNumberFormat="1">
      <protection locked="0"/>
    </xf>
    <xf numFmtId="166" fontId="30" fillId="37" borderId="11" xfId="61" applyNumberFormat="1">
      <protection locked="0"/>
    </xf>
    <xf numFmtId="0" fontId="30" fillId="37" borderId="11" xfId="61" applyNumberFormat="1"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astair%20Matchett\AppData\Roaming\Microsoft\AddIns\FE%20Training%20(1)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"/>
      <sheetName val="Shortcuts"/>
      <sheetName val="Constants"/>
      <sheetName val="FE Training (1)"/>
    </sheetNames>
    <definedNames>
      <definedName name="FR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22" customFormat="1" ht="75" customHeight="1" x14ac:dyDescent="0.45">
      <c r="A2" s="78" t="s">
        <v>170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7"/>
      <c r="D4" s="77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79" t="s">
        <v>11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23" customFormat="1" ht="15" customHeight="1" x14ac:dyDescent="0.4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4" s="23" customFormat="1" ht="15" customHeight="1" x14ac:dyDescent="0.45">
      <c r="A7" s="79" t="str">
        <f ca="1">"© "&amp;YEAR(TODAY())&amp;" Financial Edge Training "</f>
        <v xml:space="preserve">© 2026 Financial Edge Training 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0"/>
      <c r="H9" s="80"/>
      <c r="I9" s="80"/>
      <c r="J9" s="80"/>
      <c r="K9" s="28"/>
    </row>
    <row r="10" spans="1:14" s="23" customFormat="1" ht="15" customHeight="1" x14ac:dyDescent="0.45">
      <c r="B10" s="24"/>
      <c r="C10" s="24"/>
      <c r="F10" s="28"/>
      <c r="G10" s="80"/>
      <c r="H10" s="80"/>
      <c r="I10" s="80"/>
      <c r="J10" s="80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6"/>
      <c r="H12" s="76"/>
      <c r="I12" s="76"/>
      <c r="J12" s="76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6"/>
      <c r="H13" s="76"/>
      <c r="I13" s="76"/>
      <c r="J13" s="76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6"/>
      <c r="H14" s="76"/>
      <c r="I14" s="76"/>
      <c r="J14" s="76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6"/>
      <c r="H16" s="76"/>
      <c r="I16" s="76"/>
      <c r="J16" s="76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E5BD-A36D-487D-B3BD-FA2818EF5A54}">
  <sheetPr>
    <pageSetUpPr fitToPage="1"/>
  </sheetPr>
  <dimension ref="A1:P33"/>
  <sheetViews>
    <sheetView zoomScaleNormal="100" workbookViewId="0">
      <pane xSplit="2" ySplit="2" topLeftCell="C13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D19" sqref="D19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139</v>
      </c>
      <c r="D4">
        <f>IS!D27</f>
        <v>0</v>
      </c>
      <c r="E4">
        <f>IS!E27</f>
        <v>0</v>
      </c>
      <c r="F4">
        <f>IS!F27</f>
        <v>0</v>
      </c>
      <c r="G4">
        <f ca="1">IS!G27</f>
        <v>27.115082822194587</v>
      </c>
      <c r="H4">
        <f ca="1">IS!H27</f>
        <v>97.371034014266712</v>
      </c>
      <c r="I4">
        <f ca="1">IS!I27</f>
        <v>186.05808650071512</v>
      </c>
      <c r="J4">
        <f ca="1">IS!J27</f>
        <v>198.66679036874621</v>
      </c>
      <c r="K4">
        <f ca="1">IS!K27</f>
        <v>211.93691059874965</v>
      </c>
      <c r="L4">
        <f ca="1">IS!L27</f>
        <v>221.73086482073759</v>
      </c>
      <c r="M4">
        <f ca="1">IS!M27</f>
        <v>224.29340834002505</v>
      </c>
      <c r="N4">
        <f ca="1">IS!N27</f>
        <v>107.9912921528077</v>
      </c>
      <c r="O4">
        <f ca="1">IS!O27</f>
        <v>8.6348468901065392</v>
      </c>
      <c r="P4">
        <f ca="1">IS!P27</f>
        <v>-0.8</v>
      </c>
    </row>
    <row r="5" spans="1:16" s="73" customFormat="1" ht="15" customHeight="1" x14ac:dyDescent="0.45">
      <c r="B5" s="16" t="str">
        <f>IS!B11</f>
        <v>Depletion</v>
      </c>
      <c r="D5" s="73">
        <f>-IS!D11</f>
        <v>0</v>
      </c>
      <c r="E5" s="73">
        <f>-IS!E11</f>
        <v>0</v>
      </c>
      <c r="F5" s="73">
        <f>-IS!F11</f>
        <v>0</v>
      </c>
      <c r="G5" s="73">
        <f>-IS!G11</f>
        <v>107.09999999999997</v>
      </c>
      <c r="H5" s="73">
        <f>-IS!H11</f>
        <v>214.19999999999993</v>
      </c>
      <c r="I5" s="73">
        <f>-IS!I11</f>
        <v>321.2999999999999</v>
      </c>
      <c r="J5" s="73">
        <f>-IS!J11</f>
        <v>321.30000000000007</v>
      </c>
      <c r="K5" s="73">
        <f>-IS!K11</f>
        <v>321.2999999999999</v>
      </c>
      <c r="L5" s="73">
        <f>-IS!L11</f>
        <v>321.29999999999995</v>
      </c>
      <c r="M5" s="73">
        <f>-IS!M11</f>
        <v>321.29999999999995</v>
      </c>
      <c r="N5" s="73">
        <f>-IS!N11</f>
        <v>171.36</v>
      </c>
      <c r="O5" s="73">
        <f>-IS!O11</f>
        <v>42.839999999999996</v>
      </c>
      <c r="P5" s="73">
        <f>-IS!P11</f>
        <v>0</v>
      </c>
    </row>
    <row r="6" spans="1:16" s="73" customFormat="1" ht="15" customHeight="1" x14ac:dyDescent="0.45">
      <c r="B6" s="16" t="str">
        <f>IS!B17</f>
        <v>Amortization</v>
      </c>
      <c r="D6" s="73">
        <f>-IS!D17</f>
        <v>0</v>
      </c>
      <c r="E6" s="73">
        <f>-IS!E17</f>
        <v>0</v>
      </c>
      <c r="F6" s="73">
        <f>-IS!F17</f>
        <v>0</v>
      </c>
      <c r="G6" s="73">
        <f ca="1">-IS!G17</f>
        <v>18.686727430681319</v>
      </c>
      <c r="H6" s="73">
        <f ca="1">-IS!H17</f>
        <v>37.373454861362639</v>
      </c>
      <c r="I6" s="73">
        <f ca="1">-IS!I17</f>
        <v>56.060182292043962</v>
      </c>
      <c r="J6" s="73">
        <f ca="1">-IS!J17</f>
        <v>56.06018229204399</v>
      </c>
      <c r="K6" s="73">
        <f ca="1">-IS!K17</f>
        <v>56.060182292043962</v>
      </c>
      <c r="L6" s="73">
        <f ca="1">-IS!L17</f>
        <v>56.060182292043976</v>
      </c>
      <c r="M6" s="73">
        <f ca="1">-IS!M17</f>
        <v>56.060182292043969</v>
      </c>
      <c r="N6" s="73">
        <f ca="1">-IS!N17</f>
        <v>29.898763889090123</v>
      </c>
      <c r="O6" s="73">
        <f ca="1">-IS!O17</f>
        <v>7.4746909722725299</v>
      </c>
      <c r="P6" s="73">
        <f ca="1">-IS!P17</f>
        <v>0</v>
      </c>
    </row>
    <row r="7" spans="1:16" s="73" customFormat="1" ht="15" customHeight="1" x14ac:dyDescent="0.45">
      <c r="B7" s="16" t="str">
        <f>IS!B23</f>
        <v>Interest on asset retirement obligation</v>
      </c>
      <c r="D7" s="73">
        <f>-IS!D23</f>
        <v>0</v>
      </c>
      <c r="E7" s="73">
        <f>-IS!E23</f>
        <v>0</v>
      </c>
      <c r="F7" s="73">
        <f>-IS!F23</f>
        <v>0</v>
      </c>
      <c r="G7" s="73">
        <f>-IS!G23</f>
        <v>2.5072818915131854</v>
      </c>
      <c r="H7" s="73">
        <f>-IS!H23</f>
        <v>2.6577188050039764</v>
      </c>
      <c r="I7" s="73">
        <f>-IS!I23</f>
        <v>2.817181933304215</v>
      </c>
      <c r="J7" s="73">
        <f>-IS!J23</f>
        <v>2.9862128493024676</v>
      </c>
      <c r="K7" s="73">
        <f>-IS!K23</f>
        <v>3.1653856202606159</v>
      </c>
      <c r="L7" s="73">
        <f>-IS!L23</f>
        <v>3.3553087574762528</v>
      </c>
      <c r="M7" s="73">
        <f>-IS!M23</f>
        <v>3.5566272829248278</v>
      </c>
      <c r="N7" s="73">
        <f>-IS!N23</f>
        <v>3.7700249199003175</v>
      </c>
      <c r="O7" s="73">
        <f>-IS!O23</f>
        <v>3.3962264150943366</v>
      </c>
      <c r="P7" s="73">
        <f>-IS!P23</f>
        <v>0</v>
      </c>
    </row>
    <row r="8" spans="1:16" ht="15" customHeight="1" x14ac:dyDescent="0.45">
      <c r="A8"/>
      <c r="B8" s="16" t="s">
        <v>174</v>
      </c>
      <c r="D8">
        <f>Depletion!D48</f>
        <v>0</v>
      </c>
      <c r="E8">
        <f>Depletion!E48</f>
        <v>0</v>
      </c>
      <c r="F8">
        <f>Depletion!F48</f>
        <v>0</v>
      </c>
      <c r="G8">
        <f>Depletion!G48</f>
        <v>0</v>
      </c>
      <c r="H8">
        <f>Depletion!H48</f>
        <v>0</v>
      </c>
      <c r="I8">
        <f>Depletion!I48</f>
        <v>0</v>
      </c>
      <c r="J8">
        <f>Depletion!J48</f>
        <v>0</v>
      </c>
      <c r="K8">
        <f>Depletion!K48</f>
        <v>0</v>
      </c>
      <c r="L8">
        <f>Depletion!L48</f>
        <v>0</v>
      </c>
      <c r="M8">
        <f>Depletion!M48</f>
        <v>0</v>
      </c>
      <c r="N8">
        <f>Depletion!N48</f>
        <v>-10</v>
      </c>
      <c r="O8">
        <f>Depletion!O48</f>
        <v>-60</v>
      </c>
      <c r="P8">
        <f>Depletion!P48</f>
        <v>0</v>
      </c>
    </row>
    <row r="9" spans="1:16" ht="15" customHeight="1" x14ac:dyDescent="0.45">
      <c r="A9"/>
      <c r="B9" s="16" t="s">
        <v>148</v>
      </c>
      <c r="D9">
        <f>SUM(D4:D8)</f>
        <v>0</v>
      </c>
      <c r="E9">
        <f t="shared" ref="E9:P9" si="2">SUM(E4:E8)</f>
        <v>0</v>
      </c>
      <c r="F9">
        <f t="shared" si="2"/>
        <v>0</v>
      </c>
      <c r="G9">
        <f t="shared" ca="1" si="2"/>
        <v>155.40909214438904</v>
      </c>
      <c r="H9">
        <f t="shared" ca="1" si="2"/>
        <v>351.60220768063323</v>
      </c>
      <c r="I9">
        <f t="shared" ca="1" si="2"/>
        <v>566.23545072606316</v>
      </c>
      <c r="J9">
        <f t="shared" ca="1" si="2"/>
        <v>579.01318551009274</v>
      </c>
      <c r="K9">
        <f t="shared" ca="1" si="2"/>
        <v>592.46247851105409</v>
      </c>
      <c r="L9">
        <f t="shared" ca="1" si="2"/>
        <v>602.44635587025778</v>
      </c>
      <c r="M9">
        <f t="shared" ca="1" si="2"/>
        <v>605.21021791499379</v>
      </c>
      <c r="N9">
        <f t="shared" ca="1" si="2"/>
        <v>303.02008096179816</v>
      </c>
      <c r="O9">
        <f t="shared" ca="1" si="2"/>
        <v>2.3457642774733998</v>
      </c>
      <c r="P9">
        <f t="shared" ca="1" si="2"/>
        <v>-0.8</v>
      </c>
    </row>
    <row r="10" spans="1:16" ht="15" customHeight="1" x14ac:dyDescent="0.45">
      <c r="A10"/>
    </row>
    <row r="11" spans="1:16" ht="15" customHeight="1" x14ac:dyDescent="0.45">
      <c r="A11"/>
      <c r="B11" s="16" t="s">
        <v>149</v>
      </c>
      <c r="D11">
        <f>Calcs!C8-Calcs!D8</f>
        <v>0</v>
      </c>
      <c r="E11">
        <f>Calcs!D8-Calcs!E8</f>
        <v>0</v>
      </c>
      <c r="F11">
        <f>Calcs!E8-Calcs!F8</f>
        <v>-1.9569863013698623</v>
      </c>
      <c r="G11">
        <f>Calcs!F8-Calcs!G8</f>
        <v>-17.402465753424668</v>
      </c>
      <c r="H11">
        <f>Calcs!G8-Calcs!H8</f>
        <v>-16.141052054794521</v>
      </c>
      <c r="I11">
        <f>Calcs!H8-Calcs!I8</f>
        <v>-17.750252054794508</v>
      </c>
      <c r="J11">
        <f>Calcs!I8-Calcs!J8</f>
        <v>0</v>
      </c>
      <c r="K11">
        <f>Calcs!J8-Calcs!K8</f>
        <v>0</v>
      </c>
      <c r="L11">
        <f>Calcs!K8-Calcs!L8</f>
        <v>0</v>
      </c>
      <c r="M11">
        <f>Calcs!L8-Calcs!M8</f>
        <v>0</v>
      </c>
      <c r="N11">
        <f>Calcs!M8-Calcs!N8</f>
        <v>24.850352876712321</v>
      </c>
      <c r="O11">
        <f>Calcs!N8-Calcs!O8</f>
        <v>21.300302465753429</v>
      </c>
      <c r="P11">
        <f>Calcs!O8-Calcs!P8</f>
        <v>7.1001008219178106</v>
      </c>
    </row>
    <row r="12" spans="1:16" ht="15" customHeight="1" x14ac:dyDescent="0.45">
      <c r="B12" s="16" t="s">
        <v>150</v>
      </c>
      <c r="D12">
        <f>D9+D11</f>
        <v>0</v>
      </c>
      <c r="E12">
        <f t="shared" ref="E12:P12" si="3">E9+E11</f>
        <v>0</v>
      </c>
      <c r="F12">
        <f t="shared" si="3"/>
        <v>-1.9569863013698623</v>
      </c>
      <c r="G12">
        <f t="shared" ca="1" si="3"/>
        <v>138.00662639096436</v>
      </c>
      <c r="H12">
        <f t="shared" ca="1" si="3"/>
        <v>335.46115562583873</v>
      </c>
      <c r="I12">
        <f t="shared" ca="1" si="3"/>
        <v>548.48519867126868</v>
      </c>
      <c r="J12">
        <f t="shared" ca="1" si="3"/>
        <v>579.01318551009274</v>
      </c>
      <c r="K12">
        <f t="shared" ca="1" si="3"/>
        <v>592.46247851105409</v>
      </c>
      <c r="L12">
        <f t="shared" ca="1" si="3"/>
        <v>602.44635587025778</v>
      </c>
      <c r="M12">
        <f t="shared" ca="1" si="3"/>
        <v>605.21021791499379</v>
      </c>
      <c r="N12">
        <f t="shared" ca="1" si="3"/>
        <v>327.87043383851051</v>
      </c>
      <c r="O12">
        <f t="shared" ca="1" si="3"/>
        <v>23.646066743226829</v>
      </c>
      <c r="P12">
        <f t="shared" ca="1" si="3"/>
        <v>6.3001008219178107</v>
      </c>
    </row>
    <row r="13" spans="1:16" ht="15" customHeight="1" x14ac:dyDescent="0.45">
      <c r="A13"/>
    </row>
    <row r="14" spans="1:16" ht="15" customHeight="1" x14ac:dyDescent="0.45">
      <c r="A14"/>
      <c r="B14" s="16" t="s">
        <v>151</v>
      </c>
      <c r="D14">
        <f>-'S&amp;U'!D6</f>
        <v>-180</v>
      </c>
      <c r="E14">
        <f>-'S&amp;U'!E6</f>
        <v>-1235</v>
      </c>
      <c r="F14">
        <f>-'S&amp;U'!F6</f>
        <v>-727</v>
      </c>
    </row>
    <row r="15" spans="1:16" ht="15" customHeight="1" x14ac:dyDescent="0.45">
      <c r="A15"/>
      <c r="B15" s="16" t="s">
        <v>164</v>
      </c>
      <c r="D15">
        <f ca="1">-'S&amp;U'!D7-'S&amp;U'!D8</f>
        <v>-226.50847609707336</v>
      </c>
      <c r="E15">
        <f ca="1">-'S&amp;U'!E7-'S&amp;U'!E8</f>
        <v>-40.898258544203387</v>
      </c>
      <c r="F15">
        <f ca="1">-'S&amp;U'!F7-'S&amp;U'!F8</f>
        <v>-64.539782447130023</v>
      </c>
    </row>
    <row r="16" spans="1:16" ht="15" customHeight="1" x14ac:dyDescent="0.45">
      <c r="A16"/>
      <c r="B16" s="16" t="s">
        <v>152</v>
      </c>
      <c r="D16">
        <f ca="1">SUM(D14:D15)</f>
        <v>-406.50847609707336</v>
      </c>
      <c r="E16">
        <f t="shared" ref="E16:F16" ca="1" si="4">SUM(E14:E15)</f>
        <v>-1275.8982585442034</v>
      </c>
      <c r="F16">
        <f t="shared" ca="1" si="4"/>
        <v>-791.53978244713005</v>
      </c>
    </row>
    <row r="17" spans="1:16" ht="15" customHeight="1" x14ac:dyDescent="0.45">
      <c r="A17"/>
    </row>
    <row r="18" spans="1:16" ht="15" customHeight="1" x14ac:dyDescent="0.45">
      <c r="A18"/>
      <c r="B18" s="16" t="s">
        <v>153</v>
      </c>
      <c r="D18">
        <f>BS!D14-BS!C14</f>
        <v>0</v>
      </c>
      <c r="E18">
        <f>BS!E14-BS!D14</f>
        <v>0</v>
      </c>
      <c r="F18">
        <f>BS!F14-BS!E14</f>
        <v>0</v>
      </c>
      <c r="G18">
        <f ca="1">BS!G14-BS!F14</f>
        <v>0</v>
      </c>
      <c r="H18">
        <f ca="1">BS!H14-BS!G14</f>
        <v>0</v>
      </c>
      <c r="I18">
        <f ca="1">BS!I14-BS!H14</f>
        <v>0</v>
      </c>
      <c r="J18">
        <f ca="1">BS!J14-BS!I14</f>
        <v>0</v>
      </c>
      <c r="K18">
        <f ca="1">BS!K14-BS!J14</f>
        <v>0</v>
      </c>
      <c r="L18">
        <f ca="1">BS!L14-BS!K14</f>
        <v>0</v>
      </c>
      <c r="M18">
        <f ca="1">BS!M14-BS!L14</f>
        <v>0</v>
      </c>
      <c r="N18">
        <f ca="1">BS!N14-BS!M14</f>
        <v>0</v>
      </c>
      <c r="O18">
        <f ca="1">BS!O14-BS!N14</f>
        <v>0</v>
      </c>
      <c r="P18">
        <f ca="1">BS!P14-BS!O14</f>
        <v>0</v>
      </c>
    </row>
    <row r="19" spans="1:16" ht="15" customHeight="1" x14ac:dyDescent="0.45">
      <c r="A19"/>
      <c r="B19" s="16" t="s">
        <v>178</v>
      </c>
      <c r="D19">
        <f ca="1">Finance!D40+Finance!D41</f>
        <v>267.23173980489071</v>
      </c>
      <c r="E19">
        <f ca="1">Finance!E40+Finance!E41</f>
        <v>838.75375667044409</v>
      </c>
      <c r="F19">
        <f ca="1">Finance!F40+Finance!F41</f>
        <v>744.0145035246652</v>
      </c>
      <c r="G19">
        <f ca="1">Finance!G40+Finance!G41</f>
        <v>-89.243142496881262</v>
      </c>
      <c r="H19">
        <f ca="1">Finance!H40+Finance!H41</f>
        <v>-242.64302421622978</v>
      </c>
      <c r="I19">
        <f ca="1">Finance!I40+Finance!I41</f>
        <v>-409.54778413587798</v>
      </c>
      <c r="J19">
        <f ca="1">Finance!J40+Finance!J41</f>
        <v>-436.94775341598188</v>
      </c>
      <c r="K19">
        <f ca="1">Finance!K40+Finance!K41</f>
        <v>-451.39339950713583</v>
      </c>
      <c r="L19">
        <f ca="1">Finance!L40+Finance!L41</f>
        <v>-220.22489622789323</v>
      </c>
      <c r="M19">
        <f ca="1">Finance!M40+Finance!M41</f>
        <v>0</v>
      </c>
      <c r="N19">
        <f ca="1">Finance!N40+Finance!N41</f>
        <v>0</v>
      </c>
      <c r="O19">
        <f ca="1">Finance!O40+Finance!O41</f>
        <v>0</v>
      </c>
      <c r="P19">
        <f ca="1">Finance!P40+Finance!P41</f>
        <v>0</v>
      </c>
    </row>
    <row r="20" spans="1:16" ht="15" customHeight="1" x14ac:dyDescent="0.45">
      <c r="A20"/>
      <c r="B20" s="16" t="s">
        <v>159</v>
      </c>
      <c r="D20">
        <f ca="1">Calcs!D13</f>
        <v>139.27673629218265</v>
      </c>
      <c r="E20">
        <f ca="1">Calcs!E13</f>
        <v>437.14450187375922</v>
      </c>
      <c r="F20">
        <f ca="1">Calcs!F13</f>
        <v>387.76797950954904</v>
      </c>
      <c r="G20">
        <f>Calcs!G13</f>
        <v>0</v>
      </c>
      <c r="H20">
        <f>Calcs!H13</f>
        <v>0</v>
      </c>
      <c r="I20">
        <f>Calcs!I13</f>
        <v>0</v>
      </c>
      <c r="J20">
        <f>Calcs!J13</f>
        <v>0</v>
      </c>
      <c r="K20">
        <f>Calcs!K13</f>
        <v>0</v>
      </c>
      <c r="L20">
        <f>Calcs!L13</f>
        <v>0</v>
      </c>
      <c r="M20">
        <f>Calcs!M13</f>
        <v>0</v>
      </c>
      <c r="N20">
        <f>Calcs!N13</f>
        <v>0</v>
      </c>
      <c r="O20">
        <f>Calcs!O13</f>
        <v>0</v>
      </c>
      <c r="P20">
        <f>Calcs!P13</f>
        <v>0</v>
      </c>
    </row>
    <row r="21" spans="1:16" ht="15" customHeight="1" x14ac:dyDescent="0.45">
      <c r="A21"/>
      <c r="B21" s="16" t="s">
        <v>154</v>
      </c>
      <c r="D21">
        <f>Calcs!D14</f>
        <v>0</v>
      </c>
      <c r="E21">
        <f>Calcs!E14</f>
        <v>0</v>
      </c>
      <c r="F21">
        <f>Calcs!F14</f>
        <v>0</v>
      </c>
      <c r="G21">
        <f ca="1">Calcs!G14</f>
        <v>-78.768760147767466</v>
      </c>
      <c r="H21">
        <f ca="1">Calcs!H14</f>
        <v>0</v>
      </c>
      <c r="I21">
        <f ca="1">Calcs!I14</f>
        <v>-67.414543663327038</v>
      </c>
      <c r="J21">
        <f ca="1">Calcs!J14</f>
        <v>-145.38660906141934</v>
      </c>
      <c r="K21">
        <f ca="1">Calcs!K14</f>
        <v>-385.66994819786152</v>
      </c>
      <c r="L21">
        <f ca="1">Calcs!L14</f>
        <v>-606.85085379481563</v>
      </c>
      <c r="M21">
        <f ca="1">Calcs!M14</f>
        <v>-605.21021791499379</v>
      </c>
      <c r="N21">
        <f ca="1">Calcs!N14</f>
        <v>-327.87043383851051</v>
      </c>
      <c r="O21">
        <f ca="1">Calcs!O14</f>
        <v>-23.646066743226836</v>
      </c>
      <c r="P21">
        <f ca="1">Calcs!P14</f>
        <v>-6.3001008219178107</v>
      </c>
    </row>
    <row r="22" spans="1:16" ht="15" customHeight="1" x14ac:dyDescent="0.45">
      <c r="B22" s="16" t="s">
        <v>155</v>
      </c>
      <c r="D22">
        <f ca="1">SUM(D18:D21)</f>
        <v>406.50847609707336</v>
      </c>
      <c r="E22">
        <f t="shared" ref="E22:P22" ca="1" si="5">SUM(E18:E21)</f>
        <v>1275.8982585442034</v>
      </c>
      <c r="F22">
        <f t="shared" ca="1" si="5"/>
        <v>1131.7824830342142</v>
      </c>
      <c r="G22">
        <f t="shared" ca="1" si="5"/>
        <v>-168.01190264464873</v>
      </c>
      <c r="H22">
        <f t="shared" ca="1" si="5"/>
        <v>-242.64302421622978</v>
      </c>
      <c r="I22">
        <f t="shared" ca="1" si="5"/>
        <v>-476.96232779920501</v>
      </c>
      <c r="J22">
        <f t="shared" ca="1" si="5"/>
        <v>-582.33436247740121</v>
      </c>
      <c r="K22">
        <f t="shared" ca="1" si="5"/>
        <v>-837.06334770499734</v>
      </c>
      <c r="L22">
        <f t="shared" ca="1" si="5"/>
        <v>-827.07575002270892</v>
      </c>
      <c r="M22">
        <f t="shared" ca="1" si="5"/>
        <v>-605.21021791499379</v>
      </c>
      <c r="N22">
        <f t="shared" ca="1" si="5"/>
        <v>-327.87043383851051</v>
      </c>
      <c r="O22">
        <f t="shared" ca="1" si="5"/>
        <v>-23.646066743226836</v>
      </c>
      <c r="P22">
        <f t="shared" ca="1" si="5"/>
        <v>-6.3001008219178107</v>
      </c>
    </row>
    <row r="23" spans="1:16" ht="15" customHeight="1" x14ac:dyDescent="0.45">
      <c r="A23"/>
    </row>
    <row r="24" spans="1:16" ht="15" customHeight="1" x14ac:dyDescent="0.45">
      <c r="A24"/>
      <c r="B24" s="16" t="s">
        <v>156</v>
      </c>
      <c r="D24">
        <f>C26</f>
        <v>0</v>
      </c>
      <c r="E24">
        <f t="shared" ref="E24:P24" ca="1" si="6">D26</f>
        <v>0</v>
      </c>
      <c r="F24">
        <f t="shared" ca="1" si="6"/>
        <v>0</v>
      </c>
      <c r="G24">
        <f t="shared" ca="1" si="6"/>
        <v>338.28571428571433</v>
      </c>
      <c r="H24">
        <f t="shared" ca="1" si="6"/>
        <v>308.28043803202996</v>
      </c>
      <c r="I24">
        <f t="shared" ca="1" si="6"/>
        <v>401.09856944163892</v>
      </c>
      <c r="J24">
        <f t="shared" ca="1" si="6"/>
        <v>472.62144031370258</v>
      </c>
      <c r="K24">
        <f t="shared" ca="1" si="6"/>
        <v>469.3002633463941</v>
      </c>
      <c r="L24">
        <f t="shared" ca="1" si="6"/>
        <v>224.69939415245079</v>
      </c>
      <c r="M24">
        <f t="shared" ca="1" si="6"/>
        <v>6.9999999999595275E-2</v>
      </c>
      <c r="N24">
        <f t="shared" ca="1" si="6"/>
        <v>6.9999999999652118E-2</v>
      </c>
      <c r="O24">
        <f t="shared" ca="1" si="6"/>
        <v>6.9999999999652118E-2</v>
      </c>
      <c r="P24">
        <f t="shared" ca="1" si="6"/>
        <v>6.9999999999652118E-2</v>
      </c>
    </row>
    <row r="25" spans="1:16" ht="15" customHeight="1" x14ac:dyDescent="0.45">
      <c r="A25"/>
      <c r="B25" s="16" t="s">
        <v>157</v>
      </c>
      <c r="D25">
        <f ca="1">D12+D16+D22</f>
        <v>0</v>
      </c>
      <c r="E25">
        <f t="shared" ref="E25:P25" ca="1" si="7">E12+E16+E22</f>
        <v>0</v>
      </c>
      <c r="F25">
        <f t="shared" ca="1" si="7"/>
        <v>338.28571428571433</v>
      </c>
      <c r="G25">
        <f t="shared" ca="1" si="7"/>
        <v>-30.005276253684372</v>
      </c>
      <c r="H25">
        <f t="shared" ca="1" si="7"/>
        <v>92.818131409608952</v>
      </c>
      <c r="I25">
        <f t="shared" ca="1" si="7"/>
        <v>71.522870872063663</v>
      </c>
      <c r="J25">
        <f t="shared" ca="1" si="7"/>
        <v>-3.3211769673084746</v>
      </c>
      <c r="K25">
        <f t="shared" ca="1" si="7"/>
        <v>-244.60086919394325</v>
      </c>
      <c r="L25">
        <f t="shared" ca="1" si="7"/>
        <v>-224.62939415245114</v>
      </c>
      <c r="M25">
        <f t="shared" ca="1" si="7"/>
        <v>0</v>
      </c>
      <c r="N25">
        <f t="shared" ca="1" si="7"/>
        <v>0</v>
      </c>
      <c r="O25">
        <f t="shared" ca="1" si="7"/>
        <v>0</v>
      </c>
      <c r="P25">
        <f t="shared" ca="1" si="7"/>
        <v>0</v>
      </c>
    </row>
    <row r="26" spans="1:16" ht="15" customHeight="1" x14ac:dyDescent="0.45">
      <c r="A26"/>
      <c r="B26" s="16" t="s">
        <v>158</v>
      </c>
      <c r="C26" s="63">
        <v>0</v>
      </c>
      <c r="D26">
        <f ca="1">SUM(D24:D25)</f>
        <v>0</v>
      </c>
      <c r="E26">
        <f t="shared" ref="E26:P26" ca="1" si="8">SUM(E24:E25)</f>
        <v>0</v>
      </c>
      <c r="F26">
        <f t="shared" ca="1" si="8"/>
        <v>338.28571428571433</v>
      </c>
      <c r="G26">
        <f t="shared" ca="1" si="8"/>
        <v>308.28043803202996</v>
      </c>
      <c r="H26">
        <f t="shared" ca="1" si="8"/>
        <v>401.09856944163892</v>
      </c>
      <c r="I26">
        <f t="shared" ca="1" si="8"/>
        <v>472.62144031370258</v>
      </c>
      <c r="J26">
        <f t="shared" ca="1" si="8"/>
        <v>469.3002633463941</v>
      </c>
      <c r="K26">
        <f t="shared" ca="1" si="8"/>
        <v>224.69939415245085</v>
      </c>
      <c r="L26">
        <f t="shared" ca="1" si="8"/>
        <v>6.9999999999652118E-2</v>
      </c>
      <c r="M26">
        <f t="shared" ca="1" si="8"/>
        <v>6.9999999999595275E-2</v>
      </c>
      <c r="N26">
        <f t="shared" ca="1" si="8"/>
        <v>6.9999999999652118E-2</v>
      </c>
      <c r="O26">
        <f t="shared" ca="1" si="8"/>
        <v>6.9999999999652118E-2</v>
      </c>
      <c r="P26">
        <f t="shared" ca="1" si="8"/>
        <v>6.9999999999652118E-2</v>
      </c>
    </row>
    <row r="27" spans="1:16" ht="15" customHeight="1" x14ac:dyDescent="0.45">
      <c r="A27"/>
    </row>
    <row r="28" spans="1:16" ht="15" customHeight="1" x14ac:dyDescent="0.45">
      <c r="B28"/>
    </row>
    <row r="29" spans="1:16" ht="15" customHeight="1" x14ac:dyDescent="0.45">
      <c r="A2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>
      <selection activeCell="N10" sqref="N10:Q10"/>
    </sheetView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 Modeling - Oil and Gas Project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1" t="s">
        <v>0</v>
      </c>
      <c r="C4" s="81"/>
      <c r="D4" s="81"/>
      <c r="E4" s="81"/>
      <c r="F4" s="81"/>
      <c r="G4" s="81"/>
      <c r="H4" s="81"/>
      <c r="I4" s="81"/>
      <c r="K4" s="1"/>
      <c r="L4" s="81" t="s">
        <v>2</v>
      </c>
      <c r="M4" s="81"/>
      <c r="N4" s="81"/>
      <c r="O4" s="81"/>
      <c r="P4" s="81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18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4" t="s">
        <v>168</v>
      </c>
      <c r="O5" s="84"/>
      <c r="P5" s="84"/>
      <c r="Q5" s="84"/>
      <c r="R5" s="40"/>
    </row>
    <row r="6" spans="1:18" s="2" customFormat="1" ht="15" customHeight="1" x14ac:dyDescent="0.45">
      <c r="A6" s="3"/>
      <c r="B6" s="8" t="s">
        <v>1</v>
      </c>
      <c r="C6" s="18" t="s">
        <v>19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5">
        <v>44196</v>
      </c>
      <c r="O6" s="85"/>
      <c r="P6" s="85"/>
      <c r="Q6" s="85"/>
      <c r="R6" s="40"/>
    </row>
    <row r="7" spans="1:18" s="2" customFormat="1" ht="15" customHeight="1" x14ac:dyDescent="0.45">
      <c r="A7" s="18"/>
      <c r="B7" s="8" t="s">
        <v>1</v>
      </c>
      <c r="C7" s="18" t="s">
        <v>20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4" t="s">
        <v>26</v>
      </c>
      <c r="O7" s="84"/>
      <c r="P7" s="84"/>
      <c r="Q7" s="84"/>
      <c r="R7" s="40"/>
    </row>
    <row r="8" spans="1:18" s="2" customFormat="1" ht="15" customHeight="1" x14ac:dyDescent="0.45">
      <c r="A8" s="18"/>
      <c r="B8" s="8" t="s">
        <v>1</v>
      </c>
      <c r="C8" s="18" t="s">
        <v>24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4" t="s">
        <v>9</v>
      </c>
      <c r="O8" s="84"/>
      <c r="P8" s="84"/>
      <c r="Q8" s="84"/>
      <c r="R8" s="40"/>
    </row>
    <row r="9" spans="1:18" s="2" customFormat="1" ht="15" customHeight="1" x14ac:dyDescent="0.45">
      <c r="A9" s="41"/>
      <c r="B9" s="8" t="s">
        <v>1</v>
      </c>
      <c r="C9" s="18" t="s">
        <v>25</v>
      </c>
      <c r="D9" s="41"/>
      <c r="E9" s="41"/>
      <c r="F9" s="41"/>
      <c r="G9" s="41"/>
      <c r="H9" s="41"/>
      <c r="I9" s="41"/>
      <c r="K9" s="18"/>
      <c r="L9" s="9" t="s">
        <v>7</v>
      </c>
      <c r="M9" s="9"/>
      <c r="N9" s="84" t="s">
        <v>10</v>
      </c>
      <c r="O9" s="84"/>
      <c r="P9" s="84"/>
      <c r="Q9" s="84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6">
        <v>1</v>
      </c>
      <c r="O10" s="86"/>
      <c r="P10" s="86"/>
      <c r="Q10" s="86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2" t="s">
        <v>17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N13" s="1"/>
      <c r="O13" s="81" t="s">
        <v>12</v>
      </c>
      <c r="P13" s="81"/>
      <c r="Q13" s="81"/>
      <c r="R13" s="58"/>
    </row>
    <row r="14" spans="1:18" s="2" customFormat="1" ht="15" customHeight="1" x14ac:dyDescent="0.45">
      <c r="A14" s="56"/>
      <c r="B14" s="83" t="s">
        <v>23</v>
      </c>
      <c r="C14" s="83"/>
      <c r="D14" s="83" t="s">
        <v>21</v>
      </c>
      <c r="E14" s="83"/>
      <c r="F14" s="83"/>
      <c r="G14" s="83"/>
      <c r="H14" s="83"/>
      <c r="I14" s="83"/>
      <c r="J14" s="83"/>
      <c r="K14" s="83"/>
      <c r="L14" s="83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3" t="s">
        <v>22</v>
      </c>
      <c r="C15" s="83"/>
      <c r="D15" s="83" t="s">
        <v>21</v>
      </c>
      <c r="E15" s="83"/>
      <c r="F15" s="83"/>
      <c r="G15" s="83"/>
      <c r="H15" s="83"/>
      <c r="I15" s="83"/>
      <c r="J15" s="83"/>
      <c r="K15" s="83"/>
      <c r="L15" s="83"/>
      <c r="N15" s="3"/>
      <c r="O15" s="27"/>
      <c r="P15" s="52" t="s">
        <v>13</v>
      </c>
      <c r="Q15" s="22"/>
      <c r="R15" s="56"/>
    </row>
    <row r="16" spans="1:18" s="2" customFormat="1" ht="15" customHeight="1" x14ac:dyDescent="0.45">
      <c r="A16" s="56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N16" s="18"/>
      <c r="O16" s="27"/>
      <c r="P16" s="36" t="s">
        <v>14</v>
      </c>
      <c r="Q16" s="22"/>
      <c r="R16" s="56"/>
    </row>
    <row r="17" spans="1:18" s="2" customFormat="1" ht="15" customHeight="1" x14ac:dyDescent="0.45">
      <c r="A17" s="56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N17" s="18"/>
      <c r="O17" s="27"/>
      <c r="P17" t="s">
        <v>15</v>
      </c>
      <c r="Q17" s="22"/>
      <c r="R17" s="56"/>
    </row>
    <row r="18" spans="1:18" s="2" customFormat="1" ht="15" customHeight="1" x14ac:dyDescent="0.45">
      <c r="A18" s="39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9"/>
  <sheetViews>
    <sheetView zoomScaleNormal="100" workbookViewId="0">
      <pane xSplit="2" ySplit="2" topLeftCell="C7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N10" sqref="N10:Q10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82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5" spans="1:16" ht="15" customHeight="1" x14ac:dyDescent="0.45">
      <c r="A5" s="15" t="s">
        <v>85</v>
      </c>
    </row>
    <row r="6" spans="1:16" ht="15" customHeight="1" x14ac:dyDescent="0.45">
      <c r="B6" s="16" t="str">
        <f>'S&amp;U'!B47</f>
        <v>Total development capex</v>
      </c>
      <c r="C6">
        <f>SUM(D6:F6)</f>
        <v>2142</v>
      </c>
      <c r="D6">
        <f>D47</f>
        <v>180</v>
      </c>
      <c r="E6">
        <f>E47</f>
        <v>1235</v>
      </c>
      <c r="F6">
        <f>F47</f>
        <v>727</v>
      </c>
    </row>
    <row r="7" spans="1:16" ht="15" customHeight="1" x14ac:dyDescent="0.45">
      <c r="B7" s="16" t="s">
        <v>198</v>
      </c>
      <c r="C7">
        <f>SUM(D7:F7)</f>
        <v>204.5</v>
      </c>
      <c r="D7">
        <f>D56</f>
        <v>203</v>
      </c>
      <c r="E7">
        <f>E56</f>
        <v>0.8</v>
      </c>
      <c r="F7">
        <f>F56</f>
        <v>0.7</v>
      </c>
    </row>
    <row r="8" spans="1:16" ht="15" customHeight="1" x14ac:dyDescent="0.45">
      <c r="B8" s="16" t="s">
        <v>192</v>
      </c>
      <c r="D8">
        <f ca="1">IF(switch=1,'S&amp;U'!D53,0)</f>
        <v>23.508476097073359</v>
      </c>
      <c r="E8">
        <f ca="1">IF(switch=1,'S&amp;U'!E53,0)</f>
        <v>40.098258544203389</v>
      </c>
      <c r="F8">
        <f ca="1">IF(switch=1,'S&amp;U'!F53,0)</f>
        <v>63.83978244713002</v>
      </c>
      <c r="G8" t="e">
        <f ca="1">[1]!FR(F8)</f>
        <v>#NAME?</v>
      </c>
    </row>
    <row r="9" spans="1:16" ht="15" customHeight="1" x14ac:dyDescent="0.45">
      <c r="B9" s="16" t="s">
        <v>119</v>
      </c>
      <c r="D9">
        <f>Calcs!D8-Calcs!C8</f>
        <v>0</v>
      </c>
      <c r="E9">
        <f>Calcs!E8-Calcs!D8</f>
        <v>0</v>
      </c>
      <c r="F9">
        <f>Calcs!F8-Calcs!E8</f>
        <v>1.9569863013698623</v>
      </c>
    </row>
    <row r="10" spans="1:16" ht="15" customHeight="1" x14ac:dyDescent="0.45">
      <c r="B10" s="16" t="s">
        <v>200</v>
      </c>
      <c r="F10" s="63">
        <f>C15/7+C15*H15</f>
        <v>338.28571428571428</v>
      </c>
    </row>
    <row r="11" spans="1:16" ht="15" customHeight="1" x14ac:dyDescent="0.45">
      <c r="B11" s="67" t="s">
        <v>83</v>
      </c>
      <c r="C11" s="68">
        <f ca="1">SUM(D11:F11)</f>
        <v>2814.1892176754909</v>
      </c>
      <c r="D11" s="68">
        <f ca="1">SUM(D6:D10)</f>
        <v>406.50847609707336</v>
      </c>
      <c r="E11" s="68">
        <f t="shared" ref="E11:F11" ca="1" si="1">SUM(E6:E10)</f>
        <v>1275.8982585442034</v>
      </c>
      <c r="F11" s="68">
        <f t="shared" ca="1" si="1"/>
        <v>1131.7824830342142</v>
      </c>
    </row>
    <row r="12" spans="1:16" ht="15" customHeight="1" x14ac:dyDescent="0.45">
      <c r="A12" s="60"/>
      <c r="B12" s="16" t="s">
        <v>87</v>
      </c>
      <c r="D12" s="61">
        <f ca="1">D11/$C$11</f>
        <v>0.14444958908372471</v>
      </c>
      <c r="E12" s="61">
        <f ca="1">E11/$C$11</f>
        <v>0.45338040901105087</v>
      </c>
      <c r="F12" s="61">
        <f ca="1">F11/$C$11</f>
        <v>0.40217000190522445</v>
      </c>
      <c r="G12" s="66" t="s">
        <v>96</v>
      </c>
      <c r="H12" s="66"/>
      <c r="I12" s="66" t="s">
        <v>98</v>
      </c>
      <c r="J12" s="66" t="s">
        <v>195</v>
      </c>
    </row>
    <row r="13" spans="1:16" ht="15" customHeight="1" x14ac:dyDescent="0.45">
      <c r="G13" s="66" t="s">
        <v>97</v>
      </c>
      <c r="H13" s="66" t="s">
        <v>88</v>
      </c>
      <c r="I13" s="66" t="s">
        <v>99</v>
      </c>
      <c r="J13" s="66" t="s">
        <v>196</v>
      </c>
      <c r="K13" s="66" t="s">
        <v>166</v>
      </c>
    </row>
    <row r="14" spans="1:16" ht="15" customHeight="1" x14ac:dyDescent="0.45">
      <c r="B14" s="16" t="s">
        <v>132</v>
      </c>
      <c r="C14" s="63">
        <v>100</v>
      </c>
      <c r="D14" s="63">
        <v>0</v>
      </c>
      <c r="E14" s="63">
        <v>0</v>
      </c>
      <c r="F14" s="63">
        <v>0</v>
      </c>
      <c r="G14" s="62">
        <v>0.02</v>
      </c>
      <c r="H14" s="61">
        <f>G14+$D$21</f>
        <v>0.04</v>
      </c>
      <c r="I14" s="62">
        <v>0.01</v>
      </c>
    </row>
    <row r="15" spans="1:16" ht="15" customHeight="1" x14ac:dyDescent="0.45">
      <c r="B15" s="16" t="s">
        <v>176</v>
      </c>
      <c r="C15" s="63">
        <v>1850</v>
      </c>
      <c r="D15">
        <f t="shared" ref="D15:F16" ca="1" si="2">$C15*D$12</f>
        <v>267.23173980489071</v>
      </c>
      <c r="E15">
        <f t="shared" ca="1" si="2"/>
        <v>838.75375667044409</v>
      </c>
      <c r="F15">
        <f t="shared" ca="1" si="2"/>
        <v>744.0145035246652</v>
      </c>
      <c r="G15" s="62">
        <v>0.02</v>
      </c>
      <c r="H15" s="61">
        <f>G15+$D$21</f>
        <v>0.04</v>
      </c>
      <c r="I15" s="62">
        <v>0.01</v>
      </c>
      <c r="J15" s="63">
        <v>0</v>
      </c>
    </row>
    <row r="16" spans="1:16" ht="15" customHeight="1" x14ac:dyDescent="0.45">
      <c r="B16" s="16" t="s">
        <v>172</v>
      </c>
      <c r="C16">
        <f ca="1">C11-SUM(C15:C15)</f>
        <v>964.18921767549091</v>
      </c>
      <c r="D16">
        <f t="shared" ca="1" si="2"/>
        <v>139.27673629218265</v>
      </c>
      <c r="E16">
        <f t="shared" ca="1" si="2"/>
        <v>437.14450187375922</v>
      </c>
      <c r="F16">
        <f t="shared" ca="1" si="2"/>
        <v>387.76797950954904</v>
      </c>
    </row>
    <row r="17" spans="1:17" ht="15" customHeight="1" x14ac:dyDescent="0.45">
      <c r="B17" s="67" t="s">
        <v>84</v>
      </c>
      <c r="C17" s="68">
        <f ca="1">SUM(C15:C16)</f>
        <v>2814.1892176754909</v>
      </c>
      <c r="D17" s="68">
        <f ca="1">SUM(D14:D16)</f>
        <v>406.50847609707336</v>
      </c>
      <c r="E17" s="68">
        <f ca="1">SUM(E14:E16)</f>
        <v>1275.8982585442034</v>
      </c>
      <c r="F17" s="68">
        <f ca="1">SUM(F14:F16)</f>
        <v>1131.7824830342142</v>
      </c>
    </row>
    <row r="18" spans="1:17" ht="15" customHeight="1" x14ac:dyDescent="0.45">
      <c r="A18" s="60"/>
      <c r="C18" s="70"/>
    </row>
    <row r="19" spans="1:17" ht="15" customHeight="1" x14ac:dyDescent="0.45">
      <c r="B19" s="16" t="s">
        <v>86</v>
      </c>
      <c r="C19" s="61"/>
      <c r="D19" s="61"/>
      <c r="E19" s="61"/>
      <c r="F19" s="61"/>
    </row>
    <row r="20" spans="1:17" ht="15" customHeight="1" x14ac:dyDescent="0.45">
      <c r="B20" s="16" t="s">
        <v>167</v>
      </c>
      <c r="C20" s="61"/>
      <c r="D20" s="61"/>
    </row>
    <row r="21" spans="1:17" ht="15" customHeight="1" x14ac:dyDescent="0.45">
      <c r="B21" s="16" t="s">
        <v>97</v>
      </c>
      <c r="D21" s="62">
        <v>0.02</v>
      </c>
    </row>
    <row r="22" spans="1:17" ht="15" customHeight="1" x14ac:dyDescent="0.45">
      <c r="B22" s="16" t="s">
        <v>181</v>
      </c>
      <c r="D22" s="71">
        <v>1.3</v>
      </c>
    </row>
    <row r="23" spans="1:17" ht="15" customHeight="1" x14ac:dyDescent="0.45">
      <c r="B23" s="16" t="s">
        <v>190</v>
      </c>
      <c r="D23" s="72"/>
    </row>
    <row r="25" spans="1:17" ht="15" customHeight="1" x14ac:dyDescent="0.45">
      <c r="A25" s="15" t="s">
        <v>36</v>
      </c>
    </row>
    <row r="26" spans="1:17" ht="15" customHeight="1" x14ac:dyDescent="0.45">
      <c r="B26" s="16" t="s">
        <v>37</v>
      </c>
      <c r="E26" s="63">
        <v>5800</v>
      </c>
    </row>
    <row r="28" spans="1:17" ht="15" customHeight="1" x14ac:dyDescent="0.45">
      <c r="A28" s="15" t="s">
        <v>27</v>
      </c>
    </row>
    <row r="29" spans="1:17" ht="15" customHeight="1" x14ac:dyDescent="0.45">
      <c r="B29" s="16" t="s">
        <v>31</v>
      </c>
      <c r="F29" s="63">
        <v>59.6</v>
      </c>
    </row>
    <row r="30" spans="1:17" ht="15" customHeight="1" x14ac:dyDescent="0.45">
      <c r="B30" s="16" t="s">
        <v>29</v>
      </c>
      <c r="G30" s="62">
        <v>0.05</v>
      </c>
      <c r="H30" s="62">
        <v>0.1</v>
      </c>
      <c r="I30" s="62">
        <v>0.15</v>
      </c>
      <c r="J30" s="62">
        <v>0.15</v>
      </c>
      <c r="K30" s="62">
        <v>0.15</v>
      </c>
      <c r="L30" s="62">
        <v>0.15</v>
      </c>
      <c r="M30" s="62">
        <v>0.15</v>
      </c>
      <c r="N30" s="62">
        <v>0.08</v>
      </c>
      <c r="O30" s="62">
        <v>0.02</v>
      </c>
      <c r="P30" s="62">
        <v>0</v>
      </c>
      <c r="Q30" s="61">
        <f>SUM(G30:P30)</f>
        <v>1</v>
      </c>
    </row>
    <row r="32" spans="1:17" ht="15" customHeight="1" x14ac:dyDescent="0.45">
      <c r="A32" s="60"/>
      <c r="B32" s="16" t="s">
        <v>32</v>
      </c>
      <c r="F32" s="63">
        <f>F29*50%*5800/1000</f>
        <v>172.84</v>
      </c>
    </row>
    <row r="33" spans="1:17" ht="15" customHeight="1" x14ac:dyDescent="0.45">
      <c r="B33" s="16" t="s">
        <v>29</v>
      </c>
      <c r="G33" s="62">
        <v>0.05</v>
      </c>
      <c r="H33" s="62">
        <v>0.1</v>
      </c>
      <c r="I33" s="62">
        <v>0.15</v>
      </c>
      <c r="J33" s="62">
        <v>0.15</v>
      </c>
      <c r="K33" s="62">
        <v>0.15</v>
      </c>
      <c r="L33" s="62">
        <v>0.15</v>
      </c>
      <c r="M33" s="62">
        <v>0.15</v>
      </c>
      <c r="N33" s="62">
        <v>0.08</v>
      </c>
      <c r="O33" s="62">
        <v>0.02</v>
      </c>
      <c r="P33" s="62">
        <v>0</v>
      </c>
      <c r="Q33" s="61">
        <f>SUM(G33:P33)</f>
        <v>1</v>
      </c>
    </row>
    <row r="35" spans="1:17" ht="15" customHeight="1" x14ac:dyDescent="0.45">
      <c r="B35" s="16" t="s">
        <v>39</v>
      </c>
      <c r="G35" s="63">
        <v>74</v>
      </c>
      <c r="H35" s="63">
        <v>69.62</v>
      </c>
      <c r="I35" s="63">
        <v>69.62</v>
      </c>
      <c r="J35" s="63">
        <v>69.62</v>
      </c>
      <c r="K35" s="63">
        <v>69.62</v>
      </c>
      <c r="L35" s="63">
        <v>69.62</v>
      </c>
      <c r="M35" s="63">
        <v>69.62</v>
      </c>
      <c r="N35" s="63">
        <v>69.62</v>
      </c>
      <c r="O35" s="63">
        <v>69.62</v>
      </c>
      <c r="P35" s="63">
        <v>69.62</v>
      </c>
    </row>
    <row r="36" spans="1:17" ht="15" customHeight="1" x14ac:dyDescent="0.45">
      <c r="B36" s="16" t="s">
        <v>43</v>
      </c>
      <c r="G36" s="63">
        <v>-5</v>
      </c>
      <c r="H36" s="63">
        <v>-5</v>
      </c>
      <c r="I36" s="63">
        <v>-5</v>
      </c>
      <c r="J36" s="63">
        <v>-5</v>
      </c>
      <c r="K36" s="63">
        <v>-5</v>
      </c>
      <c r="L36" s="63">
        <v>-5</v>
      </c>
      <c r="M36" s="63">
        <v>-5</v>
      </c>
      <c r="N36" s="63">
        <v>-5</v>
      </c>
      <c r="O36" s="63">
        <v>-5</v>
      </c>
      <c r="P36" s="63">
        <v>-5</v>
      </c>
    </row>
    <row r="37" spans="1:17" ht="15" customHeight="1" x14ac:dyDescent="0.45">
      <c r="B37" s="16" t="s">
        <v>44</v>
      </c>
      <c r="G37" s="63">
        <v>-3</v>
      </c>
      <c r="H37" s="63">
        <v>-3</v>
      </c>
      <c r="I37" s="63">
        <v>-3</v>
      </c>
      <c r="J37" s="63">
        <v>-3</v>
      </c>
      <c r="K37" s="63">
        <v>-3</v>
      </c>
      <c r="L37" s="63">
        <v>-3</v>
      </c>
      <c r="M37" s="63">
        <v>-3</v>
      </c>
      <c r="N37" s="63">
        <v>-3</v>
      </c>
      <c r="O37" s="63">
        <v>-3</v>
      </c>
      <c r="P37" s="63">
        <v>-3</v>
      </c>
    </row>
    <row r="38" spans="1:17" ht="15" customHeight="1" x14ac:dyDescent="0.45">
      <c r="B38" s="16" t="s">
        <v>108</v>
      </c>
      <c r="G38" s="62">
        <v>-0.15</v>
      </c>
      <c r="H38" s="62">
        <v>-0.15</v>
      </c>
      <c r="I38" s="62">
        <v>-0.15</v>
      </c>
      <c r="J38" s="62">
        <v>-0.15</v>
      </c>
      <c r="K38" s="62">
        <v>-0.15</v>
      </c>
      <c r="L38" s="62">
        <v>-0.15</v>
      </c>
      <c r="M38" s="62">
        <v>-0.15</v>
      </c>
      <c r="N38" s="62">
        <v>-0.15</v>
      </c>
      <c r="O38" s="62">
        <v>-0.15</v>
      </c>
      <c r="P38" s="62">
        <v>-0.15</v>
      </c>
    </row>
    <row r="40" spans="1:17" ht="15" customHeight="1" x14ac:dyDescent="0.45">
      <c r="B40" s="16" t="s">
        <v>110</v>
      </c>
      <c r="G40" s="63">
        <v>-10</v>
      </c>
      <c r="H40" s="63">
        <v>-15</v>
      </c>
      <c r="I40" s="63">
        <v>-20</v>
      </c>
      <c r="J40" s="63">
        <v>-21</v>
      </c>
      <c r="K40" s="63">
        <v>-22</v>
      </c>
      <c r="L40" s="63">
        <v>-23</v>
      </c>
      <c r="M40" s="63">
        <v>-24</v>
      </c>
      <c r="N40" s="63">
        <v>-25</v>
      </c>
      <c r="O40" s="63">
        <v>-26</v>
      </c>
      <c r="P40" s="63">
        <v>0</v>
      </c>
    </row>
    <row r="41" spans="1:17" ht="15" customHeight="1" x14ac:dyDescent="0.45">
      <c r="B41" s="16" t="s">
        <v>115</v>
      </c>
      <c r="G41" s="62">
        <v>-0.2</v>
      </c>
      <c r="H41" s="62">
        <v>-0.2</v>
      </c>
      <c r="I41" s="62">
        <v>-0.2</v>
      </c>
      <c r="J41" s="62">
        <v>-0.2</v>
      </c>
      <c r="K41" s="62">
        <v>-0.2</v>
      </c>
      <c r="L41" s="62">
        <v>-0.2</v>
      </c>
      <c r="M41" s="62">
        <v>-0.2</v>
      </c>
      <c r="N41" s="62">
        <v>-0.2</v>
      </c>
      <c r="O41" s="62">
        <v>-0.2</v>
      </c>
      <c r="P41" s="62">
        <v>-0.2</v>
      </c>
    </row>
    <row r="43" spans="1:17" ht="15" customHeight="1" x14ac:dyDescent="0.45">
      <c r="A43" s="15" t="s">
        <v>51</v>
      </c>
      <c r="B43"/>
    </row>
    <row r="44" spans="1:17" ht="15" customHeight="1" x14ac:dyDescent="0.45">
      <c r="A44"/>
      <c r="B44" s="16" t="s">
        <v>53</v>
      </c>
      <c r="D44" s="63">
        <v>30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</row>
    <row r="45" spans="1:17" ht="15" customHeight="1" x14ac:dyDescent="0.45">
      <c r="A45"/>
      <c r="B45" s="16" t="s">
        <v>52</v>
      </c>
      <c r="D45" s="63">
        <v>150</v>
      </c>
      <c r="E45" s="63">
        <v>1235</v>
      </c>
      <c r="F45" s="63">
        <v>675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</row>
    <row r="46" spans="1:17" ht="15" customHeight="1" x14ac:dyDescent="0.45">
      <c r="A46"/>
      <c r="B46" s="16" t="s">
        <v>54</v>
      </c>
      <c r="D46" s="63">
        <v>0</v>
      </c>
      <c r="E46" s="63">
        <v>0</v>
      </c>
      <c r="F46" s="63">
        <v>52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</row>
    <row r="47" spans="1:17" ht="15" customHeight="1" x14ac:dyDescent="0.45">
      <c r="A47"/>
      <c r="B47" s="16" t="s">
        <v>60</v>
      </c>
      <c r="D47">
        <f>SUM(D44:D46)</f>
        <v>180</v>
      </c>
      <c r="E47">
        <f>SUM(E44:E46)</f>
        <v>1235</v>
      </c>
      <c r="F47">
        <f>SUM(F44:F46)</f>
        <v>727</v>
      </c>
    </row>
    <row r="48" spans="1:17" ht="15" customHeight="1" x14ac:dyDescent="0.45">
      <c r="A48"/>
      <c r="B48"/>
    </row>
    <row r="49" spans="1:16" ht="15" customHeight="1" x14ac:dyDescent="0.45">
      <c r="A49" s="15" t="s">
        <v>66</v>
      </c>
      <c r="B49"/>
    </row>
    <row r="50" spans="1:16" ht="15" customHeight="1" x14ac:dyDescent="0.45">
      <c r="A50"/>
      <c r="B50" s="16" t="s">
        <v>68</v>
      </c>
      <c r="D50" s="63">
        <v>1</v>
      </c>
      <c r="E50" s="63">
        <v>0.3</v>
      </c>
      <c r="F50" s="63">
        <v>0.2</v>
      </c>
    </row>
    <row r="51" spans="1:16" ht="15" customHeight="1" x14ac:dyDescent="0.45">
      <c r="A51"/>
      <c r="B51" s="16" t="s">
        <v>67</v>
      </c>
      <c r="D51" s="63">
        <v>2</v>
      </c>
      <c r="E51" s="63">
        <v>0.5</v>
      </c>
      <c r="F51" s="63">
        <v>0.5</v>
      </c>
    </row>
    <row r="52" spans="1:16" ht="15" customHeight="1" x14ac:dyDescent="0.45">
      <c r="A52"/>
      <c r="B52" s="16" t="s">
        <v>165</v>
      </c>
      <c r="D52" s="63">
        <v>200</v>
      </c>
      <c r="E52" s="63">
        <v>0</v>
      </c>
      <c r="F52" s="63">
        <v>0</v>
      </c>
    </row>
    <row r="53" spans="1:16" ht="15" customHeight="1" x14ac:dyDescent="0.45">
      <c r="A53"/>
      <c r="B53" s="16" t="s">
        <v>162</v>
      </c>
      <c r="D53">
        <f ca="1">-(Finance!D30+Finance!D48)</f>
        <v>23.508476097073359</v>
      </c>
      <c r="E53">
        <f ca="1">-(Finance!E30+Finance!E48)</f>
        <v>40.098258544203389</v>
      </c>
      <c r="F53">
        <f ca="1">-(Finance!F30+Finance!F48)</f>
        <v>63.83978244713002</v>
      </c>
      <c r="G53" t="e">
        <f ca="1">[1]!FR(F53)</f>
        <v>#NAME?</v>
      </c>
    </row>
    <row r="54" spans="1:16" ht="15" customHeight="1" x14ac:dyDescent="0.45">
      <c r="A54"/>
      <c r="B54" s="16" t="s">
        <v>163</v>
      </c>
      <c r="D54">
        <f>Finance!D42+Depletion!D47</f>
        <v>0</v>
      </c>
      <c r="E54">
        <f>Finance!E42+Depletion!E47</f>
        <v>2.2314719575589046</v>
      </c>
      <c r="F54">
        <f>Finance!F42+Depletion!F47</f>
        <v>2.365360275012439</v>
      </c>
    </row>
    <row r="55" spans="1:16" ht="15" customHeight="1" x14ac:dyDescent="0.45">
      <c r="A55"/>
      <c r="B55" s="16" t="s">
        <v>69</v>
      </c>
      <c r="D55">
        <f ca="1">SUM(D50:D54)</f>
        <v>226.50847609707336</v>
      </c>
      <c r="E55">
        <f ca="1">SUM(E50:E54)</f>
        <v>43.129730501762289</v>
      </c>
      <c r="F55">
        <f ca="1">SUM(F50:F54)</f>
        <v>66.905142722142458</v>
      </c>
    </row>
    <row r="56" spans="1:16" ht="15" customHeight="1" x14ac:dyDescent="0.45">
      <c r="B56" s="16" t="s">
        <v>197</v>
      </c>
      <c r="D56">
        <f>SUM(D50:D52)</f>
        <v>203</v>
      </c>
      <c r="E56">
        <f t="shared" ref="E56:F56" si="3">SUM(E50:E52)</f>
        <v>0.8</v>
      </c>
      <c r="F56">
        <f t="shared" si="3"/>
        <v>0.7</v>
      </c>
    </row>
    <row r="59" spans="1:16" ht="15" customHeight="1" x14ac:dyDescent="0.45">
      <c r="A59" s="15" t="s">
        <v>119</v>
      </c>
    </row>
    <row r="60" spans="1:16" ht="15" customHeight="1" x14ac:dyDescent="0.45">
      <c r="B60" s="16" t="s">
        <v>123</v>
      </c>
      <c r="G60" s="63">
        <v>30</v>
      </c>
      <c r="H60" s="63">
        <v>30</v>
      </c>
      <c r="I60" s="63">
        <v>30</v>
      </c>
      <c r="J60" s="63">
        <v>30</v>
      </c>
      <c r="K60" s="63">
        <v>30</v>
      </c>
      <c r="L60" s="63">
        <v>30</v>
      </c>
      <c r="M60" s="63">
        <v>30</v>
      </c>
      <c r="N60" s="63">
        <v>30</v>
      </c>
      <c r="O60" s="63">
        <v>30</v>
      </c>
      <c r="P60" s="63">
        <v>30</v>
      </c>
    </row>
    <row r="61" spans="1:16" ht="15" customHeight="1" x14ac:dyDescent="0.45">
      <c r="B61" s="16" t="s">
        <v>126</v>
      </c>
      <c r="F61" s="62">
        <v>0.5</v>
      </c>
    </row>
    <row r="62" spans="1:16" ht="15" customHeight="1" x14ac:dyDescent="0.45">
      <c r="B62" s="16" t="s">
        <v>124</v>
      </c>
      <c r="G62" s="63">
        <v>10</v>
      </c>
      <c r="H62" s="63">
        <v>10</v>
      </c>
      <c r="I62" s="63">
        <v>10</v>
      </c>
      <c r="J62" s="63">
        <v>10</v>
      </c>
      <c r="K62" s="63">
        <v>10</v>
      </c>
      <c r="L62" s="63">
        <v>10</v>
      </c>
      <c r="M62" s="63">
        <v>10</v>
      </c>
      <c r="N62" s="63">
        <v>10</v>
      </c>
      <c r="O62" s="63">
        <v>10</v>
      </c>
      <c r="P62" s="63">
        <v>10</v>
      </c>
    </row>
    <row r="63" spans="1:16" ht="15" customHeight="1" x14ac:dyDescent="0.45">
      <c r="B63" s="16" t="s">
        <v>125</v>
      </c>
      <c r="G63" s="63">
        <v>30</v>
      </c>
      <c r="H63" s="63">
        <v>30</v>
      </c>
      <c r="I63" s="63">
        <v>30</v>
      </c>
      <c r="J63" s="63">
        <v>30</v>
      </c>
      <c r="K63" s="63">
        <v>30</v>
      </c>
      <c r="L63" s="63">
        <v>30</v>
      </c>
      <c r="M63" s="63">
        <v>30</v>
      </c>
      <c r="N63" s="63">
        <v>30</v>
      </c>
      <c r="O63" s="63">
        <v>30</v>
      </c>
      <c r="P63" s="63">
        <v>30</v>
      </c>
    </row>
    <row r="65" spans="1:16" ht="15" customHeight="1" x14ac:dyDescent="0.45">
      <c r="A65" s="15" t="s">
        <v>74</v>
      </c>
    </row>
    <row r="66" spans="1:16" ht="15" customHeight="1" x14ac:dyDescent="0.45">
      <c r="B66" s="16" t="s">
        <v>76</v>
      </c>
      <c r="D66" s="62">
        <v>0.06</v>
      </c>
    </row>
    <row r="67" spans="1:16" ht="15" customHeight="1" x14ac:dyDescent="0.45">
      <c r="B67" s="16" t="s">
        <v>75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10</v>
      </c>
      <c r="O67" s="63">
        <v>60</v>
      </c>
      <c r="P67" s="63">
        <v>0</v>
      </c>
    </row>
    <row r="69" spans="1:16" ht="15" customHeight="1" x14ac:dyDescent="0.45">
      <c r="A69" s="15" t="s">
        <v>171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5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BC36-FABA-4B3D-96F2-AF0D7B689FF7}">
  <sheetPr>
    <pageSetUpPr fitToPage="1"/>
  </sheetPr>
  <dimension ref="A1:P106"/>
  <sheetViews>
    <sheetView tabSelected="1" zoomScaleNormal="100" zoomScaleSheetLayoutView="150" workbookViewId="0">
      <pane xSplit="2" ySplit="2" topLeftCell="C49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N10" sqref="N10:Q10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144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B4" s="16" t="s">
        <v>95</v>
      </c>
      <c r="C4" s="64">
        <v>0</v>
      </c>
      <c r="D4" s="65">
        <f>C4+1</f>
        <v>1</v>
      </c>
      <c r="E4" s="65">
        <f t="shared" ref="E4:P4" si="2">D4+1</f>
        <v>2</v>
      </c>
      <c r="F4" s="65">
        <f t="shared" si="2"/>
        <v>3</v>
      </c>
      <c r="G4" s="65">
        <f t="shared" si="2"/>
        <v>4</v>
      </c>
      <c r="H4" s="65">
        <f t="shared" si="2"/>
        <v>5</v>
      </c>
      <c r="I4" s="65">
        <f t="shared" si="2"/>
        <v>6</v>
      </c>
      <c r="J4" s="65">
        <f t="shared" si="2"/>
        <v>7</v>
      </c>
      <c r="K4" s="65">
        <f t="shared" si="2"/>
        <v>8</v>
      </c>
      <c r="L4" s="65">
        <f t="shared" si="2"/>
        <v>9</v>
      </c>
      <c r="M4" s="65">
        <f t="shared" si="2"/>
        <v>10</v>
      </c>
      <c r="N4" s="65">
        <f t="shared" si="2"/>
        <v>11</v>
      </c>
      <c r="O4" s="65">
        <f t="shared" si="2"/>
        <v>12</v>
      </c>
      <c r="P4" s="65">
        <f t="shared" si="2"/>
        <v>13</v>
      </c>
    </row>
    <row r="6" spans="1:16" ht="15" customHeight="1" x14ac:dyDescent="0.45">
      <c r="A6" s="15" t="s">
        <v>160</v>
      </c>
    </row>
    <row r="7" spans="1:16" ht="15" customHeight="1" x14ac:dyDescent="0.45">
      <c r="B7" s="16" t="s">
        <v>184</v>
      </c>
      <c r="G7">
        <f ca="1">IS!G19-IS!G17-IS!G11</f>
        <v>235.40300000000008</v>
      </c>
      <c r="H7">
        <f ca="1">IS!H19-IS!H17-IS!H11</f>
        <v>442.52238000000011</v>
      </c>
      <c r="I7">
        <f ca="1">IS!I19-IS!I17-IS!I11</f>
        <v>666.28357000000005</v>
      </c>
      <c r="J7">
        <f ca="1">IS!J19-IS!J17-IS!J11</f>
        <v>665.28357000000005</v>
      </c>
      <c r="K7">
        <f ca="1">IS!K19-IS!K17-IS!K11</f>
        <v>664.28357000000005</v>
      </c>
      <c r="L7">
        <f ca="1">IS!L19-IS!L17-IS!L11</f>
        <v>663.28357000000005</v>
      </c>
      <c r="M7">
        <f ca="1">IS!M19-IS!M17-IS!M11</f>
        <v>662.28357000000005</v>
      </c>
      <c r="N7">
        <f ca="1">IS!N19-IS!N17-IS!N11</f>
        <v>341.0179040000001</v>
      </c>
      <c r="O7">
        <f ca="1">IS!O19-IS!O17-IS!O11</f>
        <v>65.504476000000039</v>
      </c>
      <c r="P7">
        <f ca="1">IS!P19-IS!P17-IS!P11</f>
        <v>0</v>
      </c>
    </row>
    <row r="8" spans="1:16" ht="15" customHeight="1" x14ac:dyDescent="0.45">
      <c r="B8" s="16" t="str">
        <f>IS!B26</f>
        <v>Tax expense</v>
      </c>
      <c r="G8">
        <f ca="1">IS!G26</f>
        <v>-6.7787707055486468</v>
      </c>
      <c r="H8">
        <f ca="1">IS!H26</f>
        <v>-24.342758503566678</v>
      </c>
      <c r="I8">
        <f ca="1">IS!I26</f>
        <v>-46.514521625178787</v>
      </c>
      <c r="J8">
        <f ca="1">IS!J26</f>
        <v>-49.666697592186551</v>
      </c>
      <c r="K8">
        <f ca="1">IS!K26</f>
        <v>-52.984227649687412</v>
      </c>
      <c r="L8">
        <f ca="1">IS!L26</f>
        <v>-55.432716205184398</v>
      </c>
      <c r="M8">
        <f ca="1">IS!M26</f>
        <v>-56.073352085006263</v>
      </c>
      <c r="N8">
        <f ca="1">IS!N26</f>
        <v>-26.997823038201929</v>
      </c>
      <c r="O8">
        <f ca="1">IS!O26</f>
        <v>-2.1587117225266348</v>
      </c>
      <c r="P8">
        <f ca="1">IS!P26</f>
        <v>0.2</v>
      </c>
    </row>
    <row r="9" spans="1:16" ht="15" customHeight="1" x14ac:dyDescent="0.45">
      <c r="B9" s="16" t="str">
        <f>CFS!B8</f>
        <v>(Asset retirement payments)</v>
      </c>
      <c r="G9">
        <f>CFS!G8</f>
        <v>0</v>
      </c>
      <c r="H9">
        <f>CFS!H8</f>
        <v>0</v>
      </c>
      <c r="I9">
        <f>CFS!I8</f>
        <v>0</v>
      </c>
      <c r="J9">
        <f>CFS!J8</f>
        <v>0</v>
      </c>
      <c r="K9">
        <f>CFS!K8</f>
        <v>0</v>
      </c>
      <c r="L9">
        <f>CFS!L8</f>
        <v>0</v>
      </c>
      <c r="M9">
        <f>CFS!M8</f>
        <v>0</v>
      </c>
      <c r="N9">
        <f>CFS!N8</f>
        <v>-10</v>
      </c>
      <c r="O9">
        <f>CFS!O8</f>
        <v>-60</v>
      </c>
      <c r="P9">
        <f>CFS!P8</f>
        <v>0</v>
      </c>
    </row>
    <row r="10" spans="1:16" ht="15" customHeight="1" x14ac:dyDescent="0.45">
      <c r="B10" s="16" t="str">
        <f>CFS!B11</f>
        <v>(Inc) dec in operating working capital</v>
      </c>
      <c r="G10">
        <f>CFS!G11</f>
        <v>-17.402465753424668</v>
      </c>
      <c r="H10">
        <f>CFS!H11</f>
        <v>-16.141052054794521</v>
      </c>
      <c r="I10">
        <f>CFS!I11</f>
        <v>-17.750252054794508</v>
      </c>
      <c r="J10">
        <f>CFS!J11</f>
        <v>0</v>
      </c>
      <c r="K10">
        <f>CFS!K11</f>
        <v>0</v>
      </c>
      <c r="L10">
        <f>CFS!L11</f>
        <v>0</v>
      </c>
      <c r="M10">
        <f>CFS!M11</f>
        <v>0</v>
      </c>
      <c r="N10">
        <f>CFS!N11</f>
        <v>24.850352876712321</v>
      </c>
      <c r="O10">
        <f>CFS!O11</f>
        <v>21.300302465753429</v>
      </c>
      <c r="P10">
        <f>CFS!P11</f>
        <v>7.1001008219178106</v>
      </c>
    </row>
    <row r="11" spans="1:16" ht="15" customHeight="1" x14ac:dyDescent="0.45">
      <c r="B11" s="16" t="str">
        <f>CFS!B14</f>
        <v>(Capital expenditure)</v>
      </c>
      <c r="G11">
        <f>CFS!G14</f>
        <v>0</v>
      </c>
      <c r="H11">
        <f>CFS!H14</f>
        <v>0</v>
      </c>
      <c r="I11">
        <f>CFS!I14</f>
        <v>0</v>
      </c>
      <c r="J11">
        <f>CFS!J14</f>
        <v>0</v>
      </c>
      <c r="K11">
        <f>CFS!K14</f>
        <v>0</v>
      </c>
      <c r="L11">
        <f>CFS!L14</f>
        <v>0</v>
      </c>
      <c r="M11">
        <f>CFS!M14</f>
        <v>0</v>
      </c>
      <c r="N11">
        <f>CFS!N14</f>
        <v>0</v>
      </c>
      <c r="O11">
        <f>CFS!O14</f>
        <v>0</v>
      </c>
      <c r="P11">
        <f>CFS!P14</f>
        <v>0</v>
      </c>
    </row>
    <row r="12" spans="1:16" ht="15" customHeight="1" x14ac:dyDescent="0.45">
      <c r="B12" s="16" t="str">
        <f>CFS!B15</f>
        <v>(Cash soft asset expenditure)</v>
      </c>
      <c r="G12">
        <f>CFS!G15</f>
        <v>0</v>
      </c>
      <c r="H12">
        <f>CFS!H15</f>
        <v>0</v>
      </c>
      <c r="I12">
        <f>CFS!I15</f>
        <v>0</v>
      </c>
      <c r="J12">
        <f>CFS!J15</f>
        <v>0</v>
      </c>
      <c r="K12">
        <f>CFS!K15</f>
        <v>0</v>
      </c>
      <c r="L12">
        <f>CFS!L15</f>
        <v>0</v>
      </c>
      <c r="M12">
        <f>CFS!M15</f>
        <v>0</v>
      </c>
      <c r="N12">
        <f>CFS!N15</f>
        <v>0</v>
      </c>
      <c r="O12">
        <f>CFS!O15</f>
        <v>0</v>
      </c>
      <c r="P12">
        <f>CFS!P15</f>
        <v>0</v>
      </c>
    </row>
    <row r="13" spans="1:16" ht="15" customHeight="1" x14ac:dyDescent="0.45">
      <c r="B13" s="16" t="s">
        <v>191</v>
      </c>
      <c r="G13">
        <f t="shared" ref="G13:P13" ca="1" si="3">SUM(G7:G12)</f>
        <v>211.22176354102675</v>
      </c>
      <c r="H13">
        <f t="shared" ca="1" si="3"/>
        <v>402.03856944163891</v>
      </c>
      <c r="I13">
        <f t="shared" ca="1" si="3"/>
        <v>602.01879632002681</v>
      </c>
      <c r="J13">
        <f t="shared" ca="1" si="3"/>
        <v>615.6168724078135</v>
      </c>
      <c r="K13">
        <f t="shared" ca="1" si="3"/>
        <v>611.2993423503126</v>
      </c>
      <c r="L13">
        <f t="shared" ca="1" si="3"/>
        <v>607.85085379481563</v>
      </c>
      <c r="M13">
        <f t="shared" ca="1" si="3"/>
        <v>606.21021791499379</v>
      </c>
      <c r="N13">
        <f t="shared" ca="1" si="3"/>
        <v>328.87043383851051</v>
      </c>
      <c r="O13">
        <f t="shared" ca="1" si="3"/>
        <v>24.646066743226836</v>
      </c>
      <c r="P13">
        <f t="shared" ca="1" si="3"/>
        <v>7.3001008219178107</v>
      </c>
    </row>
    <row r="14" spans="1:16" ht="15" customHeight="1" x14ac:dyDescent="0.45">
      <c r="B14" s="16" t="s">
        <v>181</v>
      </c>
      <c r="D14" s="72"/>
      <c r="E14" s="72"/>
      <c r="F14" s="72"/>
      <c r="G14" s="72">
        <f>'S&amp;U'!$D$22</f>
        <v>1.3</v>
      </c>
      <c r="H14" s="72">
        <f>'S&amp;U'!$D$22</f>
        <v>1.3</v>
      </c>
      <c r="I14" s="72">
        <f>'S&amp;U'!$D$22</f>
        <v>1.3</v>
      </c>
      <c r="J14" s="72">
        <f>'S&amp;U'!$D$22</f>
        <v>1.3</v>
      </c>
      <c r="K14" s="72">
        <f>'S&amp;U'!$D$22</f>
        <v>1.3</v>
      </c>
      <c r="L14" s="72">
        <f>'S&amp;U'!$D$22</f>
        <v>1.3</v>
      </c>
      <c r="M14" s="72">
        <f>'S&amp;U'!$D$22</f>
        <v>1.3</v>
      </c>
      <c r="N14" s="72">
        <f>'S&amp;U'!$D$22</f>
        <v>1.3</v>
      </c>
      <c r="O14" s="72">
        <f>'S&amp;U'!$D$22</f>
        <v>1.3</v>
      </c>
      <c r="P14" s="72">
        <f>'S&amp;U'!$D$22</f>
        <v>1.3</v>
      </c>
    </row>
    <row r="15" spans="1:16" ht="15" customHeight="1" x14ac:dyDescent="0.45">
      <c r="B15" s="16" t="s">
        <v>182</v>
      </c>
      <c r="G15">
        <f t="shared" ref="G15:O15" ca="1" si="4">G13/G14</f>
        <v>162.47827964694363</v>
      </c>
      <c r="H15">
        <f t="shared" ca="1" si="4"/>
        <v>309.26043803202992</v>
      </c>
      <c r="I15">
        <f t="shared" ca="1" si="4"/>
        <v>463.09138178463598</v>
      </c>
      <c r="J15">
        <f t="shared" ca="1" si="4"/>
        <v>473.5514403137027</v>
      </c>
      <c r="K15">
        <f t="shared" ca="1" si="4"/>
        <v>470.23026334639428</v>
      </c>
      <c r="L15">
        <f t="shared" ca="1" si="4"/>
        <v>467.57757984216585</v>
      </c>
      <c r="M15">
        <f t="shared" ca="1" si="4"/>
        <v>466.31555224230289</v>
      </c>
      <c r="N15">
        <f t="shared" ca="1" si="4"/>
        <v>252.97725679885423</v>
      </c>
      <c r="O15">
        <f t="shared" ca="1" si="4"/>
        <v>18.958512879405259</v>
      </c>
      <c r="P15">
        <f t="shared" ref="P15" ca="1" si="5">P13/P14</f>
        <v>5.6154621707060084</v>
      </c>
    </row>
    <row r="16" spans="1:16" ht="15" customHeight="1" x14ac:dyDescent="0.45">
      <c r="B16" s="16" t="s">
        <v>92</v>
      </c>
      <c r="G16">
        <f t="shared" ref="G16:P16" ca="1" si="6">IF(switch=1,G30+G48,0)</f>
        <v>-73.215137150062375</v>
      </c>
      <c r="H16">
        <f t="shared" ca="1" si="6"/>
        <v>-66.577413815800156</v>
      </c>
      <c r="I16">
        <f t="shared" ca="1" si="6"/>
        <v>-53.533597648757997</v>
      </c>
      <c r="J16">
        <f t="shared" ca="1" si="6"/>
        <v>-36.603686897720799</v>
      </c>
      <c r="K16">
        <f t="shared" ca="1" si="6"/>
        <v>-18.836863839258445</v>
      </c>
      <c r="L16">
        <f t="shared" ca="1" si="6"/>
        <v>-5.404497924557865</v>
      </c>
      <c r="M16">
        <f t="shared" ca="1" si="6"/>
        <v>-1</v>
      </c>
      <c r="N16">
        <f t="shared" ca="1" si="6"/>
        <v>-1</v>
      </c>
      <c r="O16">
        <f t="shared" ca="1" si="6"/>
        <v>-1</v>
      </c>
      <c r="P16">
        <f t="shared" ca="1" si="6"/>
        <v>-1</v>
      </c>
    </row>
    <row r="17" spans="1:16" ht="15" customHeight="1" x14ac:dyDescent="0.45">
      <c r="B17" s="16" t="s">
        <v>186</v>
      </c>
      <c r="G17">
        <f t="shared" ref="G17:O17" ca="1" si="7">G15+G16</f>
        <v>89.263142496881258</v>
      </c>
      <c r="H17">
        <f t="shared" ca="1" si="7"/>
        <v>242.68302421622977</v>
      </c>
      <c r="I17">
        <f t="shared" ca="1" si="7"/>
        <v>409.55778413587797</v>
      </c>
      <c r="J17">
        <f t="shared" ca="1" si="7"/>
        <v>436.94775341598188</v>
      </c>
      <c r="K17">
        <f t="shared" ca="1" si="7"/>
        <v>451.39339950713583</v>
      </c>
      <c r="L17">
        <f t="shared" ca="1" si="7"/>
        <v>462.17308191760799</v>
      </c>
      <c r="M17">
        <f t="shared" ca="1" si="7"/>
        <v>465.31555224230289</v>
      </c>
      <c r="N17">
        <f t="shared" ca="1" si="7"/>
        <v>251.97725679885423</v>
      </c>
      <c r="O17">
        <f t="shared" ca="1" si="7"/>
        <v>17.958512879405259</v>
      </c>
      <c r="P17">
        <f t="shared" ref="P17" ca="1" si="8">P15+P16</f>
        <v>4.6154621707060084</v>
      </c>
    </row>
    <row r="19" spans="1:16" ht="15" customHeight="1" x14ac:dyDescent="0.45">
      <c r="A19" s="15" t="s">
        <v>132</v>
      </c>
    </row>
    <row r="20" spans="1:16" ht="15" customHeight="1" x14ac:dyDescent="0.45">
      <c r="B20" s="16" t="s">
        <v>88</v>
      </c>
      <c r="C20" s="61">
        <f>'S&amp;U'!H14</f>
        <v>0.04</v>
      </c>
    </row>
    <row r="21" spans="1:16" ht="15" customHeight="1" x14ac:dyDescent="0.45">
      <c r="B21" s="16" t="s">
        <v>89</v>
      </c>
      <c r="C21" s="61">
        <f>'S&amp;U'!I14</f>
        <v>0.01</v>
      </c>
    </row>
    <row r="23" spans="1:16" ht="15" customHeight="1" x14ac:dyDescent="0.45">
      <c r="B23" s="16" t="s">
        <v>57</v>
      </c>
      <c r="D23">
        <f t="shared" ref="D23:P23" si="9">C25</f>
        <v>0</v>
      </c>
      <c r="E23">
        <f t="shared" si="9"/>
        <v>0</v>
      </c>
      <c r="F23">
        <f t="shared" si="9"/>
        <v>0</v>
      </c>
      <c r="G23">
        <f t="shared" si="9"/>
        <v>0</v>
      </c>
      <c r="H23">
        <f t="shared" ca="1" si="9"/>
        <v>0</v>
      </c>
      <c r="I23">
        <f t="shared" ca="1" si="9"/>
        <v>0</v>
      </c>
      <c r="J23">
        <f t="shared" ca="1" si="9"/>
        <v>0</v>
      </c>
      <c r="K23">
        <f t="shared" ca="1" si="9"/>
        <v>0</v>
      </c>
      <c r="L23">
        <f t="shared" ca="1" si="9"/>
        <v>0</v>
      </c>
      <c r="M23">
        <f t="shared" ca="1" si="9"/>
        <v>0</v>
      </c>
      <c r="N23">
        <f t="shared" ca="1" si="9"/>
        <v>0</v>
      </c>
      <c r="O23">
        <f t="shared" ca="1" si="9"/>
        <v>0</v>
      </c>
      <c r="P23">
        <f t="shared" ca="1" si="9"/>
        <v>0</v>
      </c>
    </row>
    <row r="24" spans="1:16" ht="15" customHeight="1" x14ac:dyDescent="0.45">
      <c r="B24" s="16" t="s">
        <v>133</v>
      </c>
      <c r="G24">
        <f t="shared" ref="G24:P24" ca="1" si="10">-MIN(G15,G23)</f>
        <v>0</v>
      </c>
      <c r="H24">
        <f t="shared" ca="1" si="10"/>
        <v>0</v>
      </c>
      <c r="I24">
        <f t="shared" ca="1" si="10"/>
        <v>0</v>
      </c>
      <c r="J24">
        <f t="shared" ca="1" si="10"/>
        <v>0</v>
      </c>
      <c r="K24">
        <f t="shared" ca="1" si="10"/>
        <v>0</v>
      </c>
      <c r="L24">
        <f t="shared" ca="1" si="10"/>
        <v>0</v>
      </c>
      <c r="M24">
        <f t="shared" ca="1" si="10"/>
        <v>0</v>
      </c>
      <c r="N24">
        <f t="shared" ca="1" si="10"/>
        <v>0</v>
      </c>
      <c r="O24">
        <f t="shared" ca="1" si="10"/>
        <v>0</v>
      </c>
      <c r="P24">
        <f t="shared" ca="1" si="10"/>
        <v>0</v>
      </c>
    </row>
    <row r="25" spans="1:16" ht="15" customHeight="1" x14ac:dyDescent="0.45">
      <c r="B25" s="16" t="s">
        <v>59</v>
      </c>
      <c r="C25" s="63">
        <v>0</v>
      </c>
      <c r="D25">
        <f t="shared" ref="D25:P25" si="11">SUM(D23:D24)</f>
        <v>0</v>
      </c>
      <c r="E25">
        <f t="shared" si="11"/>
        <v>0</v>
      </c>
      <c r="F25">
        <f t="shared" si="11"/>
        <v>0</v>
      </c>
      <c r="G25">
        <f t="shared" ca="1" si="11"/>
        <v>0</v>
      </c>
      <c r="H25">
        <f t="shared" ca="1" si="11"/>
        <v>0</v>
      </c>
      <c r="I25">
        <f t="shared" ca="1" si="11"/>
        <v>0</v>
      </c>
      <c r="J25">
        <f t="shared" ca="1" si="11"/>
        <v>0</v>
      </c>
      <c r="K25">
        <f t="shared" ca="1" si="11"/>
        <v>0</v>
      </c>
      <c r="L25">
        <f t="shared" ca="1" si="11"/>
        <v>0</v>
      </c>
      <c r="M25">
        <f t="shared" ca="1" si="11"/>
        <v>0</v>
      </c>
      <c r="N25">
        <f t="shared" ca="1" si="11"/>
        <v>0</v>
      </c>
      <c r="O25">
        <f t="shared" ca="1" si="11"/>
        <v>0</v>
      </c>
      <c r="P25">
        <f t="shared" ca="1" si="11"/>
        <v>0</v>
      </c>
    </row>
    <row r="26" spans="1:16" ht="15" customHeight="1" x14ac:dyDescent="0.45">
      <c r="B26" s="16" t="s">
        <v>92</v>
      </c>
      <c r="D26">
        <f>-'S&amp;U'!$H$14*AVERAGE(Finance!C25:D25)</f>
        <v>0</v>
      </c>
      <c r="E26">
        <f>-'S&amp;U'!$H$14*AVERAGE(Finance!D25:E25)</f>
        <v>0</v>
      </c>
      <c r="F26">
        <f>-'S&amp;U'!$H$14*AVERAGE(Finance!E25:F25)</f>
        <v>0</v>
      </c>
      <c r="G26">
        <f ca="1">-'S&amp;U'!$H$14*AVERAGE(Finance!F25:G25)</f>
        <v>0</v>
      </c>
      <c r="H26">
        <f ca="1">-'S&amp;U'!$H$14*AVERAGE(Finance!G25:H25)</f>
        <v>0</v>
      </c>
      <c r="I26">
        <f ca="1">-'S&amp;U'!$H$14*AVERAGE(Finance!H25:I25)</f>
        <v>0</v>
      </c>
      <c r="J26">
        <f ca="1">-'S&amp;U'!$H$14*AVERAGE(Finance!I25:J25)</f>
        <v>0</v>
      </c>
      <c r="K26">
        <f ca="1">-'S&amp;U'!$H$14*AVERAGE(Finance!J25:K25)</f>
        <v>0</v>
      </c>
      <c r="L26">
        <f ca="1">-'S&amp;U'!$H$14*AVERAGE(Finance!K25:L25)</f>
        <v>0</v>
      </c>
      <c r="M26">
        <f ca="1">-'S&amp;U'!$H$14*AVERAGE(Finance!L25:M25)</f>
        <v>0</v>
      </c>
      <c r="N26">
        <f ca="1">-'S&amp;U'!$H$14*AVERAGE(Finance!M25:N25)</f>
        <v>0</v>
      </c>
      <c r="O26">
        <f ca="1">-'S&amp;U'!$H$14*AVERAGE(Finance!N25:O25)</f>
        <v>0</v>
      </c>
      <c r="P26">
        <f ca="1">-'S&amp;U'!$H$14*AVERAGE(Finance!O25:P25)</f>
        <v>0</v>
      </c>
    </row>
    <row r="28" spans="1:16" ht="15" customHeight="1" x14ac:dyDescent="0.45">
      <c r="B28" s="16" t="s">
        <v>93</v>
      </c>
      <c r="C28">
        <f>'S&amp;U'!$C$14-Finance!C25</f>
        <v>100</v>
      </c>
      <c r="D28">
        <f>'S&amp;U'!$C$14-Finance!D25</f>
        <v>100</v>
      </c>
      <c r="E28">
        <f>'S&amp;U'!$C$14-Finance!E25</f>
        <v>100</v>
      </c>
      <c r="F28">
        <f>'S&amp;U'!$C$14-Finance!F25</f>
        <v>100</v>
      </c>
      <c r="G28">
        <f ca="1">'S&amp;U'!$C$14-Finance!G25</f>
        <v>100</v>
      </c>
      <c r="H28">
        <f ca="1">'S&amp;U'!$C$14-Finance!H25</f>
        <v>100</v>
      </c>
      <c r="I28">
        <f ca="1">'S&amp;U'!$C$14-Finance!I25</f>
        <v>100</v>
      </c>
      <c r="J28">
        <f ca="1">'S&amp;U'!$C$14-Finance!J25</f>
        <v>100</v>
      </c>
      <c r="K28">
        <f ca="1">'S&amp;U'!$C$14-Finance!K25</f>
        <v>100</v>
      </c>
      <c r="L28">
        <f ca="1">'S&amp;U'!$C$14-Finance!L25</f>
        <v>100</v>
      </c>
      <c r="M28">
        <f ca="1">'S&amp;U'!$C$14-Finance!M25</f>
        <v>100</v>
      </c>
      <c r="N28">
        <f ca="1">'S&amp;U'!$C$14-Finance!N25</f>
        <v>100</v>
      </c>
      <c r="O28">
        <f ca="1">'S&amp;U'!$C$14-Finance!O25</f>
        <v>100</v>
      </c>
      <c r="P28">
        <f ca="1">'S&amp;U'!$C$14-Finance!P25</f>
        <v>100</v>
      </c>
    </row>
    <row r="29" spans="1:16" ht="15" customHeight="1" x14ac:dyDescent="0.45">
      <c r="B29" s="16" t="s">
        <v>89</v>
      </c>
      <c r="D29">
        <f>'S&amp;U'!$I$14*-AVERAGE(Finance!C28:D28)</f>
        <v>-1</v>
      </c>
      <c r="E29">
        <f>'S&amp;U'!$I$14*-AVERAGE(Finance!D28:E28)</f>
        <v>-1</v>
      </c>
      <c r="F29">
        <f>'S&amp;U'!$I$14*-AVERAGE(Finance!E28:F28)</f>
        <v>-1</v>
      </c>
      <c r="G29">
        <f ca="1">'S&amp;U'!$I$14*-AVERAGE(Finance!F28:G28)</f>
        <v>-1</v>
      </c>
      <c r="H29">
        <f ca="1">'S&amp;U'!$I$14*-AVERAGE(Finance!G28:H28)</f>
        <v>-1</v>
      </c>
      <c r="I29">
        <f ca="1">'S&amp;U'!$I$14*-AVERAGE(Finance!H28:I28)</f>
        <v>-1</v>
      </c>
      <c r="J29">
        <f ca="1">'S&amp;U'!$I$14*-AVERAGE(Finance!I28:J28)</f>
        <v>-1</v>
      </c>
      <c r="K29">
        <f ca="1">'S&amp;U'!$I$14*-AVERAGE(Finance!J28:K28)</f>
        <v>-1</v>
      </c>
      <c r="L29">
        <f ca="1">'S&amp;U'!$I$14*-AVERAGE(Finance!K28:L28)</f>
        <v>-1</v>
      </c>
      <c r="M29">
        <f ca="1">'S&amp;U'!$I$14*-AVERAGE(Finance!L28:M28)</f>
        <v>-1</v>
      </c>
      <c r="N29">
        <f ca="1">'S&amp;U'!$I$14*-AVERAGE(Finance!M28:N28)</f>
        <v>-1</v>
      </c>
      <c r="O29">
        <f ca="1">'S&amp;U'!$I$14*-AVERAGE(Finance!N28:O28)</f>
        <v>-1</v>
      </c>
      <c r="P29">
        <f ca="1">'S&amp;U'!$I$14*-AVERAGE(Finance!O28:P28)</f>
        <v>-1</v>
      </c>
    </row>
    <row r="30" spans="1:16" ht="15" customHeight="1" x14ac:dyDescent="0.45">
      <c r="B30" s="16" t="s">
        <v>175</v>
      </c>
      <c r="D30">
        <f t="shared" ref="D30:P30" si="12">IF(D4&gt;$C$35,D26+D29,0)</f>
        <v>-1</v>
      </c>
      <c r="E30">
        <f t="shared" si="12"/>
        <v>-1</v>
      </c>
      <c r="F30">
        <f t="shared" si="12"/>
        <v>-1</v>
      </c>
      <c r="G30">
        <f t="shared" ca="1" si="12"/>
        <v>-1</v>
      </c>
      <c r="H30">
        <f t="shared" ca="1" si="12"/>
        <v>-1</v>
      </c>
      <c r="I30">
        <f t="shared" ca="1" si="12"/>
        <v>-1</v>
      </c>
      <c r="J30">
        <f t="shared" ca="1" si="12"/>
        <v>-1</v>
      </c>
      <c r="K30">
        <f t="shared" ca="1" si="12"/>
        <v>-1</v>
      </c>
      <c r="L30">
        <f t="shared" ca="1" si="12"/>
        <v>-1</v>
      </c>
      <c r="M30">
        <f t="shared" ca="1" si="12"/>
        <v>-1</v>
      </c>
      <c r="N30">
        <f t="shared" ca="1" si="12"/>
        <v>-1</v>
      </c>
      <c r="O30">
        <f t="shared" ca="1" si="12"/>
        <v>-1</v>
      </c>
      <c r="P30">
        <f t="shared" ca="1" si="12"/>
        <v>-1</v>
      </c>
    </row>
    <row r="32" spans="1:16" ht="15" customHeight="1" x14ac:dyDescent="0.45">
      <c r="B32" s="16" t="s">
        <v>179</v>
      </c>
      <c r="G32">
        <f ca="1">G17+G24</f>
        <v>89.263142496881258</v>
      </c>
      <c r="H32">
        <f t="shared" ref="H32:P32" ca="1" si="13">H17+H24</f>
        <v>242.68302421622977</v>
      </c>
      <c r="I32">
        <f t="shared" ca="1" si="13"/>
        <v>409.55778413587797</v>
      </c>
      <c r="J32">
        <f t="shared" ca="1" si="13"/>
        <v>436.94775341598188</v>
      </c>
      <c r="K32">
        <f t="shared" ca="1" si="13"/>
        <v>451.39339950713583</v>
      </c>
      <c r="L32">
        <f t="shared" ca="1" si="13"/>
        <v>462.17308191760799</v>
      </c>
      <c r="M32">
        <f t="shared" ca="1" si="13"/>
        <v>465.31555224230289</v>
      </c>
      <c r="N32">
        <f t="shared" ca="1" si="13"/>
        <v>251.97725679885423</v>
      </c>
      <c r="O32">
        <f t="shared" ca="1" si="13"/>
        <v>17.958512879405259</v>
      </c>
      <c r="P32">
        <f t="shared" ca="1" si="13"/>
        <v>4.6154621707060084</v>
      </c>
    </row>
    <row r="34" spans="1:16" ht="15" customHeight="1" x14ac:dyDescent="0.45">
      <c r="A34" s="15" t="s">
        <v>176</v>
      </c>
    </row>
    <row r="35" spans="1:16" ht="15" customHeight="1" x14ac:dyDescent="0.45">
      <c r="B35" s="16" t="s">
        <v>194</v>
      </c>
      <c r="C35" s="69">
        <f>'S&amp;U'!J15</f>
        <v>0</v>
      </c>
      <c r="D35" t="e">
        <f ca="1">[1]!FR(C35)</f>
        <v>#NAME?</v>
      </c>
    </row>
    <row r="36" spans="1:16" ht="15" customHeight="1" x14ac:dyDescent="0.45">
      <c r="B36" s="16" t="s">
        <v>88</v>
      </c>
      <c r="C36" s="61">
        <f>'S&amp;U'!H15</f>
        <v>0.04</v>
      </c>
      <c r="D36" t="e">
        <f ca="1">[1]!FR(C36)</f>
        <v>#NAME?</v>
      </c>
    </row>
    <row r="37" spans="1:16" ht="15" customHeight="1" x14ac:dyDescent="0.45">
      <c r="B37" s="16" t="s">
        <v>89</v>
      </c>
      <c r="C37" s="61">
        <f>'S&amp;U'!I15</f>
        <v>0.01</v>
      </c>
      <c r="D37" t="e">
        <f ca="1">[1]!FR(C37)</f>
        <v>#NAME?</v>
      </c>
    </row>
    <row r="38" spans="1:16" ht="15" customHeight="1" x14ac:dyDescent="0.45">
      <c r="C38" s="61"/>
    </row>
    <row r="39" spans="1:16" ht="15" customHeight="1" x14ac:dyDescent="0.45">
      <c r="B39" s="16" t="s">
        <v>57</v>
      </c>
      <c r="D39">
        <f>C43</f>
        <v>0</v>
      </c>
      <c r="E39">
        <f t="shared" ref="E39:G39" ca="1" si="14">D43</f>
        <v>267.23173980489071</v>
      </c>
      <c r="F39">
        <f t="shared" ca="1" si="14"/>
        <v>1105.9854964753349</v>
      </c>
      <c r="G39">
        <f t="shared" ca="1" si="14"/>
        <v>1850</v>
      </c>
      <c r="H39">
        <f t="shared" ref="H39:P39" ca="1" si="15">G43</f>
        <v>1760.7568575031187</v>
      </c>
      <c r="I39">
        <f t="shared" ca="1" si="15"/>
        <v>1518.1138332868888</v>
      </c>
      <c r="J39">
        <f t="shared" ca="1" si="15"/>
        <v>1108.5660491510109</v>
      </c>
      <c r="K39">
        <f t="shared" ca="1" si="15"/>
        <v>671.61829573502905</v>
      </c>
      <c r="L39">
        <f t="shared" ca="1" si="15"/>
        <v>220.22489622789323</v>
      </c>
      <c r="M39">
        <f t="shared" ca="1" si="15"/>
        <v>0</v>
      </c>
      <c r="N39">
        <f t="shared" ca="1" si="15"/>
        <v>0</v>
      </c>
      <c r="O39">
        <f t="shared" ca="1" si="15"/>
        <v>0</v>
      </c>
      <c r="P39">
        <f t="shared" ca="1" si="15"/>
        <v>0</v>
      </c>
    </row>
    <row r="40" spans="1:16" ht="15" customHeight="1" x14ac:dyDescent="0.45">
      <c r="B40" s="16" t="s">
        <v>90</v>
      </c>
      <c r="D40">
        <f ca="1">'S&amp;U'!D15</f>
        <v>267.23173980489071</v>
      </c>
      <c r="E40">
        <f ca="1">'S&amp;U'!E15</f>
        <v>838.75375667044409</v>
      </c>
      <c r="F40">
        <f ca="1">'S&amp;U'!F15</f>
        <v>744.0145035246652</v>
      </c>
      <c r="G40">
        <f>'S&amp;U'!G15</f>
        <v>0.02</v>
      </c>
      <c r="H40">
        <f>'S&amp;U'!H15</f>
        <v>0.04</v>
      </c>
      <c r="I40">
        <f>'S&amp;U'!I15</f>
        <v>0.01</v>
      </c>
      <c r="J40">
        <f>'S&amp;U'!J15</f>
        <v>0</v>
      </c>
      <c r="K40">
        <f>'S&amp;U'!K15</f>
        <v>0</v>
      </c>
      <c r="L40">
        <f>'S&amp;U'!L15</f>
        <v>0</v>
      </c>
      <c r="M40">
        <f>'S&amp;U'!M15</f>
        <v>0</v>
      </c>
      <c r="N40">
        <f>'S&amp;U'!N15</f>
        <v>0</v>
      </c>
      <c r="O40">
        <f>'S&amp;U'!O15</f>
        <v>0</v>
      </c>
      <c r="P40">
        <f>'S&amp;U'!P15</f>
        <v>0</v>
      </c>
    </row>
    <row r="41" spans="1:16" ht="15" customHeight="1" x14ac:dyDescent="0.45">
      <c r="B41" s="16" t="s">
        <v>91</v>
      </c>
      <c r="G41">
        <f ca="1">-MIN(G39,G32)</f>
        <v>-89.263142496881258</v>
      </c>
      <c r="H41">
        <f t="shared" ref="H41:P41" ca="1" si="16">-MIN(H39,H32)</f>
        <v>-242.68302421622977</v>
      </c>
      <c r="I41">
        <f t="shared" ca="1" si="16"/>
        <v>-409.55778413587797</v>
      </c>
      <c r="J41">
        <f t="shared" ca="1" si="16"/>
        <v>-436.94775341598188</v>
      </c>
      <c r="K41">
        <f t="shared" ca="1" si="16"/>
        <v>-451.39339950713583</v>
      </c>
      <c r="L41">
        <f t="shared" ca="1" si="16"/>
        <v>-220.22489622789323</v>
      </c>
      <c r="M41">
        <f t="shared" ca="1" si="16"/>
        <v>0</v>
      </c>
      <c r="N41">
        <f t="shared" ca="1" si="16"/>
        <v>0</v>
      </c>
      <c r="O41">
        <f t="shared" ca="1" si="16"/>
        <v>0</v>
      </c>
      <c r="P41">
        <f t="shared" ca="1" si="16"/>
        <v>0</v>
      </c>
    </row>
    <row r="42" spans="1:16" ht="15" customHeight="1" x14ac:dyDescent="0.45">
      <c r="B42" s="16" t="s">
        <v>193</v>
      </c>
      <c r="D42" s="74">
        <f>IF(AND(D4&lt;=$C$35,switch=1),-Finance!D44-Finance!D47,0)</f>
        <v>0</v>
      </c>
      <c r="E42" s="74">
        <f>IF(AND(E4&lt;=$C$35,switch=1),-Finance!E44-Finance!E47,0)</f>
        <v>0</v>
      </c>
      <c r="F42" s="74">
        <f>IF(AND(F4&lt;=$C$35,switch=1),-Finance!F44-Finance!F47,0)</f>
        <v>0</v>
      </c>
      <c r="G42" s="74">
        <f>IF(AND(G4&lt;=$C$35,switch=1),-Finance!G44-Finance!G47,0)</f>
        <v>0</v>
      </c>
      <c r="H42" s="74">
        <f>IF(AND(H4&lt;=$C$35,switch=1),-Finance!H44-Finance!H47,0)</f>
        <v>0</v>
      </c>
      <c r="I42" s="74">
        <f>IF(AND(I4&lt;=$C$35,switch=1),-Finance!I44-Finance!I47,0)</f>
        <v>0</v>
      </c>
      <c r="J42" s="74">
        <f>IF(AND(J4&lt;=$C$35,switch=1),-Finance!J44-Finance!J47,0)</f>
        <v>0</v>
      </c>
      <c r="K42" s="74">
        <f>IF(AND(K4&lt;=$C$35,switch=1),-Finance!K44-Finance!K47,0)</f>
        <v>0</v>
      </c>
      <c r="L42" s="74">
        <f>IF(AND(L4&lt;=$C$35,switch=1),-Finance!L44-Finance!L47,0)</f>
        <v>0</v>
      </c>
      <c r="M42" s="74">
        <f>IF(AND(M4&lt;=$C$35,switch=1),-Finance!M44-Finance!M47,0)</f>
        <v>0</v>
      </c>
      <c r="N42" s="74">
        <f>IF(AND(N4&lt;=$C$35,switch=1),-Finance!N44-Finance!N47,0)</f>
        <v>0</v>
      </c>
      <c r="O42" s="74">
        <f>IF(AND(O4&lt;=$C$35,switch=1),-Finance!O44-Finance!O47,0)</f>
        <v>0</v>
      </c>
      <c r="P42" s="74">
        <f>IF(AND(P4&lt;=$C$35,switch=1),-Finance!P44-Finance!P47,0)</f>
        <v>0</v>
      </c>
    </row>
    <row r="43" spans="1:16" ht="15" customHeight="1" x14ac:dyDescent="0.45">
      <c r="B43" s="16" t="s">
        <v>59</v>
      </c>
      <c r="C43" s="63">
        <v>0</v>
      </c>
      <c r="D43">
        <f ca="1">SUM(D39:D42)</f>
        <v>267.23173980489071</v>
      </c>
      <c r="E43">
        <f t="shared" ref="E43:G43" ca="1" si="17">SUM(E39:E42)</f>
        <v>1105.9854964753349</v>
      </c>
      <c r="F43">
        <f t="shared" ca="1" si="17"/>
        <v>1850</v>
      </c>
      <c r="G43">
        <f t="shared" ca="1" si="17"/>
        <v>1760.7568575031187</v>
      </c>
      <c r="H43">
        <f t="shared" ref="H43" ca="1" si="18">SUM(H39:H42)</f>
        <v>1518.1138332868888</v>
      </c>
      <c r="I43">
        <f t="shared" ref="I43" ca="1" si="19">SUM(I39:I42)</f>
        <v>1108.5660491510109</v>
      </c>
      <c r="J43">
        <f t="shared" ref="J43" ca="1" si="20">SUM(J39:J42)</f>
        <v>671.61829573502905</v>
      </c>
      <c r="K43">
        <f t="shared" ref="K43" ca="1" si="21">SUM(K39:K42)</f>
        <v>220.22489622789323</v>
      </c>
      <c r="L43">
        <f t="shared" ref="L43" ca="1" si="22">SUM(L39:L42)</f>
        <v>0</v>
      </c>
      <c r="M43">
        <f t="shared" ref="M43" ca="1" si="23">SUM(M39:M42)</f>
        <v>0</v>
      </c>
      <c r="N43">
        <f t="shared" ref="N43" ca="1" si="24">SUM(N39:N42)</f>
        <v>0</v>
      </c>
      <c r="O43">
        <f t="shared" ref="O43" ca="1" si="25">SUM(O39:O42)</f>
        <v>0</v>
      </c>
      <c r="P43">
        <f t="shared" ref="P43" ca="1" si="26">SUM(P39:P42)</f>
        <v>0</v>
      </c>
    </row>
    <row r="44" spans="1:16" ht="15" customHeight="1" x14ac:dyDescent="0.45">
      <c r="B44" s="16" t="s">
        <v>92</v>
      </c>
      <c r="D44">
        <f ca="1">-$C$36*AVERAGE(C43:D43)</f>
        <v>-5.3446347960978144</v>
      </c>
      <c r="E44">
        <f t="shared" ref="E44:G44" ca="1" si="27">-$C$36*AVERAGE(D43:E43)</f>
        <v>-27.464344725604516</v>
      </c>
      <c r="F44">
        <f t="shared" ca="1" si="27"/>
        <v>-59.119709929506698</v>
      </c>
      <c r="G44">
        <f t="shared" ca="1" si="27"/>
        <v>-72.215137150062375</v>
      </c>
      <c r="H44">
        <f t="shared" ref="H44" ca="1" si="28">-$C$36*AVERAGE(G43:H43)</f>
        <v>-65.577413815800156</v>
      </c>
      <c r="I44">
        <f t="shared" ref="I44" ca="1" si="29">-$C$36*AVERAGE(H43:I43)</f>
        <v>-52.533597648757997</v>
      </c>
      <c r="J44">
        <f t="shared" ref="J44" ca="1" si="30">-$C$36*AVERAGE(I43:J43)</f>
        <v>-35.603686897720799</v>
      </c>
      <c r="K44">
        <f t="shared" ref="K44" ca="1" si="31">-$C$36*AVERAGE(J43:K43)</f>
        <v>-17.836863839258445</v>
      </c>
      <c r="L44">
        <f t="shared" ref="L44" ca="1" si="32">-$C$36*AVERAGE(K43:L43)</f>
        <v>-4.404497924557865</v>
      </c>
      <c r="M44">
        <f t="shared" ref="M44" ca="1" si="33">-$C$36*AVERAGE(L43:M43)</f>
        <v>0</v>
      </c>
      <c r="N44">
        <f t="shared" ref="N44" ca="1" si="34">-$C$36*AVERAGE(M43:N43)</f>
        <v>0</v>
      </c>
      <c r="O44">
        <f t="shared" ref="O44" ca="1" si="35">-$C$36*AVERAGE(N43:O43)</f>
        <v>0</v>
      </c>
      <c r="P44">
        <f t="shared" ref="P44" ca="1" si="36">-$C$36*AVERAGE(O43:P43)</f>
        <v>0</v>
      </c>
    </row>
    <row r="46" spans="1:16" ht="15" customHeight="1" x14ac:dyDescent="0.45">
      <c r="B46" s="16" t="s">
        <v>93</v>
      </c>
      <c r="C46">
        <f>'S&amp;U'!$C$15-Finance!C43</f>
        <v>1850</v>
      </c>
      <c r="D46">
        <f ca="1">'S&amp;U'!$C$15-Finance!D43</f>
        <v>1582.7682601951092</v>
      </c>
      <c r="E46">
        <f ca="1">'S&amp;U'!$C$15-Finance!E43</f>
        <v>744.01450352466509</v>
      </c>
      <c r="F46">
        <f ca="1">'S&amp;U'!$C$15-Finance!F43</f>
        <v>0</v>
      </c>
    </row>
    <row r="47" spans="1:16" ht="15" customHeight="1" x14ac:dyDescent="0.45">
      <c r="B47" s="16" t="s">
        <v>89</v>
      </c>
      <c r="D47">
        <f ca="1">-$C$37*AVERAGE(C46:D46)</f>
        <v>-17.163841300975545</v>
      </c>
      <c r="E47">
        <f t="shared" ref="E47:F47" ca="1" si="37">-$C$37*AVERAGE(D46:E46)</f>
        <v>-11.633913818598872</v>
      </c>
      <c r="F47">
        <f t="shared" ca="1" si="37"/>
        <v>-3.7200725176233256</v>
      </c>
    </row>
    <row r="48" spans="1:16" ht="15" customHeight="1" x14ac:dyDescent="0.45">
      <c r="B48" s="16" t="s">
        <v>185</v>
      </c>
      <c r="D48">
        <f ca="1">IF(AND(D4&gt;$C$35,switch=1),Finance!D44+Finance!D47,0)</f>
        <v>-22.508476097073359</v>
      </c>
      <c r="E48">
        <f ca="1">IF(AND(E4&gt;$C$35,switch=1),Finance!E44+Finance!E47,0)</f>
        <v>-39.098258544203389</v>
      </c>
      <c r="F48">
        <f ca="1">IF(AND(F4&gt;$C$35,switch=1),Finance!F44+Finance!F47,0)</f>
        <v>-62.83978244713002</v>
      </c>
      <c r="G48">
        <f ca="1">IF(AND(G4&gt;$C$35,switch=1),Finance!G44+Finance!G47,0)</f>
        <v>-72.215137150062375</v>
      </c>
      <c r="H48">
        <f ca="1">IF(AND(H4&gt;$C$35,switch=1),Finance!H44+Finance!H47,0)</f>
        <v>-65.577413815800156</v>
      </c>
      <c r="I48">
        <f ca="1">IF(AND(I4&gt;$C$35,switch=1),Finance!I44+Finance!I47,0)</f>
        <v>-52.533597648757997</v>
      </c>
      <c r="J48">
        <f ca="1">IF(AND(J4&gt;$C$35,switch=1),Finance!J44+Finance!J47,0)</f>
        <v>-35.603686897720799</v>
      </c>
      <c r="K48">
        <f ca="1">IF(AND(K4&gt;$C$35,switch=1),Finance!K44+Finance!K47,0)</f>
        <v>-17.836863839258445</v>
      </c>
      <c r="L48">
        <f ca="1">IF(AND(L4&gt;$C$35,switch=1),Finance!L44+Finance!L47,0)</f>
        <v>-4.404497924557865</v>
      </c>
      <c r="M48">
        <f ca="1">IF(AND(M4&gt;$C$35,switch=1),Finance!M44+Finance!M47,0)</f>
        <v>0</v>
      </c>
      <c r="N48">
        <f ca="1">IF(AND(N4&gt;$C$35,switch=1),Finance!N44+Finance!N47,0)</f>
        <v>0</v>
      </c>
      <c r="O48">
        <f ca="1">IF(AND(O4&gt;$C$35,switch=1),Finance!O44+Finance!O47,0)</f>
        <v>0</v>
      </c>
      <c r="P48">
        <f ca="1">IF(AND(P4&gt;$C$35,switch=1),Finance!P44+Finance!P47,0)</f>
        <v>0</v>
      </c>
    </row>
    <row r="50" spans="1:16" ht="15" customHeight="1" x14ac:dyDescent="0.45">
      <c r="B50" s="16" t="s">
        <v>188</v>
      </c>
      <c r="G50">
        <f ca="1">-(H41+H48)</f>
        <v>308.26043803202992</v>
      </c>
      <c r="H50">
        <f t="shared" ref="H50:P50" ca="1" si="38">-(I41+I48)</f>
        <v>462.09138178463598</v>
      </c>
      <c r="I50">
        <f t="shared" ca="1" si="38"/>
        <v>472.5514403137027</v>
      </c>
      <c r="J50">
        <f t="shared" ca="1" si="38"/>
        <v>469.23026334639428</v>
      </c>
      <c r="K50">
        <f t="shared" ca="1" si="38"/>
        <v>224.62939415245108</v>
      </c>
      <c r="L50">
        <f t="shared" ca="1" si="38"/>
        <v>0</v>
      </c>
      <c r="M50">
        <f t="shared" ca="1" si="38"/>
        <v>0</v>
      </c>
      <c r="N50">
        <f t="shared" ca="1" si="38"/>
        <v>0</v>
      </c>
      <c r="O50">
        <f t="shared" ca="1" si="38"/>
        <v>0</v>
      </c>
      <c r="P50">
        <f t="shared" si="38"/>
        <v>0</v>
      </c>
    </row>
    <row r="52" spans="1:16" ht="15" customHeight="1" x14ac:dyDescent="0.45">
      <c r="B52" s="16" t="s">
        <v>187</v>
      </c>
      <c r="G52">
        <f>F55</f>
        <v>338.28571428571428</v>
      </c>
      <c r="H52">
        <f t="shared" ref="H52:P52" ca="1" si="39">G55</f>
        <v>308.26043803202992</v>
      </c>
      <c r="I52">
        <f t="shared" ca="1" si="39"/>
        <v>401.03856944163886</v>
      </c>
      <c r="J52">
        <f t="shared" ca="1" si="39"/>
        <v>472.5514403137027</v>
      </c>
      <c r="K52">
        <f t="shared" ca="1" si="39"/>
        <v>469.23026334639428</v>
      </c>
      <c r="L52">
        <f t="shared" ca="1" si="39"/>
        <v>224.62939415245108</v>
      </c>
      <c r="M52">
        <f t="shared" ca="1" si="39"/>
        <v>0</v>
      </c>
      <c r="N52">
        <f t="shared" ca="1" si="39"/>
        <v>0</v>
      </c>
      <c r="O52">
        <f t="shared" ca="1" si="39"/>
        <v>0</v>
      </c>
      <c r="P52">
        <f t="shared" ca="1" si="39"/>
        <v>0</v>
      </c>
    </row>
    <row r="53" spans="1:16" ht="15" customHeight="1" x14ac:dyDescent="0.45">
      <c r="B53" s="16" t="s">
        <v>183</v>
      </c>
      <c r="G53">
        <f ca="1">G13+G16+G24+G41</f>
        <v>48.743483894083099</v>
      </c>
      <c r="H53">
        <f t="shared" ref="H53:P53" ca="1" si="40">H13+H16+H24+H41</f>
        <v>92.77813140960896</v>
      </c>
      <c r="I53">
        <f t="shared" ca="1" si="40"/>
        <v>138.92741453539082</v>
      </c>
      <c r="J53">
        <f t="shared" ca="1" si="40"/>
        <v>142.06543209411086</v>
      </c>
      <c r="K53">
        <f t="shared" ca="1" si="40"/>
        <v>141.06907900391838</v>
      </c>
      <c r="L53">
        <f t="shared" ca="1" si="40"/>
        <v>382.22145964236455</v>
      </c>
      <c r="M53">
        <f t="shared" ca="1" si="40"/>
        <v>605.21021791499379</v>
      </c>
      <c r="N53">
        <f t="shared" ca="1" si="40"/>
        <v>327.87043383851051</v>
      </c>
      <c r="O53">
        <f t="shared" ca="1" si="40"/>
        <v>23.646066743226836</v>
      </c>
      <c r="P53">
        <f t="shared" ca="1" si="40"/>
        <v>6.3001008219178107</v>
      </c>
    </row>
    <row r="54" spans="1:16" ht="15" customHeight="1" x14ac:dyDescent="0.45">
      <c r="B54" s="16" t="s">
        <v>180</v>
      </c>
      <c r="G54">
        <f ca="1">-MAX(G52+G53-G50,0)</f>
        <v>-78.768760147767466</v>
      </c>
      <c r="H54">
        <f t="shared" ref="H54:P54" ca="1" si="41">-MAX(H52+H53-H50,0)</f>
        <v>0</v>
      </c>
      <c r="I54">
        <f t="shared" ca="1" si="41"/>
        <v>-67.414543663327038</v>
      </c>
      <c r="J54">
        <f t="shared" ca="1" si="41"/>
        <v>-145.38660906141934</v>
      </c>
      <c r="K54">
        <f t="shared" ca="1" si="41"/>
        <v>-385.66994819786152</v>
      </c>
      <c r="L54">
        <f t="shared" ca="1" si="41"/>
        <v>-606.85085379481563</v>
      </c>
      <c r="M54">
        <f t="shared" ca="1" si="41"/>
        <v>-605.21021791499379</v>
      </c>
      <c r="N54">
        <f t="shared" ca="1" si="41"/>
        <v>-327.87043383851051</v>
      </c>
      <c r="O54">
        <f t="shared" ca="1" si="41"/>
        <v>-23.646066743226836</v>
      </c>
      <c r="P54">
        <f t="shared" ca="1" si="41"/>
        <v>-6.3001008219178107</v>
      </c>
    </row>
    <row r="55" spans="1:16" ht="15" customHeight="1" x14ac:dyDescent="0.45">
      <c r="B55" s="16" t="s">
        <v>189</v>
      </c>
      <c r="F55">
        <f>'S&amp;U'!F10</f>
        <v>338.28571428571428</v>
      </c>
      <c r="G55">
        <f ca="1">SUM(G52:G54)</f>
        <v>308.26043803202992</v>
      </c>
      <c r="H55">
        <f t="shared" ref="H55:P55" ca="1" si="42">SUM(H52:H54)</f>
        <v>401.03856944163886</v>
      </c>
      <c r="I55">
        <f t="shared" ca="1" si="42"/>
        <v>472.5514403137027</v>
      </c>
      <c r="J55">
        <f t="shared" ca="1" si="42"/>
        <v>469.23026334639428</v>
      </c>
      <c r="K55">
        <f t="shared" ca="1" si="42"/>
        <v>224.62939415245108</v>
      </c>
      <c r="L55">
        <f t="shared" ca="1" si="42"/>
        <v>0</v>
      </c>
      <c r="M55">
        <f t="shared" ca="1" si="42"/>
        <v>0</v>
      </c>
      <c r="N55">
        <f t="shared" ca="1" si="42"/>
        <v>0</v>
      </c>
      <c r="O55">
        <f t="shared" ca="1" si="42"/>
        <v>0</v>
      </c>
      <c r="P55">
        <f t="shared" ca="1" si="42"/>
        <v>0</v>
      </c>
    </row>
    <row r="57" spans="1:16" ht="15" customHeight="1" x14ac:dyDescent="0.45">
      <c r="A57" s="15" t="s">
        <v>94</v>
      </c>
    </row>
    <row r="58" spans="1:16" ht="15" customHeight="1" x14ac:dyDescent="0.45">
      <c r="B58" s="16" t="s">
        <v>141</v>
      </c>
      <c r="E58" s="65"/>
      <c r="F58" s="65"/>
      <c r="G58">
        <f ca="1">-G54</f>
        <v>78.768760147767466</v>
      </c>
      <c r="H58">
        <f t="shared" ref="H58:P58" ca="1" si="43">-H54</f>
        <v>0</v>
      </c>
      <c r="I58">
        <f t="shared" ca="1" si="43"/>
        <v>67.414543663327038</v>
      </c>
      <c r="J58">
        <f t="shared" ca="1" si="43"/>
        <v>145.38660906141934</v>
      </c>
      <c r="K58">
        <f t="shared" ca="1" si="43"/>
        <v>385.66994819786152</v>
      </c>
      <c r="L58">
        <f t="shared" ca="1" si="43"/>
        <v>606.85085379481563</v>
      </c>
      <c r="M58">
        <f t="shared" ca="1" si="43"/>
        <v>605.21021791499379</v>
      </c>
      <c r="N58">
        <f t="shared" ca="1" si="43"/>
        <v>327.87043383851051</v>
      </c>
      <c r="O58">
        <f t="shared" ca="1" si="43"/>
        <v>23.646066743226836</v>
      </c>
      <c r="P58">
        <f t="shared" ca="1" si="43"/>
        <v>6.3001008219178107</v>
      </c>
    </row>
    <row r="59" spans="1:16" ht="15" customHeight="1" x14ac:dyDescent="0.45">
      <c r="B59" s="16" t="s">
        <v>199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>
        <f ca="1">BS!P4</f>
        <v>6.9999999999652118E-2</v>
      </c>
    </row>
    <row r="60" spans="1:16" ht="15" customHeight="1" x14ac:dyDescent="0.45">
      <c r="B60" s="16" t="s">
        <v>100</v>
      </c>
      <c r="D60">
        <f ca="1">-'S&amp;U'!D16</f>
        <v>-139.27673629218265</v>
      </c>
      <c r="E60">
        <f ca="1">-'S&amp;U'!E16</f>
        <v>-437.14450187375922</v>
      </c>
      <c r="F60">
        <f ca="1">-'S&amp;U'!F16</f>
        <v>-387.76797950954904</v>
      </c>
      <c r="G60">
        <f ca="1">G58+G59</f>
        <v>78.768760147767466</v>
      </c>
      <c r="H60">
        <f t="shared" ref="H60:P60" ca="1" si="44">H58+H59</f>
        <v>0</v>
      </c>
      <c r="I60">
        <f t="shared" ca="1" si="44"/>
        <v>67.414543663327038</v>
      </c>
      <c r="J60">
        <f t="shared" ca="1" si="44"/>
        <v>145.38660906141934</v>
      </c>
      <c r="K60">
        <f t="shared" ca="1" si="44"/>
        <v>385.66994819786152</v>
      </c>
      <c r="L60">
        <f t="shared" ca="1" si="44"/>
        <v>606.85085379481563</v>
      </c>
      <c r="M60">
        <f t="shared" ca="1" si="44"/>
        <v>605.21021791499379</v>
      </c>
      <c r="N60">
        <f t="shared" ca="1" si="44"/>
        <v>327.87043383851051</v>
      </c>
      <c r="O60">
        <f t="shared" ca="1" si="44"/>
        <v>23.646066743226836</v>
      </c>
      <c r="P60">
        <f t="shared" ca="1" si="44"/>
        <v>6.3701008219174629</v>
      </c>
    </row>
    <row r="61" spans="1:16" ht="15" customHeight="1" x14ac:dyDescent="0.45">
      <c r="B61" s="16" t="s">
        <v>101</v>
      </c>
      <c r="C61" s="61">
        <f ca="1">IRR(D60:P60)</f>
        <v>0.13602228022811436</v>
      </c>
    </row>
    <row r="63" spans="1:16" ht="15" customHeight="1" x14ac:dyDescent="0.45">
      <c r="A63"/>
      <c r="B63"/>
    </row>
    <row r="64" spans="1:16" ht="15" customHeight="1" x14ac:dyDescent="0.45">
      <c r="A64"/>
      <c r="B64"/>
    </row>
    <row r="65" spans="1:2" ht="15" customHeight="1" x14ac:dyDescent="0.45">
      <c r="A65"/>
      <c r="B65"/>
    </row>
    <row r="66" spans="1:2" ht="15" customHeight="1" x14ac:dyDescent="0.45">
      <c r="A66"/>
      <c r="B66"/>
    </row>
    <row r="67" spans="1:2" ht="15" customHeight="1" x14ac:dyDescent="0.45">
      <c r="A67"/>
      <c r="B67"/>
    </row>
    <row r="68" spans="1:2" ht="15" customHeight="1" x14ac:dyDescent="0.45">
      <c r="A68"/>
      <c r="B68"/>
    </row>
    <row r="69" spans="1:2" ht="15" customHeight="1" x14ac:dyDescent="0.45">
      <c r="A69"/>
      <c r="B69"/>
    </row>
    <row r="70" spans="1:2" ht="15" customHeight="1" x14ac:dyDescent="0.45">
      <c r="A70"/>
      <c r="B70"/>
    </row>
    <row r="71" spans="1:2" ht="15" customHeight="1" x14ac:dyDescent="0.45">
      <c r="A71"/>
      <c r="B71"/>
    </row>
    <row r="72" spans="1:2" ht="15" customHeight="1" x14ac:dyDescent="0.45">
      <c r="A72"/>
      <c r="B72"/>
    </row>
    <row r="73" spans="1:2" ht="15" customHeight="1" x14ac:dyDescent="0.45">
      <c r="A73"/>
      <c r="B73"/>
    </row>
    <row r="74" spans="1:2" ht="15" customHeight="1" x14ac:dyDescent="0.45">
      <c r="A74"/>
      <c r="B74"/>
    </row>
    <row r="75" spans="1:2" ht="15" customHeight="1" x14ac:dyDescent="0.45">
      <c r="A75"/>
      <c r="B75"/>
    </row>
    <row r="76" spans="1:2" ht="15" customHeight="1" x14ac:dyDescent="0.45">
      <c r="A76"/>
      <c r="B76"/>
    </row>
    <row r="77" spans="1:2" ht="15" customHeight="1" x14ac:dyDescent="0.45">
      <c r="A77"/>
      <c r="B77"/>
    </row>
    <row r="78" spans="1:2" ht="15" customHeight="1" x14ac:dyDescent="0.45">
      <c r="A78"/>
      <c r="B78"/>
    </row>
    <row r="79" spans="1:2" ht="15" customHeight="1" x14ac:dyDescent="0.45">
      <c r="A79"/>
      <c r="B79"/>
    </row>
    <row r="80" spans="1:2" ht="15" customHeight="1" x14ac:dyDescent="0.45">
      <c r="A80"/>
      <c r="B80"/>
    </row>
    <row r="81" spans="1:2" ht="15" customHeight="1" x14ac:dyDescent="0.45">
      <c r="A81"/>
      <c r="B81"/>
    </row>
    <row r="82" spans="1:2" ht="15" customHeight="1" x14ac:dyDescent="0.45">
      <c r="A82"/>
      <c r="B82"/>
    </row>
    <row r="83" spans="1:2" ht="15" customHeight="1" x14ac:dyDescent="0.45">
      <c r="A83"/>
      <c r="B83"/>
    </row>
    <row r="84" spans="1:2" ht="15" customHeight="1" x14ac:dyDescent="0.45">
      <c r="A84"/>
      <c r="B84"/>
    </row>
    <row r="85" spans="1:2" ht="15" customHeight="1" x14ac:dyDescent="0.45">
      <c r="A85"/>
      <c r="B85"/>
    </row>
    <row r="86" spans="1:2" ht="15" customHeight="1" x14ac:dyDescent="0.45">
      <c r="A86"/>
      <c r="B86"/>
    </row>
    <row r="87" spans="1:2" ht="15" customHeight="1" x14ac:dyDescent="0.45">
      <c r="A87"/>
      <c r="B87"/>
    </row>
    <row r="88" spans="1:2" ht="15" customHeight="1" x14ac:dyDescent="0.45">
      <c r="A88"/>
      <c r="B88"/>
    </row>
    <row r="89" spans="1:2" ht="15" customHeight="1" x14ac:dyDescent="0.45">
      <c r="A89"/>
      <c r="B89"/>
    </row>
    <row r="90" spans="1:2" ht="15" customHeight="1" x14ac:dyDescent="0.45">
      <c r="A90"/>
      <c r="B90"/>
    </row>
    <row r="91" spans="1:2" ht="15" customHeight="1" x14ac:dyDescent="0.45">
      <c r="A91"/>
      <c r="B91"/>
    </row>
    <row r="92" spans="1:2" ht="15" customHeight="1" x14ac:dyDescent="0.45">
      <c r="A92"/>
      <c r="B92"/>
    </row>
    <row r="93" spans="1:2" ht="15" customHeight="1" x14ac:dyDescent="0.45">
      <c r="A93"/>
      <c r="B93"/>
    </row>
    <row r="94" spans="1:2" ht="15" customHeight="1" x14ac:dyDescent="0.45">
      <c r="A94"/>
      <c r="B94"/>
    </row>
    <row r="95" spans="1:2" ht="15" customHeight="1" x14ac:dyDescent="0.45">
      <c r="A95"/>
      <c r="B95"/>
    </row>
    <row r="96" spans="1:2" ht="15" customHeight="1" x14ac:dyDescent="0.45">
      <c r="A96"/>
      <c r="B96"/>
    </row>
    <row r="97" spans="1:2" ht="15" customHeight="1" x14ac:dyDescent="0.45">
      <c r="A97"/>
      <c r="B97"/>
    </row>
    <row r="98" spans="1:2" ht="15" customHeight="1" x14ac:dyDescent="0.45">
      <c r="A98"/>
      <c r="B98"/>
    </row>
    <row r="99" spans="1:2" ht="15" customHeight="1" x14ac:dyDescent="0.45">
      <c r="A99"/>
      <c r="B99"/>
    </row>
    <row r="100" spans="1:2" ht="15" customHeight="1" x14ac:dyDescent="0.45">
      <c r="A100"/>
      <c r="B100"/>
    </row>
    <row r="101" spans="1:2" ht="15" customHeight="1" x14ac:dyDescent="0.45">
      <c r="A101"/>
      <c r="B101"/>
    </row>
    <row r="102" spans="1:2" ht="15" customHeight="1" x14ac:dyDescent="0.45">
      <c r="A102"/>
      <c r="B102"/>
    </row>
    <row r="103" spans="1:2" ht="15" customHeight="1" x14ac:dyDescent="0.45">
      <c r="A103"/>
      <c r="B103"/>
    </row>
    <row r="104" spans="1:2" ht="15" customHeight="1" x14ac:dyDescent="0.45">
      <c r="A104"/>
      <c r="B104"/>
    </row>
    <row r="105" spans="1:2" ht="15" customHeight="1" x14ac:dyDescent="0.45">
      <c r="A105"/>
      <c r="B105"/>
    </row>
    <row r="106" spans="1:2" ht="15" customHeight="1" x14ac:dyDescent="0.45">
      <c r="A106"/>
      <c r="B106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0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rowBreaks count="1" manualBreakCount="1">
    <brk id="3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07F1-B1F0-43A0-948F-4DA8AC3D45AF}">
  <sheetPr>
    <pageSetUpPr fitToPage="1"/>
  </sheetPr>
  <dimension ref="A1:P21"/>
  <sheetViews>
    <sheetView zoomScaleNormal="100" workbookViewId="0">
      <pane xSplit="2" ySplit="2" topLeftCell="C3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N10" sqref="N10:Q10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42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48</v>
      </c>
    </row>
    <row r="5" spans="1:16" ht="15" customHeight="1" x14ac:dyDescent="0.45">
      <c r="B5" s="16" t="s">
        <v>34</v>
      </c>
      <c r="G5">
        <f>'S&amp;U'!$F$29*'S&amp;U'!G30</f>
        <v>2.9800000000000004</v>
      </c>
      <c r="H5">
        <f>'S&amp;U'!$F$29*'S&amp;U'!H30</f>
        <v>5.9600000000000009</v>
      </c>
      <c r="I5">
        <f>'S&amp;U'!$F$29*'S&amp;U'!I30</f>
        <v>8.94</v>
      </c>
      <c r="J5">
        <f>'S&amp;U'!$F$29*'S&amp;U'!J30</f>
        <v>8.94</v>
      </c>
      <c r="K5">
        <f>'S&amp;U'!$F$29*'S&amp;U'!K30</f>
        <v>8.94</v>
      </c>
      <c r="L5">
        <f>'S&amp;U'!$F$29*'S&amp;U'!L30</f>
        <v>8.94</v>
      </c>
      <c r="M5">
        <f>'S&amp;U'!$F$29*'S&amp;U'!M30</f>
        <v>8.94</v>
      </c>
      <c r="N5">
        <f>'S&amp;U'!$F$29*'S&amp;U'!N30</f>
        <v>4.7679999999999998</v>
      </c>
      <c r="O5">
        <f>'S&amp;U'!$F$29*'S&amp;U'!O30</f>
        <v>1.1919999999999999</v>
      </c>
      <c r="P5">
        <f>'S&amp;U'!$F$29*'S&amp;U'!P30</f>
        <v>0</v>
      </c>
    </row>
    <row r="6" spans="1:16" ht="15" customHeight="1" x14ac:dyDescent="0.45">
      <c r="B6" s="16" t="s">
        <v>33</v>
      </c>
      <c r="G6">
        <f>'S&amp;U'!$F$32*'S&amp;U'!G33</f>
        <v>8.6420000000000012</v>
      </c>
      <c r="H6">
        <f>'S&amp;U'!$F$32*'S&amp;U'!H33</f>
        <v>17.284000000000002</v>
      </c>
      <c r="I6">
        <f>'S&amp;U'!$F$32*'S&amp;U'!I33</f>
        <v>25.925999999999998</v>
      </c>
      <c r="J6">
        <f>'S&amp;U'!$F$32*'S&amp;U'!J33</f>
        <v>25.925999999999998</v>
      </c>
      <c r="K6">
        <f>'S&amp;U'!$F$32*'S&amp;U'!K33</f>
        <v>25.925999999999998</v>
      </c>
      <c r="L6">
        <f>'S&amp;U'!$F$32*'S&amp;U'!L33</f>
        <v>25.925999999999998</v>
      </c>
      <c r="M6">
        <f>'S&amp;U'!$F$32*'S&amp;U'!M33</f>
        <v>25.925999999999998</v>
      </c>
      <c r="N6">
        <f>'S&amp;U'!$F$32*'S&amp;U'!N33</f>
        <v>13.827200000000001</v>
      </c>
      <c r="O6">
        <f>'S&amp;U'!$F$32*'S&amp;U'!O33</f>
        <v>3.4568000000000003</v>
      </c>
      <c r="P6">
        <f>'S&amp;U'!$F$32*'S&amp;U'!P33</f>
        <v>0</v>
      </c>
    </row>
    <row r="7" spans="1:16" ht="15" customHeight="1" x14ac:dyDescent="0.45">
      <c r="B7" s="16" t="s">
        <v>35</v>
      </c>
      <c r="G7">
        <f>G6/'S&amp;U'!$E$26*1000</f>
        <v>1.4900000000000002</v>
      </c>
      <c r="H7">
        <f>H6/'S&amp;U'!$E$26*1000</f>
        <v>2.9800000000000004</v>
      </c>
      <c r="I7">
        <f>I6/'S&amp;U'!$E$26*1000</f>
        <v>4.47</v>
      </c>
      <c r="J7">
        <f>J6/'S&amp;U'!$E$26*1000</f>
        <v>4.47</v>
      </c>
      <c r="K7">
        <f>K6/'S&amp;U'!$E$26*1000</f>
        <v>4.47</v>
      </c>
      <c r="L7">
        <f>L6/'S&amp;U'!$E$26*1000</f>
        <v>4.47</v>
      </c>
      <c r="M7">
        <f>M6/'S&amp;U'!$E$26*1000</f>
        <v>4.47</v>
      </c>
      <c r="N7">
        <f>N6/'S&amp;U'!$E$26*1000</f>
        <v>2.3840000000000003</v>
      </c>
      <c r="O7">
        <f>O6/'S&amp;U'!$E$26*1000</f>
        <v>0.59600000000000009</v>
      </c>
      <c r="P7">
        <f>P6/'S&amp;U'!$E$26*1000</f>
        <v>0</v>
      </c>
    </row>
    <row r="8" spans="1:16" ht="15" customHeight="1" x14ac:dyDescent="0.45">
      <c r="B8" s="16" t="s">
        <v>38</v>
      </c>
      <c r="G8">
        <f>G5+G7</f>
        <v>4.4700000000000006</v>
      </c>
      <c r="H8">
        <f t="shared" ref="H8:O8" si="1">H5+H7</f>
        <v>8.9400000000000013</v>
      </c>
      <c r="I8">
        <f t="shared" si="1"/>
        <v>13.41</v>
      </c>
      <c r="J8">
        <f t="shared" si="1"/>
        <v>13.41</v>
      </c>
      <c r="K8">
        <f t="shared" si="1"/>
        <v>13.41</v>
      </c>
      <c r="L8">
        <f t="shared" si="1"/>
        <v>13.41</v>
      </c>
      <c r="M8">
        <f t="shared" si="1"/>
        <v>13.41</v>
      </c>
      <c r="N8">
        <f t="shared" si="1"/>
        <v>7.1520000000000001</v>
      </c>
      <c r="O8">
        <f t="shared" si="1"/>
        <v>1.788</v>
      </c>
      <c r="P8">
        <f t="shared" ref="P8" si="2">P5+P7</f>
        <v>0</v>
      </c>
    </row>
    <row r="9" spans="1:16" ht="15" customHeight="1" x14ac:dyDescent="0.45">
      <c r="A9" s="60"/>
    </row>
    <row r="10" spans="1:16" ht="15" customHeight="1" x14ac:dyDescent="0.45">
      <c r="A10" s="60"/>
      <c r="B10" s="16" t="s">
        <v>103</v>
      </c>
      <c r="G10">
        <f>G5*'S&amp;U'!G35</f>
        <v>220.52000000000004</v>
      </c>
      <c r="H10">
        <f>H5*'S&amp;U'!H35</f>
        <v>414.93520000000007</v>
      </c>
      <c r="I10">
        <f>I5*'S&amp;U'!I35</f>
        <v>622.40279999999996</v>
      </c>
      <c r="J10">
        <f>J5*'S&amp;U'!J35</f>
        <v>622.40279999999996</v>
      </c>
      <c r="K10">
        <f>K5*'S&amp;U'!K35</f>
        <v>622.40279999999996</v>
      </c>
      <c r="L10">
        <f>L5*'S&amp;U'!L35</f>
        <v>622.40279999999996</v>
      </c>
      <c r="M10">
        <f>M5*'S&amp;U'!M35</f>
        <v>622.40279999999996</v>
      </c>
      <c r="N10">
        <f>N5*'S&amp;U'!N35</f>
        <v>331.94816000000003</v>
      </c>
      <c r="O10">
        <f>O5*'S&amp;U'!O35</f>
        <v>82.987040000000007</v>
      </c>
      <c r="P10">
        <f>P5*'S&amp;U'!P35</f>
        <v>0</v>
      </c>
    </row>
    <row r="11" spans="1:16" ht="15" customHeight="1" x14ac:dyDescent="0.45">
      <c r="A11" s="60"/>
      <c r="B11" s="16" t="s">
        <v>104</v>
      </c>
      <c r="G11">
        <f>G7*'S&amp;U'!G35</f>
        <v>110.26000000000002</v>
      </c>
      <c r="H11">
        <f>H7*'S&amp;U'!H35</f>
        <v>207.46760000000003</v>
      </c>
      <c r="I11">
        <f>I7*'S&amp;U'!I35</f>
        <v>311.20139999999998</v>
      </c>
      <c r="J11">
        <f>J7*'S&amp;U'!J35</f>
        <v>311.20139999999998</v>
      </c>
      <c r="K11">
        <f>K7*'S&amp;U'!K35</f>
        <v>311.20139999999998</v>
      </c>
      <c r="L11">
        <f>L7*'S&amp;U'!L35</f>
        <v>311.20139999999998</v>
      </c>
      <c r="M11">
        <f>M7*'S&amp;U'!M35</f>
        <v>311.20139999999998</v>
      </c>
      <c r="N11">
        <f>N7*'S&amp;U'!N35</f>
        <v>165.97408000000004</v>
      </c>
      <c r="O11">
        <f>O7*'S&amp;U'!O35</f>
        <v>41.493520000000011</v>
      </c>
      <c r="P11">
        <f>P7*'S&amp;U'!P35</f>
        <v>0</v>
      </c>
    </row>
    <row r="12" spans="1:16" ht="15" customHeight="1" x14ac:dyDescent="0.45">
      <c r="B12" s="16" t="s">
        <v>47</v>
      </c>
      <c r="G12">
        <f>SUM(G10:G11)</f>
        <v>330.78000000000009</v>
      </c>
      <c r="H12">
        <f t="shared" ref="H12:O12" si="3">SUM(H10:H11)</f>
        <v>622.40280000000007</v>
      </c>
      <c r="I12">
        <f t="shared" si="3"/>
        <v>933.60419999999999</v>
      </c>
      <c r="J12">
        <f t="shared" si="3"/>
        <v>933.60419999999999</v>
      </c>
      <c r="K12">
        <f t="shared" si="3"/>
        <v>933.60419999999999</v>
      </c>
      <c r="L12">
        <f t="shared" si="3"/>
        <v>933.60419999999999</v>
      </c>
      <c r="M12">
        <f t="shared" si="3"/>
        <v>933.60419999999999</v>
      </c>
      <c r="N12">
        <f t="shared" si="3"/>
        <v>497.9222400000001</v>
      </c>
      <c r="O12">
        <f t="shared" si="3"/>
        <v>124.48056000000003</v>
      </c>
      <c r="P12">
        <f t="shared" ref="P12" si="4">SUM(P10:P11)</f>
        <v>0</v>
      </c>
    </row>
    <row r="14" spans="1:16" ht="15" customHeight="1" x14ac:dyDescent="0.45">
      <c r="B14" s="16" t="str">
        <f>'S&amp;U'!B36</f>
        <v>Lifting costs per BOE US$</v>
      </c>
      <c r="G14">
        <f>'S&amp;U'!G36</f>
        <v>-5</v>
      </c>
      <c r="H14">
        <f>'S&amp;U'!H36</f>
        <v>-5</v>
      </c>
      <c r="I14">
        <f>'S&amp;U'!I36</f>
        <v>-5</v>
      </c>
      <c r="J14">
        <f>'S&amp;U'!J36</f>
        <v>-5</v>
      </c>
      <c r="K14">
        <f>'S&amp;U'!K36</f>
        <v>-5</v>
      </c>
      <c r="L14">
        <f>'S&amp;U'!L36</f>
        <v>-5</v>
      </c>
      <c r="M14">
        <f>'S&amp;U'!M36</f>
        <v>-5</v>
      </c>
      <c r="N14">
        <f>'S&amp;U'!N36</f>
        <v>-5</v>
      </c>
      <c r="O14">
        <f>'S&amp;U'!O36</f>
        <v>-5</v>
      </c>
      <c r="P14">
        <f>'S&amp;U'!P36</f>
        <v>-5</v>
      </c>
    </row>
    <row r="15" spans="1:16" ht="15" customHeight="1" x14ac:dyDescent="0.45">
      <c r="B15" s="16" t="str">
        <f>'S&amp;U'!B37</f>
        <v>Transportation costs per BOE US$</v>
      </c>
      <c r="G15">
        <f>'S&amp;U'!G37</f>
        <v>-3</v>
      </c>
      <c r="H15">
        <f>'S&amp;U'!H37</f>
        <v>-3</v>
      </c>
      <c r="I15">
        <f>'S&amp;U'!I37</f>
        <v>-3</v>
      </c>
      <c r="J15">
        <f>'S&amp;U'!J37</f>
        <v>-3</v>
      </c>
      <c r="K15">
        <f>'S&amp;U'!K37</f>
        <v>-3</v>
      </c>
      <c r="L15">
        <f>'S&amp;U'!L37</f>
        <v>-3</v>
      </c>
      <c r="M15">
        <f>'S&amp;U'!M37</f>
        <v>-3</v>
      </c>
      <c r="N15">
        <f>'S&amp;U'!N37</f>
        <v>-3</v>
      </c>
      <c r="O15">
        <f>'S&amp;U'!O37</f>
        <v>-3</v>
      </c>
      <c r="P15">
        <f>'S&amp;U'!P37</f>
        <v>-3</v>
      </c>
    </row>
    <row r="16" spans="1:16" ht="15" customHeight="1" x14ac:dyDescent="0.45">
      <c r="A16" s="60"/>
      <c r="B16" s="16" t="s">
        <v>45</v>
      </c>
      <c r="G16">
        <f>SUM(G14:G15)</f>
        <v>-8</v>
      </c>
      <c r="H16">
        <f>SUM('S&amp;U'!H36:H37)</f>
        <v>-8</v>
      </c>
      <c r="I16">
        <f>SUM('S&amp;U'!I36:I37)</f>
        <v>-8</v>
      </c>
      <c r="J16">
        <f>SUM('S&amp;U'!J36:J37)</f>
        <v>-8</v>
      </c>
      <c r="K16">
        <f>SUM('S&amp;U'!K36:K37)</f>
        <v>-8</v>
      </c>
      <c r="L16">
        <f>SUM('S&amp;U'!L36:L37)</f>
        <v>-8</v>
      </c>
      <c r="M16">
        <f>SUM('S&amp;U'!M36:M37)</f>
        <v>-8</v>
      </c>
      <c r="N16">
        <f>SUM('S&amp;U'!N36:N37)</f>
        <v>-8</v>
      </c>
      <c r="O16">
        <f>SUM('S&amp;U'!O36:O37)</f>
        <v>-8</v>
      </c>
      <c r="P16">
        <f>SUM('S&amp;U'!P36:P37)</f>
        <v>-8</v>
      </c>
    </row>
    <row r="17" spans="1:16" ht="15" customHeight="1" x14ac:dyDescent="0.45">
      <c r="A17" s="60"/>
    </row>
    <row r="18" spans="1:16" ht="15" customHeight="1" x14ac:dyDescent="0.45">
      <c r="A18" s="60"/>
      <c r="B18" s="16" t="s">
        <v>105</v>
      </c>
      <c r="G18">
        <f>G14*G8</f>
        <v>-22.35</v>
      </c>
      <c r="H18">
        <f t="shared" ref="H18:O18" si="5">H14*H8</f>
        <v>-44.7</v>
      </c>
      <c r="I18">
        <f t="shared" si="5"/>
        <v>-67.05</v>
      </c>
      <c r="J18">
        <f t="shared" si="5"/>
        <v>-67.05</v>
      </c>
      <c r="K18">
        <f t="shared" si="5"/>
        <v>-67.05</v>
      </c>
      <c r="L18">
        <f t="shared" si="5"/>
        <v>-67.05</v>
      </c>
      <c r="M18">
        <f t="shared" si="5"/>
        <v>-67.05</v>
      </c>
      <c r="N18">
        <f t="shared" si="5"/>
        <v>-35.76</v>
      </c>
      <c r="O18">
        <f t="shared" si="5"/>
        <v>-8.94</v>
      </c>
      <c r="P18">
        <f t="shared" ref="P18" si="6">P14*P8</f>
        <v>0</v>
      </c>
    </row>
    <row r="19" spans="1:16" ht="15" customHeight="1" x14ac:dyDescent="0.45">
      <c r="A19" s="60"/>
      <c r="B19" s="16" t="s">
        <v>106</v>
      </c>
      <c r="G19">
        <f>G15*G8</f>
        <v>-13.410000000000002</v>
      </c>
      <c r="H19">
        <f t="shared" ref="H19:O19" si="7">H15*H8</f>
        <v>-26.820000000000004</v>
      </c>
      <c r="I19">
        <f t="shared" si="7"/>
        <v>-40.230000000000004</v>
      </c>
      <c r="J19">
        <f t="shared" si="7"/>
        <v>-40.230000000000004</v>
      </c>
      <c r="K19">
        <f t="shared" si="7"/>
        <v>-40.230000000000004</v>
      </c>
      <c r="L19">
        <f t="shared" si="7"/>
        <v>-40.230000000000004</v>
      </c>
      <c r="M19">
        <f t="shared" si="7"/>
        <v>-40.230000000000004</v>
      </c>
      <c r="N19">
        <f t="shared" si="7"/>
        <v>-21.456</v>
      </c>
      <c r="O19">
        <f t="shared" si="7"/>
        <v>-5.3639999999999999</v>
      </c>
      <c r="P19">
        <f t="shared" ref="P19" si="8">P15*P8</f>
        <v>0</v>
      </c>
    </row>
    <row r="20" spans="1:16" ht="15" customHeight="1" x14ac:dyDescent="0.45">
      <c r="A20" s="60"/>
      <c r="B20" s="16" t="str">
        <f>'S&amp;U'!B38</f>
        <v>Royalties / license costs % of revenue</v>
      </c>
      <c r="G20">
        <f>'S&amp;U'!G38*Revenues!G12</f>
        <v>-49.617000000000012</v>
      </c>
      <c r="H20">
        <f>'S&amp;U'!H38*Revenues!H12</f>
        <v>-93.360420000000005</v>
      </c>
      <c r="I20">
        <f>'S&amp;U'!I38*Revenues!I12</f>
        <v>-140.04062999999999</v>
      </c>
      <c r="J20">
        <f>'S&amp;U'!J38*Revenues!J12</f>
        <v>-140.04062999999999</v>
      </c>
      <c r="K20">
        <f>'S&amp;U'!K38*Revenues!K12</f>
        <v>-140.04062999999999</v>
      </c>
      <c r="L20">
        <f>'S&amp;U'!L38*Revenues!L12</f>
        <v>-140.04062999999999</v>
      </c>
      <c r="M20">
        <f>'S&amp;U'!M38*Revenues!M12</f>
        <v>-140.04062999999999</v>
      </c>
      <c r="N20">
        <f>'S&amp;U'!N38*Revenues!N12</f>
        <v>-74.688336000000007</v>
      </c>
      <c r="O20">
        <f>'S&amp;U'!O38*Revenues!O12</f>
        <v>-18.672084000000002</v>
      </c>
      <c r="P20">
        <f>'S&amp;U'!P38*Revenues!P12</f>
        <v>0</v>
      </c>
    </row>
    <row r="21" spans="1:16" ht="15" customHeight="1" x14ac:dyDescent="0.45">
      <c r="B21" s="16" t="s">
        <v>46</v>
      </c>
      <c r="G21">
        <f>SUM(G18:G20)</f>
        <v>-85.37700000000001</v>
      </c>
      <c r="H21">
        <f t="shared" ref="H21:O21" si="9">SUM(H18:H20)</f>
        <v>-164.88042000000002</v>
      </c>
      <c r="I21">
        <f t="shared" si="9"/>
        <v>-247.32062999999999</v>
      </c>
      <c r="J21">
        <f t="shared" si="9"/>
        <v>-247.32062999999999</v>
      </c>
      <c r="K21">
        <f t="shared" si="9"/>
        <v>-247.32062999999999</v>
      </c>
      <c r="L21">
        <f t="shared" si="9"/>
        <v>-247.32062999999999</v>
      </c>
      <c r="M21">
        <f t="shared" si="9"/>
        <v>-247.32062999999999</v>
      </c>
      <c r="N21">
        <f t="shared" si="9"/>
        <v>-131.904336</v>
      </c>
      <c r="O21">
        <f t="shared" si="9"/>
        <v>-32.976084</v>
      </c>
      <c r="P21">
        <f t="shared" ref="P21" si="10">SUM(P18:P20)</f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A2DB-B966-49A3-9480-E22FC33265B5}">
  <sheetPr>
    <pageSetUpPr fitToPage="1"/>
  </sheetPr>
  <dimension ref="A1:P15"/>
  <sheetViews>
    <sheetView zoomScaleNormal="100" workbookViewId="0">
      <pane xSplit="2" ySplit="2" topLeftCell="H5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N10" sqref="N10:Q10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143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136</v>
      </c>
    </row>
    <row r="5" spans="1:16" ht="15" customHeight="1" x14ac:dyDescent="0.45">
      <c r="B5" s="16" t="str">
        <f>BS!B5</f>
        <v>Accounts receivable</v>
      </c>
      <c r="G5">
        <f>'S&amp;U'!G60/365*Revenues!G12</f>
        <v>27.187397260273979</v>
      </c>
      <c r="H5">
        <f>'S&amp;U'!H60/365*Revenues!H12</f>
        <v>51.156394520547948</v>
      </c>
      <c r="I5">
        <f>'S&amp;U'!I60/365*Revenues!I12</f>
        <v>76.734591780821916</v>
      </c>
      <c r="J5">
        <f>'S&amp;U'!J60/365*Revenues!J12</f>
        <v>76.734591780821916</v>
      </c>
      <c r="K5">
        <f>'S&amp;U'!K60/365*Revenues!K12</f>
        <v>76.734591780821916</v>
      </c>
      <c r="L5">
        <f>'S&amp;U'!L60/365*Revenues!L12</f>
        <v>76.734591780821916</v>
      </c>
      <c r="M5">
        <f>'S&amp;U'!M60/365*Revenues!M12</f>
        <v>76.734591780821916</v>
      </c>
      <c r="N5">
        <f>'S&amp;U'!N60/365*Revenues!N12</f>
        <v>40.925115616438362</v>
      </c>
      <c r="O5">
        <f>'S&amp;U'!O60/365*Revenues!O12</f>
        <v>10.23127890410959</v>
      </c>
      <c r="P5">
        <f>'S&amp;U'!P60/365*Revenues!P12</f>
        <v>0</v>
      </c>
    </row>
    <row r="6" spans="1:16" ht="15" customHeight="1" x14ac:dyDescent="0.45">
      <c r="B6" s="16" t="str">
        <f>BS!B6</f>
        <v>Inventory</v>
      </c>
      <c r="F6">
        <f>'S&amp;U'!F61*Calcs!G6</f>
        <v>1.9569863013698623</v>
      </c>
      <c r="G6">
        <f>'S&amp;U'!G62/365*-IS!G12</f>
        <v>3.9139726027397246</v>
      </c>
      <c r="H6">
        <f>'S&amp;U'!H62/365*-IS!H12</f>
        <v>7.8279452054794492</v>
      </c>
      <c r="I6">
        <f>'S&amp;U'!I62/365*-IS!I12</f>
        <v>11.741917808219176</v>
      </c>
      <c r="J6">
        <f>'S&amp;U'!J62/365*-IS!J12</f>
        <v>11.741917808219178</v>
      </c>
      <c r="K6">
        <f>'S&amp;U'!K62/365*-IS!K12</f>
        <v>11.741917808219176</v>
      </c>
      <c r="L6">
        <f>'S&amp;U'!L62/365*-IS!L12</f>
        <v>11.741917808219176</v>
      </c>
      <c r="M6">
        <f>'S&amp;U'!M62/365*-IS!M12</f>
        <v>11.741917808219176</v>
      </c>
      <c r="N6">
        <f>'S&amp;U'!N62/365*-IS!N12</f>
        <v>6.2623561643835615</v>
      </c>
      <c r="O6">
        <f>'S&amp;U'!O62/365*-IS!O12</f>
        <v>1.5655890410958901</v>
      </c>
      <c r="P6">
        <f>'S&amp;U'!P62/365*-IS!P12</f>
        <v>0</v>
      </c>
    </row>
    <row r="7" spans="1:16" ht="15" customHeight="1" x14ac:dyDescent="0.45">
      <c r="B7" s="16" t="str">
        <f>BS!B15</f>
        <v>Accounts payable</v>
      </c>
      <c r="G7">
        <f>'S&amp;U'!G63/365*-IS!G12</f>
        <v>11.741917808219174</v>
      </c>
      <c r="H7">
        <f>'S&amp;U'!H63/365*-IS!H12</f>
        <v>23.483835616438348</v>
      </c>
      <c r="I7">
        <f>'S&amp;U'!I63/365*-IS!I12</f>
        <v>35.225753424657526</v>
      </c>
      <c r="J7">
        <f>'S&amp;U'!J63/365*-IS!J12</f>
        <v>35.225753424657533</v>
      </c>
      <c r="K7">
        <f>'S&amp;U'!K63/365*-IS!K12</f>
        <v>35.225753424657526</v>
      </c>
      <c r="L7">
        <f>'S&amp;U'!L63/365*-IS!L12</f>
        <v>35.225753424657526</v>
      </c>
      <c r="M7">
        <f>'S&amp;U'!M63/365*-IS!M12</f>
        <v>35.225753424657526</v>
      </c>
      <c r="N7">
        <f>'S&amp;U'!N63/365*-IS!N12</f>
        <v>18.787068493150684</v>
      </c>
      <c r="O7">
        <f>'S&amp;U'!O63/365*-IS!O12</f>
        <v>4.6967671232876702</v>
      </c>
      <c r="P7">
        <f>'S&amp;U'!P63/365*-IS!P12</f>
        <v>0</v>
      </c>
    </row>
    <row r="8" spans="1:16" ht="15" customHeight="1" x14ac:dyDescent="0.45">
      <c r="B8" s="16" t="s">
        <v>137</v>
      </c>
      <c r="D8">
        <f>D5+D6-D7</f>
        <v>0</v>
      </c>
      <c r="E8">
        <f>E5+E6-E7</f>
        <v>0</v>
      </c>
      <c r="F8">
        <f>F5+F6-F7</f>
        <v>1.9569863013698623</v>
      </c>
      <c r="G8">
        <f>G5+G6-G7</f>
        <v>19.359452054794531</v>
      </c>
      <c r="H8">
        <f t="shared" ref="H8:O8" si="1">H5+H6-H7</f>
        <v>35.500504109589052</v>
      </c>
      <c r="I8">
        <f t="shared" si="1"/>
        <v>53.25075616438356</v>
      </c>
      <c r="J8">
        <f t="shared" si="1"/>
        <v>53.250756164383553</v>
      </c>
      <c r="K8">
        <f t="shared" si="1"/>
        <v>53.25075616438356</v>
      </c>
      <c r="L8">
        <f t="shared" si="1"/>
        <v>53.25075616438356</v>
      </c>
      <c r="M8">
        <f t="shared" si="1"/>
        <v>53.25075616438356</v>
      </c>
      <c r="N8">
        <f t="shared" si="1"/>
        <v>28.400403287671239</v>
      </c>
      <c r="O8">
        <f t="shared" si="1"/>
        <v>7.1001008219178106</v>
      </c>
      <c r="P8">
        <f t="shared" ref="P8" si="2">P5+P6-P7</f>
        <v>0</v>
      </c>
    </row>
    <row r="9" spans="1:16" ht="15" customHeight="1" x14ac:dyDescent="0.45">
      <c r="A9" s="60"/>
    </row>
    <row r="10" spans="1:16" ht="15" customHeight="1" x14ac:dyDescent="0.45">
      <c r="A10" s="60" t="s">
        <v>138</v>
      </c>
    </row>
    <row r="11" spans="1:16" ht="15" customHeight="1" x14ac:dyDescent="0.45">
      <c r="A11" s="60"/>
      <c r="B11" s="16" t="s">
        <v>57</v>
      </c>
      <c r="D11">
        <f>C15</f>
        <v>0</v>
      </c>
      <c r="E11">
        <f ca="1">D15</f>
        <v>139.27673629218265</v>
      </c>
      <c r="F11">
        <f ca="1">E15</f>
        <v>576.42123816594187</v>
      </c>
      <c r="G11">
        <f ca="1">F15</f>
        <v>964.18921767549091</v>
      </c>
      <c r="H11">
        <f t="shared" ref="H11:P11" ca="1" si="3">G15</f>
        <v>912.53554034991805</v>
      </c>
      <c r="I11">
        <f t="shared" ca="1" si="3"/>
        <v>1009.9065743641847</v>
      </c>
      <c r="J11">
        <f t="shared" ca="1" si="3"/>
        <v>1128.5501172015727</v>
      </c>
      <c r="K11">
        <f t="shared" ca="1" si="3"/>
        <v>1181.8302985088994</v>
      </c>
      <c r="L11">
        <f t="shared" ca="1" si="3"/>
        <v>1008.0972609097876</v>
      </c>
      <c r="M11">
        <f t="shared" ca="1" si="3"/>
        <v>622.97727193570961</v>
      </c>
      <c r="N11">
        <f t="shared" ca="1" si="3"/>
        <v>242.06046236074087</v>
      </c>
      <c r="O11">
        <f t="shared" ca="1" si="3"/>
        <v>22.18132067503808</v>
      </c>
      <c r="P11">
        <f t="shared" ca="1" si="3"/>
        <v>7.1701008219177815</v>
      </c>
    </row>
    <row r="12" spans="1:16" ht="15" customHeight="1" x14ac:dyDescent="0.45">
      <c r="B12" s="16" t="s">
        <v>139</v>
      </c>
      <c r="D12">
        <f>IS!D27</f>
        <v>0</v>
      </c>
      <c r="E12">
        <f>IS!E27</f>
        <v>0</v>
      </c>
      <c r="F12">
        <f>IS!F27</f>
        <v>0</v>
      </c>
      <c r="G12">
        <f ca="1">IS!G27</f>
        <v>27.115082822194587</v>
      </c>
      <c r="H12">
        <f ca="1">IS!H27</f>
        <v>97.371034014266712</v>
      </c>
      <c r="I12">
        <f ca="1">IS!I27</f>
        <v>186.05808650071512</v>
      </c>
      <c r="J12">
        <f ca="1">IS!J27</f>
        <v>198.66679036874621</v>
      </c>
      <c r="K12">
        <f ca="1">IS!K27</f>
        <v>211.93691059874965</v>
      </c>
      <c r="L12">
        <f ca="1">IS!L27</f>
        <v>221.73086482073759</v>
      </c>
      <c r="M12">
        <f ca="1">IS!M27</f>
        <v>224.29340834002505</v>
      </c>
      <c r="N12">
        <f ca="1">IS!N27</f>
        <v>107.9912921528077</v>
      </c>
      <c r="O12">
        <f ca="1">IS!O27</f>
        <v>8.6348468901065392</v>
      </c>
      <c r="P12">
        <f ca="1">IS!P27</f>
        <v>-0.8</v>
      </c>
    </row>
    <row r="13" spans="1:16" ht="15" customHeight="1" x14ac:dyDescent="0.45">
      <c r="B13" s="16" t="s">
        <v>140</v>
      </c>
      <c r="D13">
        <f ca="1">'S&amp;U'!D16</f>
        <v>139.27673629218265</v>
      </c>
      <c r="E13">
        <f ca="1">'S&amp;U'!E16</f>
        <v>437.14450187375922</v>
      </c>
      <c r="F13">
        <f ca="1">'S&amp;U'!F16</f>
        <v>387.76797950954904</v>
      </c>
    </row>
    <row r="14" spans="1:16" ht="15" customHeight="1" x14ac:dyDescent="0.45">
      <c r="A14" s="60"/>
      <c r="B14" s="16" t="s">
        <v>141</v>
      </c>
      <c r="G14">
        <f ca="1">Finance!G54</f>
        <v>-78.768760147767466</v>
      </c>
      <c r="H14">
        <f ca="1">Finance!H54</f>
        <v>0</v>
      </c>
      <c r="I14">
        <f ca="1">Finance!I54</f>
        <v>-67.414543663327038</v>
      </c>
      <c r="J14">
        <f ca="1">Finance!J54</f>
        <v>-145.38660906141934</v>
      </c>
      <c r="K14">
        <f ca="1">Finance!K54</f>
        <v>-385.66994819786152</v>
      </c>
      <c r="L14">
        <f ca="1">Finance!L54</f>
        <v>-606.85085379481563</v>
      </c>
      <c r="M14">
        <f ca="1">Finance!M54</f>
        <v>-605.21021791499379</v>
      </c>
      <c r="N14">
        <f ca="1">Finance!N54</f>
        <v>-327.87043383851051</v>
      </c>
      <c r="O14">
        <f ca="1">Finance!O54</f>
        <v>-23.646066743226836</v>
      </c>
      <c r="P14">
        <f ca="1">Finance!P54</f>
        <v>-6.3001008219178107</v>
      </c>
    </row>
    <row r="15" spans="1:16" ht="15" customHeight="1" x14ac:dyDescent="0.45">
      <c r="B15" s="16" t="s">
        <v>142</v>
      </c>
      <c r="C15" s="63">
        <v>0</v>
      </c>
      <c r="D15">
        <f t="shared" ref="D15:P15" ca="1" si="4">SUM(D11:D14)</f>
        <v>139.27673629218265</v>
      </c>
      <c r="E15">
        <f t="shared" ca="1" si="4"/>
        <v>576.42123816594187</v>
      </c>
      <c r="F15">
        <f t="shared" ca="1" si="4"/>
        <v>964.18921767549091</v>
      </c>
      <c r="G15">
        <f t="shared" ca="1" si="4"/>
        <v>912.53554034991805</v>
      </c>
      <c r="H15">
        <f t="shared" ca="1" si="4"/>
        <v>1009.9065743641847</v>
      </c>
      <c r="I15">
        <f t="shared" ca="1" si="4"/>
        <v>1128.5501172015727</v>
      </c>
      <c r="J15">
        <f t="shared" ca="1" si="4"/>
        <v>1181.8302985088994</v>
      </c>
      <c r="K15">
        <f t="shared" ca="1" si="4"/>
        <v>1008.0972609097876</v>
      </c>
      <c r="L15">
        <f t="shared" ca="1" si="4"/>
        <v>622.97727193570961</v>
      </c>
      <c r="M15">
        <f t="shared" ca="1" si="4"/>
        <v>242.06046236074087</v>
      </c>
      <c r="N15">
        <f t="shared" ca="1" si="4"/>
        <v>22.18132067503808</v>
      </c>
      <c r="O15">
        <f t="shared" ca="1" si="4"/>
        <v>7.1701008219177815</v>
      </c>
      <c r="P15">
        <f t="shared" ca="1" si="4"/>
        <v>6.9999999999970974E-2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B99E-44A4-4604-8300-E9F7C082BAA3}">
  <sheetPr>
    <pageSetUpPr fitToPage="1"/>
  </sheetPr>
  <dimension ref="A1:P49"/>
  <sheetViews>
    <sheetView zoomScaleNormal="100" workbookViewId="0">
      <pane xSplit="2" ySplit="2" topLeftCell="C36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N10" sqref="N10:Q10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65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169</v>
      </c>
    </row>
    <row r="5" spans="1:16" ht="15" customHeight="1" x14ac:dyDescent="0.45">
      <c r="B5" s="16" t="s">
        <v>31</v>
      </c>
      <c r="F5">
        <f>'S&amp;U'!F29</f>
        <v>59.6</v>
      </c>
    </row>
    <row r="6" spans="1:16" ht="15" customHeight="1" x14ac:dyDescent="0.45">
      <c r="B6" s="16" t="s">
        <v>29</v>
      </c>
      <c r="G6" s="61">
        <f>'S&amp;U'!G30</f>
        <v>0.05</v>
      </c>
      <c r="H6" s="61">
        <f>'S&amp;U'!H30</f>
        <v>0.1</v>
      </c>
      <c r="I6" s="61">
        <f>'S&amp;U'!I30</f>
        <v>0.15</v>
      </c>
      <c r="J6" s="61">
        <f>'S&amp;U'!J30</f>
        <v>0.15</v>
      </c>
      <c r="K6" s="61">
        <f>'S&amp;U'!K30</f>
        <v>0.15</v>
      </c>
      <c r="L6" s="61">
        <f>'S&amp;U'!L30</f>
        <v>0.15</v>
      </c>
      <c r="M6" s="61">
        <f>'S&amp;U'!M30</f>
        <v>0.15</v>
      </c>
      <c r="N6" s="61">
        <f>'S&amp;U'!N30</f>
        <v>0.08</v>
      </c>
      <c r="O6" s="61">
        <f>'S&amp;U'!O30</f>
        <v>0.02</v>
      </c>
      <c r="P6" s="61">
        <f>'S&amp;U'!P30</f>
        <v>0</v>
      </c>
    </row>
    <row r="8" spans="1:16" ht="15" customHeight="1" x14ac:dyDescent="0.45">
      <c r="B8" s="16" t="s">
        <v>32</v>
      </c>
      <c r="F8">
        <f>'S&amp;U'!F32</f>
        <v>172.84</v>
      </c>
    </row>
    <row r="9" spans="1:16" ht="15" customHeight="1" x14ac:dyDescent="0.45">
      <c r="B9" s="16" t="s">
        <v>29</v>
      </c>
      <c r="G9" s="61">
        <f>'S&amp;U'!G33</f>
        <v>0.05</v>
      </c>
      <c r="H9" s="61">
        <f>'S&amp;U'!H33</f>
        <v>0.1</v>
      </c>
      <c r="I9" s="61">
        <f>'S&amp;U'!I33</f>
        <v>0.15</v>
      </c>
      <c r="J9" s="61">
        <f>'S&amp;U'!J33</f>
        <v>0.15</v>
      </c>
      <c r="K9" s="61">
        <f>'S&amp;U'!K33</f>
        <v>0.15</v>
      </c>
      <c r="L9" s="61">
        <f>'S&amp;U'!L33</f>
        <v>0.15</v>
      </c>
      <c r="M9" s="61">
        <f>'S&amp;U'!M33</f>
        <v>0.15</v>
      </c>
      <c r="N9" s="61">
        <f>'S&amp;U'!N33</f>
        <v>0.08</v>
      </c>
      <c r="O9" s="61">
        <f>'S&amp;U'!O33</f>
        <v>0.02</v>
      </c>
      <c r="P9" s="61">
        <f>'S&amp;U'!P33</f>
        <v>0</v>
      </c>
    </row>
    <row r="11" spans="1:16" ht="15" customHeight="1" x14ac:dyDescent="0.45">
      <c r="A11" s="15" t="s">
        <v>28</v>
      </c>
    </row>
    <row r="12" spans="1:16" ht="15" customHeight="1" x14ac:dyDescent="0.45">
      <c r="A12"/>
      <c r="B12" s="16" t="s">
        <v>49</v>
      </c>
      <c r="F12">
        <f>F5</f>
        <v>59.6</v>
      </c>
      <c r="G12">
        <f>F12-$F$12*G6</f>
        <v>56.620000000000005</v>
      </c>
      <c r="H12">
        <f t="shared" ref="H12:P12" si="1">G12-$F$12*H6</f>
        <v>50.660000000000004</v>
      </c>
      <c r="I12">
        <f t="shared" si="1"/>
        <v>41.720000000000006</v>
      </c>
      <c r="J12">
        <f t="shared" si="1"/>
        <v>32.780000000000008</v>
      </c>
      <c r="K12">
        <f t="shared" si="1"/>
        <v>23.840000000000011</v>
      </c>
      <c r="L12">
        <f t="shared" si="1"/>
        <v>14.900000000000011</v>
      </c>
      <c r="M12">
        <f t="shared" si="1"/>
        <v>5.9600000000000115</v>
      </c>
      <c r="N12">
        <f t="shared" si="1"/>
        <v>1.1920000000000117</v>
      </c>
      <c r="O12">
        <f t="shared" si="1"/>
        <v>1.1768364061026659E-14</v>
      </c>
      <c r="P12">
        <f t="shared" si="1"/>
        <v>1.1768364061026659E-14</v>
      </c>
    </row>
    <row r="13" spans="1:16" ht="15" customHeight="1" x14ac:dyDescent="0.45">
      <c r="A13"/>
      <c r="B13" s="16" t="s">
        <v>32</v>
      </c>
      <c r="F13">
        <f>F8</f>
        <v>172.84</v>
      </c>
      <c r="G13">
        <f>F13-$F$13*G9</f>
        <v>164.19800000000001</v>
      </c>
      <c r="H13">
        <f t="shared" ref="H13:P13" si="2">G13-$F$13*H9</f>
        <v>146.91400000000002</v>
      </c>
      <c r="I13">
        <f t="shared" si="2"/>
        <v>120.98800000000001</v>
      </c>
      <c r="J13">
        <f t="shared" si="2"/>
        <v>95.062000000000012</v>
      </c>
      <c r="K13">
        <f t="shared" si="2"/>
        <v>69.13600000000001</v>
      </c>
      <c r="L13">
        <f t="shared" si="2"/>
        <v>43.210000000000008</v>
      </c>
      <c r="M13">
        <f t="shared" si="2"/>
        <v>17.28400000000001</v>
      </c>
      <c r="N13">
        <f t="shared" si="2"/>
        <v>3.4568000000000083</v>
      </c>
      <c r="O13">
        <f t="shared" si="2"/>
        <v>7.9936057773011271E-15</v>
      </c>
      <c r="P13">
        <f t="shared" si="2"/>
        <v>7.9936057773011271E-15</v>
      </c>
    </row>
    <row r="14" spans="1:16" ht="15" customHeight="1" x14ac:dyDescent="0.45">
      <c r="A14"/>
      <c r="B14" s="16" t="s">
        <v>63</v>
      </c>
      <c r="F14">
        <f>F13/'S&amp;U'!$E$26*1000</f>
        <v>29.8</v>
      </c>
      <c r="G14">
        <f>G13/'S&amp;U'!$E$26*1000</f>
        <v>28.310000000000002</v>
      </c>
      <c r="H14">
        <f>H13/'S&amp;U'!$E$26*1000</f>
        <v>25.330000000000002</v>
      </c>
      <c r="I14">
        <f>I13/'S&amp;U'!$E$26*1000</f>
        <v>20.860000000000003</v>
      </c>
      <c r="J14">
        <f>J13/'S&amp;U'!$E$26*1000</f>
        <v>16.39</v>
      </c>
      <c r="K14">
        <f>K13/'S&amp;U'!$E$26*1000</f>
        <v>11.920000000000002</v>
      </c>
      <c r="L14">
        <f>L13/'S&amp;U'!$E$26*1000</f>
        <v>7.450000000000002</v>
      </c>
      <c r="M14">
        <f>M13/'S&amp;U'!$E$26*1000</f>
        <v>2.9800000000000018</v>
      </c>
      <c r="N14">
        <f>N13/'S&amp;U'!$E$26*1000</f>
        <v>0.59600000000000153</v>
      </c>
      <c r="O14">
        <f>O13/'S&amp;U'!$E$26*1000</f>
        <v>1.3782078926381254E-15</v>
      </c>
      <c r="P14">
        <f>P13/'S&amp;U'!$E$26*1000</f>
        <v>1.3782078926381254E-15</v>
      </c>
    </row>
    <row r="15" spans="1:16" ht="15" customHeight="1" x14ac:dyDescent="0.45">
      <c r="A15"/>
      <c r="B15" s="16" t="s">
        <v>50</v>
      </c>
      <c r="F15">
        <f>F12+F14</f>
        <v>89.4</v>
      </c>
      <c r="G15">
        <f>G12+G14</f>
        <v>84.93</v>
      </c>
      <c r="H15">
        <f t="shared" ref="H15:O15" si="3">H12+H14</f>
        <v>75.990000000000009</v>
      </c>
      <c r="I15">
        <f t="shared" si="3"/>
        <v>62.580000000000013</v>
      </c>
      <c r="J15">
        <f t="shared" si="3"/>
        <v>49.170000000000009</v>
      </c>
      <c r="K15">
        <f t="shared" si="3"/>
        <v>35.760000000000012</v>
      </c>
      <c r="L15">
        <f t="shared" si="3"/>
        <v>22.350000000000012</v>
      </c>
      <c r="M15">
        <f t="shared" si="3"/>
        <v>8.9400000000000137</v>
      </c>
      <c r="N15">
        <f t="shared" si="3"/>
        <v>1.7880000000000131</v>
      </c>
      <c r="O15">
        <f t="shared" si="3"/>
        <v>1.3146571953664784E-14</v>
      </c>
      <c r="P15">
        <f t="shared" ref="P15" si="4">P12+P14</f>
        <v>1.3146571953664784E-14</v>
      </c>
    </row>
    <row r="16" spans="1:16" ht="15" customHeight="1" x14ac:dyDescent="0.45">
      <c r="A16"/>
      <c r="B16" s="16" t="s">
        <v>64</v>
      </c>
      <c r="G16">
        <f>F15-G15</f>
        <v>4.4699999999999989</v>
      </c>
      <c r="H16">
        <f t="shared" ref="H16:P16" si="5">G15-H15</f>
        <v>8.9399999999999977</v>
      </c>
      <c r="I16">
        <f t="shared" si="5"/>
        <v>13.409999999999997</v>
      </c>
      <c r="J16">
        <f t="shared" si="5"/>
        <v>13.410000000000004</v>
      </c>
      <c r="K16">
        <f t="shared" si="5"/>
        <v>13.409999999999997</v>
      </c>
      <c r="L16">
        <f t="shared" si="5"/>
        <v>13.41</v>
      </c>
      <c r="M16">
        <f t="shared" si="5"/>
        <v>13.409999999999998</v>
      </c>
      <c r="N16">
        <f t="shared" si="5"/>
        <v>7.152000000000001</v>
      </c>
      <c r="O16">
        <f t="shared" si="5"/>
        <v>1.788</v>
      </c>
      <c r="P16">
        <f t="shared" si="5"/>
        <v>0</v>
      </c>
    </row>
    <row r="17" spans="1:16" ht="15" customHeight="1" x14ac:dyDescent="0.45">
      <c r="A17"/>
      <c r="B17"/>
    </row>
    <row r="18" spans="1:16" ht="15" customHeight="1" x14ac:dyDescent="0.45">
      <c r="A18"/>
      <c r="B18" s="16" t="s">
        <v>61</v>
      </c>
      <c r="F18">
        <f>'S&amp;U'!C6</f>
        <v>2142</v>
      </c>
    </row>
    <row r="19" spans="1:16" ht="15" customHeight="1" x14ac:dyDescent="0.45">
      <c r="A19"/>
      <c r="B19" s="16" t="s">
        <v>62</v>
      </c>
      <c r="F19">
        <f>F18/-F15</f>
        <v>-23.959731543624159</v>
      </c>
    </row>
    <row r="20" spans="1:16" ht="15" customHeight="1" x14ac:dyDescent="0.45">
      <c r="A20"/>
      <c r="B20"/>
    </row>
    <row r="21" spans="1:16" ht="15" customHeight="1" x14ac:dyDescent="0.45">
      <c r="A21" s="15" t="s">
        <v>56</v>
      </c>
      <c r="B21"/>
    </row>
    <row r="22" spans="1:16" ht="15" customHeight="1" x14ac:dyDescent="0.45">
      <c r="A22"/>
      <c r="B22" s="16" t="s">
        <v>57</v>
      </c>
      <c r="D22">
        <f>C25</f>
        <v>0</v>
      </c>
      <c r="E22">
        <f>D25</f>
        <v>180</v>
      </c>
      <c r="F22">
        <f>E25</f>
        <v>1415</v>
      </c>
      <c r="G22">
        <f>F25</f>
        <v>2142</v>
      </c>
      <c r="H22">
        <f t="shared" ref="H22:P22" si="6">G25</f>
        <v>2034.9</v>
      </c>
      <c r="I22">
        <f t="shared" si="6"/>
        <v>1820.7000000000003</v>
      </c>
      <c r="J22">
        <f t="shared" si="6"/>
        <v>1499.4000000000003</v>
      </c>
      <c r="K22">
        <f t="shared" si="6"/>
        <v>1178.1000000000004</v>
      </c>
      <c r="L22">
        <f t="shared" si="6"/>
        <v>856.80000000000041</v>
      </c>
      <c r="M22">
        <f t="shared" si="6"/>
        <v>535.50000000000045</v>
      </c>
      <c r="N22">
        <f t="shared" si="6"/>
        <v>214.2000000000005</v>
      </c>
      <c r="O22">
        <f t="shared" si="6"/>
        <v>42.840000000000487</v>
      </c>
      <c r="P22">
        <f t="shared" si="6"/>
        <v>4.9027448767446913E-13</v>
      </c>
    </row>
    <row r="23" spans="1:16" ht="15" customHeight="1" x14ac:dyDescent="0.45">
      <c r="A23"/>
      <c r="B23" s="16" t="s">
        <v>58</v>
      </c>
      <c r="D23">
        <f>'S&amp;U'!D6</f>
        <v>180</v>
      </c>
      <c r="E23">
        <f>'S&amp;U'!E6</f>
        <v>1235</v>
      </c>
      <c r="F23">
        <f>'S&amp;U'!F6</f>
        <v>727</v>
      </c>
    </row>
    <row r="24" spans="1:16" ht="15" customHeight="1" x14ac:dyDescent="0.45">
      <c r="A24"/>
      <c r="B24" s="16" t="s">
        <v>55</v>
      </c>
      <c r="G24">
        <f>G16*$F$19</f>
        <v>-107.09999999999997</v>
      </c>
      <c r="H24">
        <f t="shared" ref="H24:O24" si="7">H16*$F$19</f>
        <v>-214.19999999999993</v>
      </c>
      <c r="I24">
        <f t="shared" si="7"/>
        <v>-321.2999999999999</v>
      </c>
      <c r="J24">
        <f t="shared" si="7"/>
        <v>-321.30000000000007</v>
      </c>
      <c r="K24">
        <f t="shared" si="7"/>
        <v>-321.2999999999999</v>
      </c>
      <c r="L24">
        <f t="shared" si="7"/>
        <v>-321.29999999999995</v>
      </c>
      <c r="M24">
        <f t="shared" si="7"/>
        <v>-321.29999999999995</v>
      </c>
      <c r="N24">
        <f t="shared" si="7"/>
        <v>-171.36</v>
      </c>
      <c r="O24">
        <f t="shared" si="7"/>
        <v>-42.839999999999996</v>
      </c>
      <c r="P24">
        <f t="shared" ref="P24" si="8">P16*$F$19</f>
        <v>0</v>
      </c>
    </row>
    <row r="25" spans="1:16" ht="15" customHeight="1" x14ac:dyDescent="0.45">
      <c r="A25"/>
      <c r="B25" s="16" t="s">
        <v>59</v>
      </c>
      <c r="C25" s="63">
        <v>0</v>
      </c>
      <c r="D25">
        <f>SUM(D22:D24)</f>
        <v>180</v>
      </c>
      <c r="E25">
        <f>SUM(E22:E24)</f>
        <v>1415</v>
      </c>
      <c r="F25">
        <f>SUM(F22:F24)</f>
        <v>2142</v>
      </c>
      <c r="G25">
        <f>SUM(G22:G24)</f>
        <v>2034.9</v>
      </c>
      <c r="H25">
        <f t="shared" ref="H25:O25" si="9">SUM(H22:H24)</f>
        <v>1820.7000000000003</v>
      </c>
      <c r="I25">
        <f t="shared" si="9"/>
        <v>1499.4000000000003</v>
      </c>
      <c r="J25">
        <f t="shared" si="9"/>
        <v>1178.1000000000004</v>
      </c>
      <c r="K25">
        <f t="shared" si="9"/>
        <v>856.80000000000041</v>
      </c>
      <c r="L25">
        <f t="shared" si="9"/>
        <v>535.50000000000045</v>
      </c>
      <c r="M25">
        <f t="shared" si="9"/>
        <v>214.2000000000005</v>
      </c>
      <c r="N25">
        <f t="shared" si="9"/>
        <v>42.840000000000487</v>
      </c>
      <c r="O25">
        <f t="shared" si="9"/>
        <v>4.9027448767446913E-13</v>
      </c>
      <c r="P25">
        <f t="shared" ref="P25" si="10">SUM(P22:P24)</f>
        <v>4.9027448767446913E-13</v>
      </c>
    </row>
    <row r="26" spans="1:16" ht="15" customHeight="1" x14ac:dyDescent="0.45">
      <c r="A26"/>
      <c r="B26"/>
    </row>
    <row r="27" spans="1:16" ht="15" customHeight="1" x14ac:dyDescent="0.45">
      <c r="B27" s="16" t="s">
        <v>70</v>
      </c>
      <c r="F27">
        <f ca="1">SUM('S&amp;U'!D55:F55)</f>
        <v>336.54334932097811</v>
      </c>
    </row>
    <row r="28" spans="1:16" ht="15" customHeight="1" x14ac:dyDescent="0.45">
      <c r="B28" s="16" t="s">
        <v>71</v>
      </c>
      <c r="F28">
        <f ca="1">F27/-F15</f>
        <v>-3.764466994641813</v>
      </c>
    </row>
    <row r="30" spans="1:16" ht="15" customHeight="1" x14ac:dyDescent="0.45">
      <c r="A30" s="15" t="s">
        <v>66</v>
      </c>
    </row>
    <row r="31" spans="1:16" ht="15" customHeight="1" x14ac:dyDescent="0.45">
      <c r="B31" s="16" t="s">
        <v>57</v>
      </c>
      <c r="D31">
        <f>C34</f>
        <v>0</v>
      </c>
      <c r="E31">
        <f ca="1">D34</f>
        <v>226.50847609707336</v>
      </c>
      <c r="F31">
        <f ca="1">E34</f>
        <v>269.63820659883567</v>
      </c>
      <c r="G31">
        <f ca="1">F34</f>
        <v>336.54334932097811</v>
      </c>
      <c r="H31">
        <f t="shared" ref="H31:P31" ca="1" si="11">G34</f>
        <v>319.71618185492923</v>
      </c>
      <c r="I31">
        <f t="shared" ca="1" si="11"/>
        <v>286.06184692283142</v>
      </c>
      <c r="J31">
        <f t="shared" ca="1" si="11"/>
        <v>235.58034452468473</v>
      </c>
      <c r="K31">
        <f t="shared" ca="1" si="11"/>
        <v>185.09884212653802</v>
      </c>
      <c r="L31">
        <f t="shared" ca="1" si="11"/>
        <v>134.6173397283913</v>
      </c>
      <c r="M31">
        <f t="shared" ca="1" si="11"/>
        <v>84.135837330244584</v>
      </c>
      <c r="N31">
        <f t="shared" ca="1" si="11"/>
        <v>33.654334932097875</v>
      </c>
      <c r="O31">
        <f t="shared" ca="1" si="11"/>
        <v>6.730866986419624</v>
      </c>
      <c r="P31">
        <f t="shared" ca="1" si="11"/>
        <v>6.2172489379008766E-14</v>
      </c>
    </row>
    <row r="32" spans="1:16" ht="15" customHeight="1" x14ac:dyDescent="0.45">
      <c r="B32" s="16" t="s">
        <v>72</v>
      </c>
      <c r="D32">
        <f ca="1">'S&amp;U'!D55</f>
        <v>226.50847609707336</v>
      </c>
      <c r="E32">
        <f ca="1">'S&amp;U'!E55</f>
        <v>43.129730501762289</v>
      </c>
      <c r="F32">
        <f ca="1">'S&amp;U'!F55</f>
        <v>66.905142722142458</v>
      </c>
    </row>
    <row r="33" spans="1:16" ht="15" customHeight="1" x14ac:dyDescent="0.45">
      <c r="B33" s="16" t="s">
        <v>73</v>
      </c>
      <c r="G33">
        <f ca="1">$F$28*G16</f>
        <v>-16.827167466048898</v>
      </c>
      <c r="H33">
        <f t="shared" ref="H33:O33" ca="1" si="12">$F$28*H16</f>
        <v>-33.654334932097797</v>
      </c>
      <c r="I33">
        <f t="shared" ca="1" si="12"/>
        <v>-50.481502398146702</v>
      </c>
      <c r="J33">
        <f t="shared" ca="1" si="12"/>
        <v>-50.481502398146723</v>
      </c>
      <c r="K33">
        <f t="shared" ca="1" si="12"/>
        <v>-50.481502398146702</v>
      </c>
      <c r="L33">
        <f t="shared" ca="1" si="12"/>
        <v>-50.481502398146716</v>
      </c>
      <c r="M33">
        <f t="shared" ca="1" si="12"/>
        <v>-50.481502398146709</v>
      </c>
      <c r="N33">
        <f t="shared" ca="1" si="12"/>
        <v>-26.923467945678251</v>
      </c>
      <c r="O33">
        <f t="shared" ca="1" si="12"/>
        <v>-6.7308669864195618</v>
      </c>
      <c r="P33">
        <f t="shared" ref="P33" ca="1" si="13">$F$28*P16</f>
        <v>0</v>
      </c>
    </row>
    <row r="34" spans="1:16" ht="15" customHeight="1" x14ac:dyDescent="0.45">
      <c r="B34" s="16" t="s">
        <v>59</v>
      </c>
      <c r="C34" s="63">
        <v>0</v>
      </c>
      <c r="D34">
        <f ca="1">SUM(D31:D33)</f>
        <v>226.50847609707336</v>
      </c>
      <c r="E34">
        <f ca="1">SUM(E31:E33)</f>
        <v>269.63820659883567</v>
      </c>
      <c r="F34">
        <f ca="1">SUM(F31:F33)</f>
        <v>336.54334932097811</v>
      </c>
      <c r="G34">
        <f ca="1">SUM(G31:G33)</f>
        <v>319.71618185492923</v>
      </c>
      <c r="H34">
        <f t="shared" ref="H34:O34" ca="1" si="14">SUM(H31:H33)</f>
        <v>286.06184692283142</v>
      </c>
      <c r="I34">
        <f t="shared" ca="1" si="14"/>
        <v>235.58034452468473</v>
      </c>
      <c r="J34">
        <f t="shared" ca="1" si="14"/>
        <v>185.09884212653802</v>
      </c>
      <c r="K34">
        <f t="shared" ca="1" si="14"/>
        <v>134.6173397283913</v>
      </c>
      <c r="L34">
        <f t="shared" ca="1" si="14"/>
        <v>84.135837330244584</v>
      </c>
      <c r="M34">
        <f t="shared" ca="1" si="14"/>
        <v>33.654334932097875</v>
      </c>
      <c r="N34">
        <f t="shared" ca="1" si="14"/>
        <v>6.730866986419624</v>
      </c>
      <c r="O34">
        <f t="shared" ca="1" si="14"/>
        <v>6.2172489379008766E-14</v>
      </c>
      <c r="P34">
        <f t="shared" ref="P34" ca="1" si="15">SUM(P31:P33)</f>
        <v>6.2172489379008766E-14</v>
      </c>
    </row>
    <row r="36" spans="1:16" ht="15" customHeight="1" x14ac:dyDescent="0.45">
      <c r="A36" s="15" t="s">
        <v>74</v>
      </c>
    </row>
    <row r="37" spans="1:16" ht="15" customHeight="1" x14ac:dyDescent="0.45">
      <c r="B37" s="16" t="s">
        <v>77</v>
      </c>
      <c r="D37">
        <f>NPV('S&amp;U'!D66,'S&amp;U'!E67:O67)</f>
        <v>37.191199292648413</v>
      </c>
    </row>
    <row r="38" spans="1:16" ht="15" customHeight="1" x14ac:dyDescent="0.45">
      <c r="B38" s="16" t="s">
        <v>71</v>
      </c>
      <c r="D38">
        <f>D37/-$F$15</f>
        <v>-0.41600894063365113</v>
      </c>
    </row>
    <row r="40" spans="1:16" ht="15" customHeight="1" x14ac:dyDescent="0.45">
      <c r="B40" s="16" t="s">
        <v>81</v>
      </c>
    </row>
    <row r="41" spans="1:16" ht="15" customHeight="1" x14ac:dyDescent="0.45">
      <c r="B41" s="16" t="s">
        <v>57</v>
      </c>
      <c r="E41">
        <f>D43</f>
        <v>37.191199292648413</v>
      </c>
      <c r="F41">
        <f>E43</f>
        <v>37.191199292648413</v>
      </c>
      <c r="G41">
        <f>F43</f>
        <v>37.191199292648413</v>
      </c>
      <c r="H41">
        <f t="shared" ref="H41:P41" si="16">G43</f>
        <v>35.331639328015996</v>
      </c>
      <c r="I41">
        <f t="shared" si="16"/>
        <v>31.612519398751154</v>
      </c>
      <c r="J41">
        <f t="shared" si="16"/>
        <v>26.033839504853894</v>
      </c>
      <c r="K41">
        <f t="shared" si="16"/>
        <v>20.455159610956631</v>
      </c>
      <c r="L41">
        <f t="shared" si="16"/>
        <v>14.876479717059372</v>
      </c>
      <c r="M41">
        <f t="shared" si="16"/>
        <v>9.2977998231621104</v>
      </c>
      <c r="N41">
        <f t="shared" si="16"/>
        <v>3.7191199292648491</v>
      </c>
      <c r="O41">
        <f t="shared" si="16"/>
        <v>0.74382398585297604</v>
      </c>
      <c r="P41">
        <f t="shared" si="16"/>
        <v>7.7715611723760958E-15</v>
      </c>
    </row>
    <row r="42" spans="1:16" ht="15" customHeight="1" x14ac:dyDescent="0.45">
      <c r="B42" s="16" t="s">
        <v>73</v>
      </c>
      <c r="G42">
        <f>$D$38*G16</f>
        <v>-1.8595599646324201</v>
      </c>
      <c r="H42">
        <f t="shared" ref="H42:O42" si="17">$D$38*H16</f>
        <v>-3.7191199292648403</v>
      </c>
      <c r="I42">
        <f t="shared" si="17"/>
        <v>-5.5786798938972604</v>
      </c>
      <c r="J42">
        <f t="shared" si="17"/>
        <v>-5.578679893897263</v>
      </c>
      <c r="K42">
        <f t="shared" si="17"/>
        <v>-5.5786798938972604</v>
      </c>
      <c r="L42">
        <f t="shared" si="17"/>
        <v>-5.5786798938972613</v>
      </c>
      <c r="M42">
        <f t="shared" si="17"/>
        <v>-5.5786798938972613</v>
      </c>
      <c r="N42">
        <f t="shared" si="17"/>
        <v>-2.9752959434118731</v>
      </c>
      <c r="O42">
        <f t="shared" si="17"/>
        <v>-0.74382398585296827</v>
      </c>
      <c r="P42">
        <f t="shared" ref="P42" si="18">$D$38*P16</f>
        <v>0</v>
      </c>
    </row>
    <row r="43" spans="1:16" ht="15" customHeight="1" x14ac:dyDescent="0.45">
      <c r="B43" s="16" t="s">
        <v>59</v>
      </c>
      <c r="D43">
        <f>D37</f>
        <v>37.191199292648413</v>
      </c>
      <c r="E43">
        <f>SUM(E41:E42)</f>
        <v>37.191199292648413</v>
      </c>
      <c r="F43">
        <f>SUM(F41:F42)</f>
        <v>37.191199292648413</v>
      </c>
      <c r="G43">
        <f>SUM(G41:G42)</f>
        <v>35.331639328015996</v>
      </c>
      <c r="H43">
        <f t="shared" ref="H43:O43" si="19">SUM(H41:H42)</f>
        <v>31.612519398751154</v>
      </c>
      <c r="I43">
        <f t="shared" si="19"/>
        <v>26.033839504853894</v>
      </c>
      <c r="J43">
        <f t="shared" si="19"/>
        <v>20.455159610956631</v>
      </c>
      <c r="K43">
        <f t="shared" si="19"/>
        <v>14.876479717059372</v>
      </c>
      <c r="L43">
        <f t="shared" si="19"/>
        <v>9.2977998231621104</v>
      </c>
      <c r="M43">
        <f t="shared" si="19"/>
        <v>3.7191199292648491</v>
      </c>
      <c r="N43">
        <f t="shared" si="19"/>
        <v>0.74382398585297604</v>
      </c>
      <c r="O43">
        <f t="shared" si="19"/>
        <v>7.7715611723760958E-15</v>
      </c>
      <c r="P43">
        <f t="shared" ref="P43" si="20">SUM(P41:P42)</f>
        <v>7.7715611723760958E-15</v>
      </c>
    </row>
    <row r="45" spans="1:16" ht="15" customHeight="1" x14ac:dyDescent="0.45">
      <c r="B45" s="16" t="s">
        <v>80</v>
      </c>
    </row>
    <row r="46" spans="1:16" ht="15" customHeight="1" x14ac:dyDescent="0.45">
      <c r="B46" s="16" t="s">
        <v>57</v>
      </c>
      <c r="E46">
        <f>D49</f>
        <v>37.191199292648413</v>
      </c>
      <c r="F46">
        <f>E49</f>
        <v>39.422671250207316</v>
      </c>
      <c r="G46">
        <f>F49</f>
        <v>41.788031525219758</v>
      </c>
      <c r="H46">
        <f t="shared" ref="H46:P46" si="21">G49</f>
        <v>44.295313416732945</v>
      </c>
      <c r="I46">
        <f t="shared" si="21"/>
        <v>46.953032221736919</v>
      </c>
      <c r="J46">
        <f t="shared" si="21"/>
        <v>49.770214155041131</v>
      </c>
      <c r="K46">
        <f t="shared" si="21"/>
        <v>52.7564270043436</v>
      </c>
      <c r="L46">
        <f t="shared" si="21"/>
        <v>55.921812624604215</v>
      </c>
      <c r="M46">
        <f t="shared" si="21"/>
        <v>59.277121382080466</v>
      </c>
      <c r="N46">
        <f t="shared" si="21"/>
        <v>62.833748665005295</v>
      </c>
      <c r="O46">
        <f t="shared" si="21"/>
        <v>56.603773584905611</v>
      </c>
      <c r="P46">
        <f t="shared" si="21"/>
        <v>0</v>
      </c>
    </row>
    <row r="47" spans="1:16" ht="15" customHeight="1" x14ac:dyDescent="0.45">
      <c r="B47" s="16" t="s">
        <v>78</v>
      </c>
      <c r="E47">
        <f>'S&amp;U'!$D$66*Depletion!E46</f>
        <v>2.2314719575589046</v>
      </c>
      <c r="F47">
        <f>'S&amp;U'!$D$66*Depletion!F46</f>
        <v>2.365360275012439</v>
      </c>
      <c r="G47">
        <f>'S&amp;U'!$D$66*Depletion!G46</f>
        <v>2.5072818915131854</v>
      </c>
      <c r="H47">
        <f>'S&amp;U'!$D$66*Depletion!H46</f>
        <v>2.6577188050039764</v>
      </c>
      <c r="I47">
        <f>'S&amp;U'!$D$66*Depletion!I46</f>
        <v>2.817181933304215</v>
      </c>
      <c r="J47">
        <f>'S&amp;U'!$D$66*Depletion!J46</f>
        <v>2.9862128493024676</v>
      </c>
      <c r="K47">
        <f>'S&amp;U'!$D$66*Depletion!K46</f>
        <v>3.1653856202606159</v>
      </c>
      <c r="L47">
        <f>'S&amp;U'!$D$66*Depletion!L46</f>
        <v>3.3553087574762528</v>
      </c>
      <c r="M47">
        <f>'S&amp;U'!$D$66*Depletion!M46</f>
        <v>3.5566272829248278</v>
      </c>
      <c r="N47">
        <f>'S&amp;U'!$D$66*Depletion!N46</f>
        <v>3.7700249199003175</v>
      </c>
      <c r="O47">
        <f>'S&amp;U'!$D$66*Depletion!O46</f>
        <v>3.3962264150943366</v>
      </c>
      <c r="P47">
        <f>'S&amp;U'!$D$66*Depletion!P46</f>
        <v>0</v>
      </c>
    </row>
    <row r="48" spans="1:16" ht="15" customHeight="1" x14ac:dyDescent="0.45">
      <c r="B48" s="16" t="s">
        <v>79</v>
      </c>
      <c r="E48">
        <f>-'S&amp;U'!E67</f>
        <v>0</v>
      </c>
      <c r="F48">
        <f>-'S&amp;U'!F67</f>
        <v>0</v>
      </c>
      <c r="G48">
        <f>-'S&amp;U'!G67</f>
        <v>0</v>
      </c>
      <c r="H48">
        <f>-'S&amp;U'!H67</f>
        <v>0</v>
      </c>
      <c r="I48">
        <f>-'S&amp;U'!I67</f>
        <v>0</v>
      </c>
      <c r="J48">
        <f>-'S&amp;U'!J67</f>
        <v>0</v>
      </c>
      <c r="K48">
        <f>-'S&amp;U'!K67</f>
        <v>0</v>
      </c>
      <c r="L48">
        <f>-'S&amp;U'!L67</f>
        <v>0</v>
      </c>
      <c r="M48">
        <f>-'S&amp;U'!M67</f>
        <v>0</v>
      </c>
      <c r="N48">
        <f>-'S&amp;U'!N67</f>
        <v>-10</v>
      </c>
      <c r="O48">
        <f>-'S&amp;U'!O67</f>
        <v>-60</v>
      </c>
      <c r="P48">
        <f>-'S&amp;U'!P67</f>
        <v>0</v>
      </c>
    </row>
    <row r="49" spans="2:16" ht="15" customHeight="1" x14ac:dyDescent="0.45">
      <c r="B49" s="16" t="s">
        <v>59</v>
      </c>
      <c r="D49">
        <f>D37</f>
        <v>37.191199292648413</v>
      </c>
      <c r="E49">
        <f t="shared" ref="E49:P49" si="22">SUM(E46:E48)</f>
        <v>39.422671250207316</v>
      </c>
      <c r="F49">
        <f t="shared" si="22"/>
        <v>41.788031525219758</v>
      </c>
      <c r="G49">
        <f t="shared" si="22"/>
        <v>44.295313416732945</v>
      </c>
      <c r="H49">
        <f t="shared" si="22"/>
        <v>46.953032221736919</v>
      </c>
      <c r="I49">
        <f t="shared" si="22"/>
        <v>49.770214155041131</v>
      </c>
      <c r="J49">
        <f t="shared" si="22"/>
        <v>52.7564270043436</v>
      </c>
      <c r="K49">
        <f t="shared" si="22"/>
        <v>55.921812624604215</v>
      </c>
      <c r="L49">
        <f t="shared" si="22"/>
        <v>59.277121382080466</v>
      </c>
      <c r="M49">
        <f t="shared" si="22"/>
        <v>62.833748665005295</v>
      </c>
      <c r="N49">
        <f t="shared" si="22"/>
        <v>56.603773584905611</v>
      </c>
      <c r="O49">
        <f t="shared" si="22"/>
        <v>0</v>
      </c>
      <c r="P49">
        <f t="shared" si="22"/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8D9E-1578-4817-970C-99FC5D0C7D26}">
  <sheetPr>
    <pageSetUpPr fitToPage="1"/>
  </sheetPr>
  <dimension ref="A1:P33"/>
  <sheetViews>
    <sheetView zoomScaleNormal="100" workbookViewId="0">
      <pane xSplit="2" ySplit="2" topLeftCell="F19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N10" sqref="N10:Q10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102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5" spans="1:16" ht="15" customHeight="1" x14ac:dyDescent="0.45">
      <c r="A5"/>
      <c r="B5" s="16" t="str">
        <f>Revenues!B10</f>
        <v>Crude oil revenues</v>
      </c>
      <c r="G5">
        <f>Revenues!G10</f>
        <v>220.52000000000004</v>
      </c>
      <c r="H5">
        <f>Revenues!H10</f>
        <v>414.93520000000007</v>
      </c>
      <c r="I5">
        <f>Revenues!I10</f>
        <v>622.40279999999996</v>
      </c>
      <c r="J5">
        <f>Revenues!J10</f>
        <v>622.40279999999996</v>
      </c>
      <c r="K5">
        <f>Revenues!K10</f>
        <v>622.40279999999996</v>
      </c>
      <c r="L5">
        <f>Revenues!L10</f>
        <v>622.40279999999996</v>
      </c>
      <c r="M5">
        <f>Revenues!M10</f>
        <v>622.40279999999996</v>
      </c>
      <c r="N5">
        <f>Revenues!N10</f>
        <v>331.94816000000003</v>
      </c>
      <c r="O5">
        <f>Revenues!O10</f>
        <v>82.987040000000007</v>
      </c>
      <c r="P5">
        <f>Revenues!P10</f>
        <v>0</v>
      </c>
    </row>
    <row r="6" spans="1:16" ht="15" customHeight="1" x14ac:dyDescent="0.45">
      <c r="A6"/>
      <c r="B6" s="16" t="str">
        <f>Revenues!B11</f>
        <v>NGL revenues</v>
      </c>
      <c r="G6">
        <f>Revenues!G11</f>
        <v>110.26000000000002</v>
      </c>
      <c r="H6">
        <f>Revenues!H11</f>
        <v>207.46760000000003</v>
      </c>
      <c r="I6">
        <f>Revenues!I11</f>
        <v>311.20139999999998</v>
      </c>
      <c r="J6">
        <f>Revenues!J11</f>
        <v>311.20139999999998</v>
      </c>
      <c r="K6">
        <f>Revenues!K11</f>
        <v>311.20139999999998</v>
      </c>
      <c r="L6">
        <f>Revenues!L11</f>
        <v>311.20139999999998</v>
      </c>
      <c r="M6">
        <f>Revenues!M11</f>
        <v>311.20139999999998</v>
      </c>
      <c r="N6">
        <f>Revenues!N11</f>
        <v>165.97408000000004</v>
      </c>
      <c r="O6">
        <f>Revenues!O11</f>
        <v>41.493520000000011</v>
      </c>
      <c r="P6">
        <f>Revenues!P11</f>
        <v>0</v>
      </c>
    </row>
    <row r="7" spans="1:16" ht="15" customHeight="1" x14ac:dyDescent="0.45">
      <c r="A7"/>
      <c r="B7" s="16" t="str">
        <f>Revenues!B12</f>
        <v>Total BOE revenues</v>
      </c>
      <c r="G7">
        <f>SUM(G5:G6)</f>
        <v>330.78000000000009</v>
      </c>
      <c r="H7">
        <f t="shared" ref="H7:P7" si="2">SUM(H5:H6)</f>
        <v>622.40280000000007</v>
      </c>
      <c r="I7">
        <f t="shared" si="2"/>
        <v>933.60419999999999</v>
      </c>
      <c r="J7">
        <f t="shared" si="2"/>
        <v>933.60419999999999</v>
      </c>
      <c r="K7">
        <f t="shared" si="2"/>
        <v>933.60419999999999</v>
      </c>
      <c r="L7">
        <f t="shared" si="2"/>
        <v>933.60419999999999</v>
      </c>
      <c r="M7">
        <f t="shared" si="2"/>
        <v>933.60419999999999</v>
      </c>
      <c r="N7">
        <f t="shared" si="2"/>
        <v>497.9222400000001</v>
      </c>
      <c r="O7">
        <f t="shared" si="2"/>
        <v>124.48056000000003</v>
      </c>
      <c r="P7">
        <f t="shared" si="2"/>
        <v>0</v>
      </c>
    </row>
    <row r="8" spans="1:16" ht="15" customHeight="1" x14ac:dyDescent="0.45">
      <c r="A8"/>
    </row>
    <row r="9" spans="1:16" ht="15" customHeight="1" x14ac:dyDescent="0.45">
      <c r="A9"/>
      <c r="B9" s="16" t="s">
        <v>105</v>
      </c>
      <c r="G9">
        <f>Revenues!G18</f>
        <v>-22.35</v>
      </c>
      <c r="H9">
        <f>Revenues!H18</f>
        <v>-44.7</v>
      </c>
      <c r="I9">
        <f>Revenues!I18</f>
        <v>-67.05</v>
      </c>
      <c r="J9">
        <f>Revenues!J18</f>
        <v>-67.05</v>
      </c>
      <c r="K9">
        <f>Revenues!K18</f>
        <v>-67.05</v>
      </c>
      <c r="L9">
        <f>Revenues!L18</f>
        <v>-67.05</v>
      </c>
      <c r="M9">
        <f>Revenues!M18</f>
        <v>-67.05</v>
      </c>
      <c r="N9">
        <f>Revenues!N18</f>
        <v>-35.76</v>
      </c>
      <c r="O9">
        <f>Revenues!O18</f>
        <v>-8.94</v>
      </c>
      <c r="P9">
        <f>Revenues!P18</f>
        <v>0</v>
      </c>
    </row>
    <row r="10" spans="1:16" ht="15" customHeight="1" x14ac:dyDescent="0.45">
      <c r="A10"/>
      <c r="B10" s="16" t="s">
        <v>106</v>
      </c>
      <c r="G10">
        <f>Revenues!G19</f>
        <v>-13.410000000000002</v>
      </c>
      <c r="H10">
        <f>Revenues!H19</f>
        <v>-26.820000000000004</v>
      </c>
      <c r="I10">
        <f>Revenues!I19</f>
        <v>-40.230000000000004</v>
      </c>
      <c r="J10">
        <f>Revenues!J19</f>
        <v>-40.230000000000004</v>
      </c>
      <c r="K10">
        <f>Revenues!K19</f>
        <v>-40.230000000000004</v>
      </c>
      <c r="L10">
        <f>Revenues!L19</f>
        <v>-40.230000000000004</v>
      </c>
      <c r="M10">
        <f>Revenues!M19</f>
        <v>-40.230000000000004</v>
      </c>
      <c r="N10">
        <f>Revenues!N19</f>
        <v>-21.456</v>
      </c>
      <c r="O10">
        <f>Revenues!O19</f>
        <v>-5.3639999999999999</v>
      </c>
      <c r="P10">
        <f>Revenues!P19</f>
        <v>0</v>
      </c>
    </row>
    <row r="11" spans="1:16" ht="15" customHeight="1" x14ac:dyDescent="0.45">
      <c r="B11" s="16" t="s">
        <v>55</v>
      </c>
      <c r="G11">
        <f>Depletion!G24</f>
        <v>-107.09999999999997</v>
      </c>
      <c r="H11">
        <f>Depletion!H24</f>
        <v>-214.19999999999993</v>
      </c>
      <c r="I11">
        <f>Depletion!I24</f>
        <v>-321.2999999999999</v>
      </c>
      <c r="J11">
        <f>Depletion!J24</f>
        <v>-321.30000000000007</v>
      </c>
      <c r="K11">
        <f>Depletion!K24</f>
        <v>-321.2999999999999</v>
      </c>
      <c r="L11">
        <f>Depletion!L24</f>
        <v>-321.29999999999995</v>
      </c>
      <c r="M11">
        <f>Depletion!M24</f>
        <v>-321.29999999999995</v>
      </c>
      <c r="N11">
        <f>Depletion!N24</f>
        <v>-171.36</v>
      </c>
      <c r="O11">
        <f>Depletion!O24</f>
        <v>-42.839999999999996</v>
      </c>
      <c r="P11">
        <f>Depletion!P24</f>
        <v>0</v>
      </c>
    </row>
    <row r="12" spans="1:16" ht="15" customHeight="1" x14ac:dyDescent="0.45">
      <c r="A12"/>
      <c r="B12" s="16" t="s">
        <v>128</v>
      </c>
      <c r="G12">
        <f>SUM(G9:G11)</f>
        <v>-142.85999999999996</v>
      </c>
      <c r="H12">
        <f t="shared" ref="H12:P12" si="3">SUM(H9:H11)</f>
        <v>-285.71999999999991</v>
      </c>
      <c r="I12">
        <f t="shared" si="3"/>
        <v>-428.57999999999993</v>
      </c>
      <c r="J12">
        <f t="shared" si="3"/>
        <v>-428.58000000000004</v>
      </c>
      <c r="K12">
        <f t="shared" si="3"/>
        <v>-428.57999999999993</v>
      </c>
      <c r="L12">
        <f t="shared" si="3"/>
        <v>-428.57999999999993</v>
      </c>
      <c r="M12">
        <f t="shared" si="3"/>
        <v>-428.57999999999993</v>
      </c>
      <c r="N12">
        <f t="shared" si="3"/>
        <v>-228.57600000000002</v>
      </c>
      <c r="O12">
        <f t="shared" si="3"/>
        <v>-57.143999999999991</v>
      </c>
      <c r="P12">
        <f t="shared" si="3"/>
        <v>0</v>
      </c>
    </row>
    <row r="13" spans="1:16" ht="15" customHeight="1" x14ac:dyDescent="0.45">
      <c r="A13"/>
    </row>
    <row r="14" spans="1:16" ht="15" customHeight="1" x14ac:dyDescent="0.45">
      <c r="A14"/>
      <c r="B14" s="16" t="s">
        <v>107</v>
      </c>
      <c r="G14">
        <f>G7+G12</f>
        <v>187.92000000000013</v>
      </c>
      <c r="H14">
        <f t="shared" ref="H14:P14" si="4">H7+H12</f>
        <v>336.68280000000016</v>
      </c>
      <c r="I14">
        <f t="shared" si="4"/>
        <v>505.02420000000006</v>
      </c>
      <c r="J14">
        <f t="shared" si="4"/>
        <v>505.02419999999995</v>
      </c>
      <c r="K14">
        <f t="shared" si="4"/>
        <v>505.02420000000006</v>
      </c>
      <c r="L14">
        <f t="shared" si="4"/>
        <v>505.02420000000006</v>
      </c>
      <c r="M14">
        <f t="shared" si="4"/>
        <v>505.02420000000006</v>
      </c>
      <c r="N14">
        <f t="shared" si="4"/>
        <v>269.34624000000008</v>
      </c>
      <c r="O14">
        <f t="shared" si="4"/>
        <v>67.336560000000034</v>
      </c>
      <c r="P14">
        <f t="shared" si="4"/>
        <v>0</v>
      </c>
    </row>
    <row r="15" spans="1:16" ht="15" customHeight="1" x14ac:dyDescent="0.45">
      <c r="A15"/>
    </row>
    <row r="16" spans="1:16" ht="15" customHeight="1" x14ac:dyDescent="0.45">
      <c r="A16"/>
      <c r="B16" s="16" t="s">
        <v>109</v>
      </c>
      <c r="G16">
        <f>Revenues!G20</f>
        <v>-49.617000000000012</v>
      </c>
      <c r="H16">
        <f>Revenues!H20</f>
        <v>-93.360420000000005</v>
      </c>
      <c r="I16">
        <f>Revenues!I20</f>
        <v>-140.04062999999999</v>
      </c>
      <c r="J16">
        <f>Revenues!J20</f>
        <v>-140.04062999999999</v>
      </c>
      <c r="K16">
        <f>Revenues!K20</f>
        <v>-140.04062999999999</v>
      </c>
      <c r="L16">
        <f>Revenues!L20</f>
        <v>-140.04062999999999</v>
      </c>
      <c r="M16">
        <f>Revenues!M20</f>
        <v>-140.04062999999999</v>
      </c>
      <c r="N16">
        <f>Revenues!N20</f>
        <v>-74.688336000000007</v>
      </c>
      <c r="O16">
        <f>Revenues!O20</f>
        <v>-18.672084000000002</v>
      </c>
      <c r="P16">
        <f>Revenues!P20</f>
        <v>0</v>
      </c>
    </row>
    <row r="17" spans="1:16" ht="15" customHeight="1" x14ac:dyDescent="0.45">
      <c r="A17"/>
      <c r="B17" s="16" t="s">
        <v>73</v>
      </c>
      <c r="G17">
        <f ca="1">Depletion!G33+Depletion!G42</f>
        <v>-18.686727430681319</v>
      </c>
      <c r="H17">
        <f ca="1">Depletion!H33+Depletion!H42</f>
        <v>-37.373454861362639</v>
      </c>
      <c r="I17">
        <f ca="1">Depletion!I33+Depletion!I42</f>
        <v>-56.060182292043962</v>
      </c>
      <c r="J17">
        <f ca="1">Depletion!J33+Depletion!J42</f>
        <v>-56.06018229204399</v>
      </c>
      <c r="K17">
        <f ca="1">Depletion!K33+Depletion!K42</f>
        <v>-56.060182292043962</v>
      </c>
      <c r="L17">
        <f ca="1">Depletion!L33+Depletion!L42</f>
        <v>-56.060182292043976</v>
      </c>
      <c r="M17">
        <f ca="1">Depletion!M33+Depletion!M42</f>
        <v>-56.060182292043969</v>
      </c>
      <c r="N17">
        <f ca="1">Depletion!N33+Depletion!N42</f>
        <v>-29.898763889090123</v>
      </c>
      <c r="O17">
        <f ca="1">Depletion!O33+Depletion!O42</f>
        <v>-7.4746909722725299</v>
      </c>
      <c r="P17">
        <f ca="1">Depletion!P33+Depletion!P42</f>
        <v>0</v>
      </c>
    </row>
    <row r="18" spans="1:16" ht="15" customHeight="1" x14ac:dyDescent="0.45">
      <c r="A18"/>
      <c r="B18" s="16" t="s">
        <v>173</v>
      </c>
      <c r="G18">
        <f>'S&amp;U'!G40</f>
        <v>-10</v>
      </c>
      <c r="H18">
        <f>'S&amp;U'!H40</f>
        <v>-15</v>
      </c>
      <c r="I18">
        <f>'S&amp;U'!I40</f>
        <v>-20</v>
      </c>
      <c r="J18">
        <f>'S&amp;U'!J40</f>
        <v>-21</v>
      </c>
      <c r="K18">
        <f>'S&amp;U'!K40</f>
        <v>-22</v>
      </c>
      <c r="L18">
        <f>'S&amp;U'!L40</f>
        <v>-23</v>
      </c>
      <c r="M18">
        <f>'S&amp;U'!M40</f>
        <v>-24</v>
      </c>
      <c r="N18">
        <f>'S&amp;U'!N40</f>
        <v>-25</v>
      </c>
      <c r="O18">
        <f>'S&amp;U'!O40</f>
        <v>-26</v>
      </c>
      <c r="P18">
        <f>'S&amp;U'!P40</f>
        <v>0</v>
      </c>
    </row>
    <row r="19" spans="1:16" ht="15" customHeight="1" x14ac:dyDescent="0.45">
      <c r="A19"/>
      <c r="B19" s="16" t="s">
        <v>111</v>
      </c>
      <c r="G19">
        <f ca="1">SUM(G14,G16:G18)</f>
        <v>109.6162725693188</v>
      </c>
      <c r="H19">
        <f t="shared" ref="H19:P19" ca="1" si="5">SUM(H14,H16:H18)</f>
        <v>190.94892513863752</v>
      </c>
      <c r="I19">
        <f t="shared" ca="1" si="5"/>
        <v>288.92338770795612</v>
      </c>
      <c r="J19">
        <f t="shared" ca="1" si="5"/>
        <v>287.92338770795601</v>
      </c>
      <c r="K19">
        <f t="shared" ca="1" si="5"/>
        <v>286.92338770795612</v>
      </c>
      <c r="L19">
        <f t="shared" ca="1" si="5"/>
        <v>285.92338770795612</v>
      </c>
      <c r="M19">
        <f t="shared" ca="1" si="5"/>
        <v>284.92338770795612</v>
      </c>
      <c r="N19">
        <f t="shared" ca="1" si="5"/>
        <v>139.75914011090995</v>
      </c>
      <c r="O19">
        <f t="shared" ca="1" si="5"/>
        <v>15.18978502772751</v>
      </c>
      <c r="P19">
        <f t="shared" ca="1" si="5"/>
        <v>0</v>
      </c>
    </row>
    <row r="20" spans="1:16" ht="15" customHeight="1" x14ac:dyDescent="0.45">
      <c r="A20"/>
    </row>
    <row r="21" spans="1:16" ht="15" customHeight="1" x14ac:dyDescent="0.45">
      <c r="A21"/>
      <c r="B21" s="16" t="s">
        <v>161</v>
      </c>
      <c r="G21">
        <f ca="1">IF(switch=1,Finance!G30,0)</f>
        <v>-1</v>
      </c>
      <c r="H21">
        <f ca="1">IF(switch=1,Finance!H30,0)</f>
        <v>-1</v>
      </c>
      <c r="I21">
        <f ca="1">IF(switch=1,Finance!I30,0)</f>
        <v>-1</v>
      </c>
      <c r="J21">
        <f ca="1">IF(switch=1,Finance!J30,0)</f>
        <v>-1</v>
      </c>
      <c r="K21">
        <f ca="1">IF(switch=1,Finance!K30,0)</f>
        <v>-1</v>
      </c>
      <c r="L21">
        <f ca="1">IF(switch=1,Finance!L30,0)</f>
        <v>-1</v>
      </c>
      <c r="M21">
        <f ca="1">IF(switch=1,Finance!M30,0)</f>
        <v>-1</v>
      </c>
      <c r="N21">
        <f ca="1">IF(switch=1,Finance!N30,0)</f>
        <v>-1</v>
      </c>
      <c r="O21">
        <f ca="1">IF(switch=1,Finance!O30,0)</f>
        <v>-1</v>
      </c>
      <c r="P21">
        <f ca="1">IF(switch=1,Finance!P30,0)</f>
        <v>-1</v>
      </c>
    </row>
    <row r="22" spans="1:16" ht="15" customHeight="1" x14ac:dyDescent="0.45">
      <c r="A22"/>
      <c r="B22" s="16" t="s">
        <v>177</v>
      </c>
      <c r="G22">
        <f ca="1">IF(switch=1,Finance!G48,0)</f>
        <v>-72.215137150062375</v>
      </c>
      <c r="H22">
        <f ca="1">IF(switch=1,Finance!H48,0)</f>
        <v>-65.577413815800156</v>
      </c>
      <c r="I22">
        <f ca="1">IF(switch=1,Finance!I48,0)</f>
        <v>-52.533597648757997</v>
      </c>
      <c r="J22">
        <f ca="1">IF(switch=1,Finance!J48,0)</f>
        <v>-35.603686897720799</v>
      </c>
      <c r="K22">
        <f ca="1">IF(switch=1,Finance!K48,0)</f>
        <v>-17.836863839258445</v>
      </c>
      <c r="L22">
        <f ca="1">IF(switch=1,Finance!L48,0)</f>
        <v>-4.404497924557865</v>
      </c>
      <c r="M22">
        <f ca="1">IF(switch=1,Finance!M48,0)</f>
        <v>0</v>
      </c>
      <c r="N22">
        <f ca="1">IF(switch=1,Finance!N48,0)</f>
        <v>0</v>
      </c>
      <c r="O22">
        <f ca="1">IF(switch=1,Finance!O48,0)</f>
        <v>0</v>
      </c>
      <c r="P22">
        <f ca="1">IF(switch=1,Finance!P48,0)</f>
        <v>0</v>
      </c>
    </row>
    <row r="23" spans="1:16" ht="15" customHeight="1" x14ac:dyDescent="0.45">
      <c r="A23"/>
      <c r="B23" s="16" t="s">
        <v>112</v>
      </c>
      <c r="G23">
        <f>-Depletion!G47</f>
        <v>-2.5072818915131854</v>
      </c>
      <c r="H23">
        <f>-Depletion!H47</f>
        <v>-2.6577188050039764</v>
      </c>
      <c r="I23">
        <f>-Depletion!I47</f>
        <v>-2.817181933304215</v>
      </c>
      <c r="J23">
        <f>-Depletion!J47</f>
        <v>-2.9862128493024676</v>
      </c>
      <c r="K23">
        <f>-Depletion!K47</f>
        <v>-3.1653856202606159</v>
      </c>
      <c r="L23">
        <f>-Depletion!L47</f>
        <v>-3.3553087574762528</v>
      </c>
      <c r="M23">
        <f>-Depletion!M47</f>
        <v>-3.5566272829248278</v>
      </c>
      <c r="N23">
        <f>-Depletion!N47</f>
        <v>-3.7700249199003175</v>
      </c>
      <c r="O23">
        <f>-Depletion!O47</f>
        <v>-3.3962264150943366</v>
      </c>
      <c r="P23">
        <f>-Depletion!P47</f>
        <v>0</v>
      </c>
    </row>
    <row r="24" spans="1:16" ht="15" customHeight="1" x14ac:dyDescent="0.45">
      <c r="A24"/>
      <c r="B24" s="16" t="s">
        <v>113</v>
      </c>
      <c r="G24">
        <f ca="1">SUM(G19,G21:G23)</f>
        <v>33.893853527743232</v>
      </c>
      <c r="H24">
        <f t="shared" ref="H24:P24" ca="1" si="6">SUM(H19,H21:H23)</f>
        <v>121.71379251783338</v>
      </c>
      <c r="I24">
        <f t="shared" ca="1" si="6"/>
        <v>232.57260812589391</v>
      </c>
      <c r="J24">
        <f t="shared" ca="1" si="6"/>
        <v>248.33348796093276</v>
      </c>
      <c r="K24">
        <f t="shared" ca="1" si="6"/>
        <v>264.92113824843705</v>
      </c>
      <c r="L24">
        <f t="shared" ca="1" si="6"/>
        <v>277.16358102592199</v>
      </c>
      <c r="M24">
        <f t="shared" ca="1" si="6"/>
        <v>280.36676042503132</v>
      </c>
      <c r="N24">
        <f t="shared" ca="1" si="6"/>
        <v>134.98911519100963</v>
      </c>
      <c r="O24">
        <f t="shared" ca="1" si="6"/>
        <v>10.793558612633174</v>
      </c>
      <c r="P24">
        <f t="shared" ca="1" si="6"/>
        <v>-1</v>
      </c>
    </row>
    <row r="25" spans="1:16" ht="15" customHeight="1" x14ac:dyDescent="0.45">
      <c r="A25"/>
    </row>
    <row r="26" spans="1:16" ht="15" customHeight="1" x14ac:dyDescent="0.45">
      <c r="A26"/>
      <c r="B26" s="16" t="s">
        <v>114</v>
      </c>
      <c r="G26">
        <f ca="1">'S&amp;U'!G41*IS!G24</f>
        <v>-6.7787707055486468</v>
      </c>
      <c r="H26">
        <f ca="1">'S&amp;U'!H41*IS!H24</f>
        <v>-24.342758503566678</v>
      </c>
      <c r="I26">
        <f ca="1">'S&amp;U'!I41*IS!I24</f>
        <v>-46.514521625178787</v>
      </c>
      <c r="J26">
        <f ca="1">'S&amp;U'!J41*IS!J24</f>
        <v>-49.666697592186551</v>
      </c>
      <c r="K26">
        <f ca="1">'S&amp;U'!K41*IS!K24</f>
        <v>-52.984227649687412</v>
      </c>
      <c r="L26">
        <f ca="1">'S&amp;U'!L41*IS!L24</f>
        <v>-55.432716205184398</v>
      </c>
      <c r="M26">
        <f ca="1">'S&amp;U'!M41*IS!M24</f>
        <v>-56.073352085006263</v>
      </c>
      <c r="N26">
        <f ca="1">'S&amp;U'!N41*IS!N24</f>
        <v>-26.997823038201929</v>
      </c>
      <c r="O26">
        <f ca="1">'S&amp;U'!O41*IS!O24</f>
        <v>-2.1587117225266348</v>
      </c>
      <c r="P26">
        <f ca="1">'S&amp;U'!P41*IS!P24</f>
        <v>0.2</v>
      </c>
    </row>
    <row r="27" spans="1:16" ht="15" customHeight="1" x14ac:dyDescent="0.45">
      <c r="A27"/>
      <c r="B27" s="16" t="s">
        <v>116</v>
      </c>
      <c r="G27">
        <f ca="1">G24+G26</f>
        <v>27.115082822194587</v>
      </c>
      <c r="H27">
        <f t="shared" ref="H27:P27" ca="1" si="7">H24+H26</f>
        <v>97.371034014266712</v>
      </c>
      <c r="I27">
        <f t="shared" ca="1" si="7"/>
        <v>186.05808650071512</v>
      </c>
      <c r="J27">
        <f t="shared" ca="1" si="7"/>
        <v>198.66679036874621</v>
      </c>
      <c r="K27">
        <f t="shared" ca="1" si="7"/>
        <v>211.93691059874965</v>
      </c>
      <c r="L27">
        <f t="shared" ca="1" si="7"/>
        <v>221.73086482073759</v>
      </c>
      <c r="M27">
        <f t="shared" ca="1" si="7"/>
        <v>224.29340834002505</v>
      </c>
      <c r="N27">
        <f t="shared" ca="1" si="7"/>
        <v>107.9912921528077</v>
      </c>
      <c r="O27">
        <f t="shared" ca="1" si="7"/>
        <v>8.6348468901065392</v>
      </c>
      <c r="P27">
        <f t="shared" ca="1" si="7"/>
        <v>-0.8</v>
      </c>
    </row>
    <row r="28" spans="1:16" ht="15" customHeight="1" x14ac:dyDescent="0.45">
      <c r="B28"/>
    </row>
    <row r="29" spans="1:16" ht="15" customHeight="1" x14ac:dyDescent="0.45">
      <c r="A29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6DB7-F90E-4D60-A74E-7028D668E65D}">
  <sheetPr>
    <pageSetUpPr fitToPage="1"/>
  </sheetPr>
  <dimension ref="A1:P29"/>
  <sheetViews>
    <sheetView zoomScaleNormal="100" workbookViewId="0">
      <pane xSplit="2" ySplit="2" topLeftCell="I3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N10" sqref="N10:Q10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117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118</v>
      </c>
      <c r="D4">
        <f ca="1">CFS!D26</f>
        <v>0</v>
      </c>
      <c r="E4">
        <f ca="1">CFS!E26</f>
        <v>0</v>
      </c>
      <c r="F4">
        <f ca="1">CFS!F26</f>
        <v>338.28571428571433</v>
      </c>
      <c r="G4">
        <f ca="1">CFS!G26</f>
        <v>308.28043803202996</v>
      </c>
      <c r="H4">
        <f ca="1">CFS!H26</f>
        <v>401.09856944163892</v>
      </c>
      <c r="I4">
        <f ca="1">CFS!I26</f>
        <v>472.62144031370258</v>
      </c>
      <c r="J4">
        <f ca="1">CFS!J26</f>
        <v>469.3002633463941</v>
      </c>
      <c r="K4">
        <f ca="1">CFS!K26</f>
        <v>224.69939415245079</v>
      </c>
      <c r="L4">
        <f ca="1">CFS!L26</f>
        <v>6.9999999999595275E-2</v>
      </c>
      <c r="M4">
        <f ca="1">CFS!M26</f>
        <v>6.9999999999652118E-2</v>
      </c>
      <c r="N4">
        <f ca="1">CFS!N26</f>
        <v>6.9999999999652118E-2</v>
      </c>
      <c r="O4">
        <f ca="1">CFS!O26</f>
        <v>6.9999999999652118E-2</v>
      </c>
      <c r="P4">
        <f ca="1">CFS!P26</f>
        <v>6.9999999999652118E-2</v>
      </c>
    </row>
    <row r="5" spans="1:16" ht="15" customHeight="1" x14ac:dyDescent="0.45">
      <c r="A5"/>
      <c r="B5" s="16" t="s">
        <v>120</v>
      </c>
      <c r="D5">
        <f>Calcs!D5</f>
        <v>0</v>
      </c>
      <c r="E5">
        <f>Calcs!E5</f>
        <v>0</v>
      </c>
      <c r="F5">
        <f>Calcs!F5</f>
        <v>0</v>
      </c>
      <c r="G5">
        <f>Calcs!G5</f>
        <v>27.187397260273979</v>
      </c>
      <c r="H5">
        <f>Calcs!H5</f>
        <v>51.156394520547948</v>
      </c>
      <c r="I5">
        <f>Calcs!I5</f>
        <v>76.734591780821916</v>
      </c>
      <c r="J5">
        <f>Calcs!J5</f>
        <v>76.734591780821916</v>
      </c>
      <c r="K5">
        <f>Calcs!K5</f>
        <v>76.734591780821916</v>
      </c>
      <c r="L5">
        <f>Calcs!L5</f>
        <v>76.734591780821916</v>
      </c>
      <c r="M5">
        <f>Calcs!M5</f>
        <v>76.734591780821916</v>
      </c>
      <c r="N5">
        <f>Calcs!N5</f>
        <v>40.925115616438362</v>
      </c>
      <c r="O5">
        <f>Calcs!O5</f>
        <v>10.23127890410959</v>
      </c>
      <c r="P5">
        <f>Calcs!P5</f>
        <v>0</v>
      </c>
    </row>
    <row r="6" spans="1:16" ht="15" customHeight="1" x14ac:dyDescent="0.45">
      <c r="A6"/>
      <c r="B6" s="16" t="s">
        <v>121</v>
      </c>
      <c r="D6">
        <f>Calcs!D6</f>
        <v>0</v>
      </c>
      <c r="E6">
        <f>Calcs!E6</f>
        <v>0</v>
      </c>
      <c r="F6">
        <f>Calcs!F6</f>
        <v>1.9569863013698623</v>
      </c>
      <c r="G6">
        <f>Calcs!G6</f>
        <v>3.9139726027397246</v>
      </c>
      <c r="H6">
        <f>Calcs!H6</f>
        <v>7.8279452054794492</v>
      </c>
      <c r="I6">
        <f>Calcs!I6</f>
        <v>11.741917808219176</v>
      </c>
      <c r="J6">
        <f>Calcs!J6</f>
        <v>11.741917808219178</v>
      </c>
      <c r="K6">
        <f>Calcs!K6</f>
        <v>11.741917808219176</v>
      </c>
      <c r="L6">
        <f>Calcs!L6</f>
        <v>11.741917808219176</v>
      </c>
      <c r="M6">
        <f>Calcs!M6</f>
        <v>11.741917808219176</v>
      </c>
      <c r="N6">
        <f>Calcs!N6</f>
        <v>6.2623561643835615</v>
      </c>
      <c r="O6">
        <f>Calcs!O6</f>
        <v>1.5655890410958901</v>
      </c>
      <c r="P6">
        <f>Calcs!P6</f>
        <v>0</v>
      </c>
    </row>
    <row r="7" spans="1:16" ht="15" customHeight="1" x14ac:dyDescent="0.45">
      <c r="A7"/>
      <c r="B7" s="16" t="s">
        <v>127</v>
      </c>
      <c r="D7">
        <f ca="1">SUM(D4:D6)</f>
        <v>0</v>
      </c>
      <c r="E7">
        <f t="shared" ref="E7:P7" ca="1" si="2">SUM(E4:E6)</f>
        <v>0</v>
      </c>
      <c r="F7">
        <f t="shared" ca="1" si="2"/>
        <v>340.24270058708419</v>
      </c>
      <c r="G7">
        <f t="shared" ca="1" si="2"/>
        <v>339.38180789504366</v>
      </c>
      <c r="H7">
        <f t="shared" ca="1" si="2"/>
        <v>460.08290916766634</v>
      </c>
      <c r="I7">
        <f t="shared" ca="1" si="2"/>
        <v>561.09794990274372</v>
      </c>
      <c r="J7">
        <f t="shared" ca="1" si="2"/>
        <v>557.77677293543525</v>
      </c>
      <c r="K7">
        <f t="shared" ca="1" si="2"/>
        <v>313.17590374149188</v>
      </c>
      <c r="L7">
        <f t="shared" ca="1" si="2"/>
        <v>88.546509589040681</v>
      </c>
      <c r="M7">
        <f t="shared" ca="1" si="2"/>
        <v>88.546509589040738</v>
      </c>
      <c r="N7">
        <f t="shared" ca="1" si="2"/>
        <v>47.257471780821575</v>
      </c>
      <c r="O7">
        <f t="shared" ca="1" si="2"/>
        <v>11.866867945205133</v>
      </c>
      <c r="P7">
        <f t="shared" ca="1" si="2"/>
        <v>6.9999999999652118E-2</v>
      </c>
    </row>
    <row r="8" spans="1:16" ht="15" customHeight="1" x14ac:dyDescent="0.45">
      <c r="A8"/>
    </row>
    <row r="9" spans="1:16" ht="15" customHeight="1" x14ac:dyDescent="0.45">
      <c r="A9"/>
      <c r="B9" s="16" t="s">
        <v>129</v>
      </c>
      <c r="D9">
        <f>Depletion!D25</f>
        <v>180</v>
      </c>
      <c r="E9">
        <f>Depletion!E25</f>
        <v>1415</v>
      </c>
      <c r="F9">
        <f>Depletion!F25</f>
        <v>2142</v>
      </c>
      <c r="G9">
        <f>Depletion!G25</f>
        <v>2034.9</v>
      </c>
      <c r="H9">
        <f>Depletion!H25</f>
        <v>1820.7000000000003</v>
      </c>
      <c r="I9">
        <f>Depletion!I25</f>
        <v>1499.4000000000003</v>
      </c>
      <c r="J9">
        <f>Depletion!J25</f>
        <v>1178.1000000000004</v>
      </c>
      <c r="K9">
        <f>Depletion!K25</f>
        <v>856.80000000000041</v>
      </c>
      <c r="L9">
        <f>Depletion!L25</f>
        <v>535.50000000000045</v>
      </c>
      <c r="M9">
        <f>Depletion!M25</f>
        <v>214.2000000000005</v>
      </c>
      <c r="N9">
        <f>Depletion!N25</f>
        <v>42.840000000000487</v>
      </c>
      <c r="O9">
        <f>Depletion!O25</f>
        <v>4.9027448767446913E-13</v>
      </c>
      <c r="P9">
        <f>Depletion!P25</f>
        <v>4.9027448767446913E-13</v>
      </c>
    </row>
    <row r="10" spans="1:16" ht="15" customHeight="1" x14ac:dyDescent="0.45">
      <c r="B10" s="16" t="s">
        <v>66</v>
      </c>
      <c r="D10">
        <f ca="1">Depletion!D34</f>
        <v>226.50847609707336</v>
      </c>
      <c r="E10">
        <f ca="1">Depletion!E34</f>
        <v>269.63820659883567</v>
      </c>
      <c r="F10">
        <f ca="1">Depletion!F34</f>
        <v>336.54334932097811</v>
      </c>
      <c r="G10">
        <f ca="1">Depletion!G34</f>
        <v>319.71618185492923</v>
      </c>
      <c r="H10">
        <f ca="1">Depletion!H34</f>
        <v>286.06184692283142</v>
      </c>
      <c r="I10">
        <f ca="1">Depletion!I34</f>
        <v>235.58034452468473</v>
      </c>
      <c r="J10">
        <f ca="1">Depletion!J34</f>
        <v>185.09884212653802</v>
      </c>
      <c r="K10">
        <f ca="1">Depletion!K34</f>
        <v>134.6173397283913</v>
      </c>
      <c r="L10">
        <f ca="1">Depletion!L34</f>
        <v>84.135837330244584</v>
      </c>
      <c r="M10">
        <f ca="1">Depletion!M34</f>
        <v>33.654334932097875</v>
      </c>
      <c r="N10">
        <f ca="1">Depletion!N34</f>
        <v>6.730866986419624</v>
      </c>
      <c r="O10">
        <f ca="1">Depletion!O34</f>
        <v>6.2172489379008766E-14</v>
      </c>
      <c r="P10">
        <f ca="1">Depletion!P34</f>
        <v>6.2172489379008766E-14</v>
      </c>
    </row>
    <row r="11" spans="1:16" ht="15" customHeight="1" x14ac:dyDescent="0.45">
      <c r="A11"/>
      <c r="B11" s="16" t="s">
        <v>130</v>
      </c>
      <c r="D11">
        <f>Depletion!D43</f>
        <v>37.191199292648413</v>
      </c>
      <c r="E11">
        <f>Depletion!E43</f>
        <v>37.191199292648413</v>
      </c>
      <c r="F11">
        <f>Depletion!F43</f>
        <v>37.191199292648413</v>
      </c>
      <c r="G11">
        <f>Depletion!G43</f>
        <v>35.331639328015996</v>
      </c>
      <c r="H11">
        <f>Depletion!H43</f>
        <v>31.612519398751154</v>
      </c>
      <c r="I11">
        <f>Depletion!I43</f>
        <v>26.033839504853894</v>
      </c>
      <c r="J11">
        <f>Depletion!J43</f>
        <v>20.455159610956631</v>
      </c>
      <c r="K11">
        <f>Depletion!K43</f>
        <v>14.876479717059372</v>
      </c>
      <c r="L11">
        <f>Depletion!L43</f>
        <v>9.2977998231621104</v>
      </c>
      <c r="M11">
        <f>Depletion!M43</f>
        <v>3.7191199292648491</v>
      </c>
      <c r="N11">
        <f>Depletion!N43</f>
        <v>0.74382398585297604</v>
      </c>
      <c r="O11">
        <f>Depletion!O43</f>
        <v>7.7715611723760958E-15</v>
      </c>
      <c r="P11">
        <f>Depletion!P43</f>
        <v>7.7715611723760958E-15</v>
      </c>
    </row>
    <row r="12" spans="1:16" ht="15" customHeight="1" x14ac:dyDescent="0.45">
      <c r="A12"/>
      <c r="B12" s="16" t="s">
        <v>131</v>
      </c>
      <c r="D12">
        <f ca="1">SUM(D7,D9:D11)</f>
        <v>443.69967538972179</v>
      </c>
      <c r="E12">
        <f t="shared" ref="E12:P12" ca="1" si="3">SUM(E7,E9:E11)</f>
        <v>1721.8294058914842</v>
      </c>
      <c r="F12">
        <f t="shared" ca="1" si="3"/>
        <v>2855.9772492007105</v>
      </c>
      <c r="G12">
        <f t="shared" ca="1" si="3"/>
        <v>2729.329629077989</v>
      </c>
      <c r="H12">
        <f t="shared" ca="1" si="3"/>
        <v>2598.4572754892497</v>
      </c>
      <c r="I12">
        <f t="shared" ca="1" si="3"/>
        <v>2322.1121339322826</v>
      </c>
      <c r="J12">
        <f t="shared" ca="1" si="3"/>
        <v>1941.4307746729303</v>
      </c>
      <c r="K12">
        <f t="shared" ca="1" si="3"/>
        <v>1319.4697231869429</v>
      </c>
      <c r="L12">
        <f t="shared" ca="1" si="3"/>
        <v>717.4801467424478</v>
      </c>
      <c r="M12">
        <f t="shared" ca="1" si="3"/>
        <v>340.11996445040393</v>
      </c>
      <c r="N12">
        <f t="shared" ca="1" si="3"/>
        <v>97.572162753094659</v>
      </c>
      <c r="O12">
        <f t="shared" ca="1" si="3"/>
        <v>11.866867945205692</v>
      </c>
      <c r="P12">
        <f t="shared" ca="1" si="3"/>
        <v>7.0000000000212337E-2</v>
      </c>
    </row>
    <row r="13" spans="1:16" ht="15" customHeight="1" x14ac:dyDescent="0.45">
      <c r="A13"/>
    </row>
    <row r="14" spans="1:16" ht="15" customHeight="1" x14ac:dyDescent="0.45">
      <c r="A14"/>
      <c r="B14" s="16" t="s">
        <v>132</v>
      </c>
      <c r="D14">
        <f>Finance!D25</f>
        <v>0</v>
      </c>
      <c r="E14">
        <f>Finance!E25</f>
        <v>0</v>
      </c>
      <c r="F14">
        <f>Finance!F25</f>
        <v>0</v>
      </c>
      <c r="G14">
        <f ca="1">Finance!G25</f>
        <v>0</v>
      </c>
      <c r="H14">
        <f ca="1">Finance!H25</f>
        <v>0</v>
      </c>
      <c r="I14">
        <f ca="1">Finance!I25</f>
        <v>0</v>
      </c>
      <c r="J14">
        <f ca="1">Finance!J25</f>
        <v>0</v>
      </c>
      <c r="K14">
        <f ca="1">Finance!K25</f>
        <v>0</v>
      </c>
      <c r="L14">
        <f ca="1">Finance!L25</f>
        <v>0</v>
      </c>
      <c r="M14">
        <f ca="1">Finance!M25</f>
        <v>0</v>
      </c>
      <c r="N14">
        <f ca="1">Finance!N25</f>
        <v>0</v>
      </c>
      <c r="O14">
        <f ca="1">Finance!O25</f>
        <v>0</v>
      </c>
      <c r="P14">
        <f ca="1">Finance!P25</f>
        <v>0</v>
      </c>
    </row>
    <row r="15" spans="1:16" ht="15" customHeight="1" x14ac:dyDescent="0.45">
      <c r="A15"/>
      <c r="B15" s="16" t="s">
        <v>122</v>
      </c>
      <c r="D15">
        <f>Calcs!D7</f>
        <v>0</v>
      </c>
      <c r="E15">
        <f>Calcs!E7</f>
        <v>0</v>
      </c>
      <c r="F15">
        <f>Calcs!F7</f>
        <v>0</v>
      </c>
      <c r="G15">
        <f>Calcs!G7</f>
        <v>11.741917808219174</v>
      </c>
      <c r="H15">
        <f>Calcs!H7</f>
        <v>23.483835616438348</v>
      </c>
      <c r="I15">
        <f>Calcs!I7</f>
        <v>35.225753424657526</v>
      </c>
      <c r="J15">
        <f>Calcs!J7</f>
        <v>35.225753424657533</v>
      </c>
      <c r="K15">
        <f>Calcs!K7</f>
        <v>35.225753424657526</v>
      </c>
      <c r="L15">
        <f>Calcs!L7</f>
        <v>35.225753424657526</v>
      </c>
      <c r="M15">
        <f>Calcs!M7</f>
        <v>35.225753424657526</v>
      </c>
      <c r="N15">
        <f>Calcs!N7</f>
        <v>18.787068493150684</v>
      </c>
      <c r="O15">
        <f>Calcs!O7</f>
        <v>4.6967671232876702</v>
      </c>
      <c r="P15">
        <f>Calcs!P7</f>
        <v>0</v>
      </c>
    </row>
    <row r="16" spans="1:16" ht="15" customHeight="1" x14ac:dyDescent="0.45">
      <c r="A16"/>
      <c r="B16" s="16" t="s">
        <v>134</v>
      </c>
      <c r="D16">
        <f>SUM(D14:D15)</f>
        <v>0</v>
      </c>
      <c r="E16">
        <f t="shared" ref="E16:P16" si="4">SUM(E14:E15)</f>
        <v>0</v>
      </c>
      <c r="F16">
        <f t="shared" si="4"/>
        <v>0</v>
      </c>
      <c r="G16">
        <f t="shared" ca="1" si="4"/>
        <v>11.741917808219174</v>
      </c>
      <c r="H16">
        <f t="shared" ca="1" si="4"/>
        <v>23.483835616438348</v>
      </c>
      <c r="I16">
        <f t="shared" ca="1" si="4"/>
        <v>35.225753424657526</v>
      </c>
      <c r="J16">
        <f t="shared" ca="1" si="4"/>
        <v>35.225753424657533</v>
      </c>
      <c r="K16">
        <f t="shared" ca="1" si="4"/>
        <v>35.225753424657526</v>
      </c>
      <c r="L16">
        <f t="shared" ca="1" si="4"/>
        <v>35.225753424657526</v>
      </c>
      <c r="M16">
        <f t="shared" ca="1" si="4"/>
        <v>35.225753424657526</v>
      </c>
      <c r="N16">
        <f t="shared" ca="1" si="4"/>
        <v>18.787068493150684</v>
      </c>
      <c r="O16">
        <f t="shared" ca="1" si="4"/>
        <v>4.6967671232876702</v>
      </c>
      <c r="P16">
        <f t="shared" ca="1" si="4"/>
        <v>0</v>
      </c>
    </row>
    <row r="17" spans="1:16" ht="15" customHeight="1" x14ac:dyDescent="0.45">
      <c r="A17"/>
    </row>
    <row r="18" spans="1:16" ht="15" customHeight="1" x14ac:dyDescent="0.45">
      <c r="A18"/>
      <c r="B18" s="16" t="s">
        <v>176</v>
      </c>
      <c r="D18">
        <f ca="1">Finance!D43</f>
        <v>267.23173980489071</v>
      </c>
      <c r="E18">
        <f ca="1">Finance!E43</f>
        <v>1105.9854964753349</v>
      </c>
      <c r="F18">
        <f ca="1">Finance!F43</f>
        <v>1850</v>
      </c>
      <c r="G18">
        <f ca="1">Finance!G43</f>
        <v>1760.7568575031187</v>
      </c>
      <c r="H18">
        <f ca="1">Finance!H43</f>
        <v>1518.1138332868888</v>
      </c>
      <c r="I18">
        <f ca="1">Finance!I43</f>
        <v>1108.5660491510109</v>
      </c>
      <c r="J18">
        <f ca="1">Finance!J43</f>
        <v>671.61829573502905</v>
      </c>
      <c r="K18">
        <f ca="1">Finance!K43</f>
        <v>220.22489622789323</v>
      </c>
      <c r="L18">
        <f ca="1">Finance!L43</f>
        <v>0</v>
      </c>
      <c r="M18">
        <f ca="1">Finance!M43</f>
        <v>0</v>
      </c>
      <c r="N18">
        <f ca="1">Finance!N43</f>
        <v>0</v>
      </c>
      <c r="O18">
        <f ca="1">Finance!O43</f>
        <v>0</v>
      </c>
      <c r="P18">
        <f ca="1">Finance!P43</f>
        <v>0</v>
      </c>
    </row>
    <row r="19" spans="1:16" ht="15" customHeight="1" x14ac:dyDescent="0.45">
      <c r="A19"/>
      <c r="B19" s="16" t="s">
        <v>74</v>
      </c>
      <c r="D19">
        <f>Depletion!D49</f>
        <v>37.191199292648413</v>
      </c>
      <c r="E19">
        <f>Depletion!E49</f>
        <v>39.422671250207316</v>
      </c>
      <c r="F19">
        <f>Depletion!F49</f>
        <v>41.788031525219758</v>
      </c>
      <c r="G19">
        <f>Depletion!G49</f>
        <v>44.295313416732945</v>
      </c>
      <c r="H19">
        <f>Depletion!H49</f>
        <v>46.953032221736919</v>
      </c>
      <c r="I19">
        <f>Depletion!I49</f>
        <v>49.770214155041131</v>
      </c>
      <c r="J19">
        <f>Depletion!J49</f>
        <v>52.7564270043436</v>
      </c>
      <c r="K19">
        <f>Depletion!K49</f>
        <v>55.921812624604215</v>
      </c>
      <c r="L19">
        <f>Depletion!L49</f>
        <v>59.277121382080466</v>
      </c>
      <c r="M19">
        <f>Depletion!M49</f>
        <v>62.833748665005295</v>
      </c>
      <c r="N19">
        <f>Depletion!N49</f>
        <v>56.603773584905611</v>
      </c>
      <c r="O19">
        <f>Depletion!O49</f>
        <v>0</v>
      </c>
      <c r="P19">
        <f>Depletion!P49</f>
        <v>0</v>
      </c>
    </row>
    <row r="20" spans="1:16" ht="15" customHeight="1" x14ac:dyDescent="0.45">
      <c r="A20"/>
      <c r="B20" s="16" t="s">
        <v>135</v>
      </c>
      <c r="D20">
        <f ca="1">SUM(D16,D18:D19)</f>
        <v>304.42293909753914</v>
      </c>
      <c r="E20">
        <f t="shared" ref="E20:P20" ca="1" si="5">SUM(E16,E18:E19)</f>
        <v>1145.4081677255422</v>
      </c>
      <c r="F20">
        <f t="shared" ca="1" si="5"/>
        <v>1891.7880315252198</v>
      </c>
      <c r="G20">
        <f t="shared" ca="1" si="5"/>
        <v>1816.7940887280708</v>
      </c>
      <c r="H20">
        <f t="shared" ca="1" si="5"/>
        <v>1588.5507011250643</v>
      </c>
      <c r="I20">
        <f t="shared" ca="1" si="5"/>
        <v>1193.5620167307097</v>
      </c>
      <c r="J20">
        <f t="shared" ca="1" si="5"/>
        <v>759.60047616403017</v>
      </c>
      <c r="K20">
        <f t="shared" ca="1" si="5"/>
        <v>311.37246227715497</v>
      </c>
      <c r="L20">
        <f t="shared" ca="1" si="5"/>
        <v>94.502874806737992</v>
      </c>
      <c r="M20">
        <f t="shared" ca="1" si="5"/>
        <v>98.059502089662828</v>
      </c>
      <c r="N20">
        <f t="shared" ca="1" si="5"/>
        <v>75.390842078056295</v>
      </c>
      <c r="O20">
        <f t="shared" ca="1" si="5"/>
        <v>4.6967671232876702</v>
      </c>
      <c r="P20">
        <f t="shared" ca="1" si="5"/>
        <v>0</v>
      </c>
    </row>
    <row r="21" spans="1:16" ht="15" customHeight="1" x14ac:dyDescent="0.45">
      <c r="A21"/>
    </row>
    <row r="22" spans="1:16" ht="15" customHeight="1" x14ac:dyDescent="0.45">
      <c r="A22"/>
      <c r="B22" s="16" t="s">
        <v>138</v>
      </c>
      <c r="D22">
        <f ca="1">Calcs!D15</f>
        <v>139.27673629218265</v>
      </c>
      <c r="E22">
        <f ca="1">Calcs!E15</f>
        <v>576.42123816594187</v>
      </c>
      <c r="F22">
        <f ca="1">Calcs!F15</f>
        <v>964.18921767549091</v>
      </c>
      <c r="G22">
        <f ca="1">Calcs!G15</f>
        <v>912.53554034991805</v>
      </c>
      <c r="H22">
        <f ca="1">Calcs!H15</f>
        <v>1009.9065743641847</v>
      </c>
      <c r="I22">
        <f ca="1">Calcs!I15</f>
        <v>1128.5501172015727</v>
      </c>
      <c r="J22">
        <f ca="1">Calcs!J15</f>
        <v>1181.8302985088994</v>
      </c>
      <c r="K22">
        <f ca="1">Calcs!K15</f>
        <v>1008.0972609097876</v>
      </c>
      <c r="L22">
        <f ca="1">Calcs!L15</f>
        <v>622.97727193570961</v>
      </c>
      <c r="M22">
        <f ca="1">Calcs!M15</f>
        <v>242.06046236074087</v>
      </c>
      <c r="N22">
        <f ca="1">Calcs!N15</f>
        <v>22.18132067503808</v>
      </c>
      <c r="O22">
        <f ca="1">Calcs!O15</f>
        <v>7.1701008219177815</v>
      </c>
      <c r="P22">
        <f ca="1">Calcs!P15</f>
        <v>6.9999999999970974E-2</v>
      </c>
    </row>
    <row r="23" spans="1:16" ht="15" customHeight="1" x14ac:dyDescent="0.45">
      <c r="A23"/>
      <c r="B23" s="16" t="s">
        <v>145</v>
      </c>
      <c r="D23">
        <f ca="1">D20+D22</f>
        <v>443.69967538972179</v>
      </c>
      <c r="E23">
        <f t="shared" ref="E23:P23" ca="1" si="6">E20+E22</f>
        <v>1721.8294058914839</v>
      </c>
      <c r="F23">
        <f t="shared" ca="1" si="6"/>
        <v>2855.9772492007105</v>
      </c>
      <c r="G23">
        <f t="shared" ca="1" si="6"/>
        <v>2729.329629077989</v>
      </c>
      <c r="H23">
        <f t="shared" ca="1" si="6"/>
        <v>2598.4572754892488</v>
      </c>
      <c r="I23">
        <f t="shared" ca="1" si="6"/>
        <v>2322.1121339322826</v>
      </c>
      <c r="J23">
        <f t="shared" ca="1" si="6"/>
        <v>1941.4307746729296</v>
      </c>
      <c r="K23">
        <f t="shared" ca="1" si="6"/>
        <v>1319.4697231869425</v>
      </c>
      <c r="L23">
        <f t="shared" ca="1" si="6"/>
        <v>717.48014674244757</v>
      </c>
      <c r="M23">
        <f t="shared" ca="1" si="6"/>
        <v>340.1199644504037</v>
      </c>
      <c r="N23">
        <f t="shared" ca="1" si="6"/>
        <v>97.572162753094375</v>
      </c>
      <c r="O23">
        <f t="shared" ca="1" si="6"/>
        <v>11.866867945205453</v>
      </c>
      <c r="P23">
        <f t="shared" ca="1" si="6"/>
        <v>6.9999999999970974E-2</v>
      </c>
    </row>
    <row r="24" spans="1:16" ht="15" customHeight="1" x14ac:dyDescent="0.45">
      <c r="B24"/>
    </row>
    <row r="25" spans="1:16" ht="15" customHeight="1" x14ac:dyDescent="0.45">
      <c r="A25"/>
      <c r="B25" s="16" t="s">
        <v>146</v>
      </c>
      <c r="C25" s="66"/>
      <c r="D25" s="66" t="str">
        <f ca="1">IF(ROUND(D12,2)=ROUND(D23,2),"OK",D12-D23)</f>
        <v>OK</v>
      </c>
      <c r="E25" s="66" t="str">
        <f t="shared" ref="E25:P25" ca="1" si="7">IF(ROUND(E12,2)=ROUND(E23,2),"OK",E12-E23)</f>
        <v>OK</v>
      </c>
      <c r="F25" s="66" t="str">
        <f t="shared" ca="1" si="7"/>
        <v>OK</v>
      </c>
      <c r="G25" s="66" t="str">
        <f t="shared" ca="1" si="7"/>
        <v>OK</v>
      </c>
      <c r="H25" s="66" t="str">
        <f t="shared" ca="1" si="7"/>
        <v>OK</v>
      </c>
      <c r="I25" s="66" t="str">
        <f t="shared" ca="1" si="7"/>
        <v>OK</v>
      </c>
      <c r="J25" s="66" t="str">
        <f t="shared" ca="1" si="7"/>
        <v>OK</v>
      </c>
      <c r="K25" s="66" t="str">
        <f t="shared" ca="1" si="7"/>
        <v>OK</v>
      </c>
      <c r="L25" s="66" t="str">
        <f t="shared" ca="1" si="7"/>
        <v>OK</v>
      </c>
      <c r="M25" s="66" t="str">
        <f t="shared" ca="1" si="7"/>
        <v>OK</v>
      </c>
      <c r="N25" s="66" t="str">
        <f t="shared" ca="1" si="7"/>
        <v>OK</v>
      </c>
      <c r="O25" s="66" t="str">
        <f t="shared" ca="1" si="7"/>
        <v>OK</v>
      </c>
      <c r="P25" s="66" t="str">
        <f t="shared" ca="1" si="7"/>
        <v>OK</v>
      </c>
    </row>
    <row r="26" spans="1:16" ht="15" customHeight="1" x14ac:dyDescent="0.45">
      <c r="A26"/>
      <c r="E26" t="e">
        <f ca="1">[1]!FR(D26)</f>
        <v>#NAME?</v>
      </c>
    </row>
    <row r="27" spans="1:16" ht="15" customHeight="1" x14ac:dyDescent="0.45">
      <c r="A27"/>
    </row>
    <row r="28" spans="1:16" ht="15" customHeight="1" x14ac:dyDescent="0.45">
      <c r="A28"/>
    </row>
    <row r="29" spans="1:16" ht="15" customHeight="1" x14ac:dyDescent="0.45">
      <c r="A2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48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C83032-F7F9-48FD-AA70-9FCA8E899EE2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322E7BAE-298E-483C-9BCA-6D044CE144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8CCBF1-413E-4DA7-98F6-163F0344892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Welcome</vt:lpstr>
      <vt:lpstr>Info</vt:lpstr>
      <vt:lpstr>S&amp;U</vt:lpstr>
      <vt:lpstr>Finance</vt:lpstr>
      <vt:lpstr>Revenues</vt:lpstr>
      <vt:lpstr>Calcs</vt:lpstr>
      <vt:lpstr>Depletion</vt:lpstr>
      <vt:lpstr>IS</vt:lpstr>
      <vt:lpstr>BS</vt:lpstr>
      <vt:lpstr>CFS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Juan F. Cabrera</cp:lastModifiedBy>
  <cp:lastPrinted>2018-11-06T19:46:38Z</cp:lastPrinted>
  <dcterms:created xsi:type="dcterms:W3CDTF">2016-02-03T14:06:14Z</dcterms:created>
  <dcterms:modified xsi:type="dcterms:W3CDTF">2026-01-29T18:52:56Z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