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8000 Project Finance/8090 Building a Full Project Finance Model/20. Main Model - Wiring Up the Debt Lines/"/>
    </mc:Choice>
  </mc:AlternateContent>
  <xr:revisionPtr revIDLastSave="0" documentId="13_ncr:1_{90E1AB12-4035-4E48-AE9E-BAEBBE21DF31}" xr6:coauthVersionLast="47" xr6:coauthVersionMax="47" xr10:uidLastSave="{00000000-0000-0000-0000-000000000000}"/>
  <bookViews>
    <workbookView xWindow="-98" yWindow="-98" windowWidth="21795" windowHeight="13875" activeTab="3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definedNames>
    <definedName name="switch">Info!$N$10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" i="15" l="1"/>
  <c r="I40" i="15" l="1"/>
  <c r="J40" i="15"/>
  <c r="K40" i="15"/>
  <c r="L40" i="15"/>
  <c r="M40" i="15"/>
  <c r="N40" i="15"/>
  <c r="O40" i="15"/>
  <c r="P40" i="15"/>
  <c r="C35" i="15"/>
  <c r="C46" i="15"/>
  <c r="G40" i="15"/>
  <c r="D39" i="15"/>
  <c r="C37" i="15"/>
  <c r="H14" i="15" l="1"/>
  <c r="I14" i="15"/>
  <c r="J14" i="15"/>
  <c r="K14" i="15"/>
  <c r="L14" i="15"/>
  <c r="M14" i="15"/>
  <c r="N14" i="15"/>
  <c r="O14" i="15"/>
  <c r="P14" i="15"/>
  <c r="G14" i="15"/>
  <c r="G12" i="15" l="1"/>
  <c r="H12" i="15"/>
  <c r="I12" i="15"/>
  <c r="J12" i="15"/>
  <c r="K12" i="15"/>
  <c r="L12" i="15"/>
  <c r="M12" i="15"/>
  <c r="N12" i="15"/>
  <c r="O12" i="15"/>
  <c r="P12" i="15"/>
  <c r="B12" i="15"/>
  <c r="E56" i="2"/>
  <c r="F56" i="2"/>
  <c r="D56" i="2"/>
  <c r="G20" i="18" l="1"/>
  <c r="H20" i="18"/>
  <c r="I20" i="18"/>
  <c r="J20" i="18"/>
  <c r="K20" i="18"/>
  <c r="L20" i="18"/>
  <c r="M20" i="18"/>
  <c r="N20" i="18"/>
  <c r="O20" i="18"/>
  <c r="P20" i="18"/>
  <c r="E21" i="18"/>
  <c r="F21" i="18"/>
  <c r="D24" i="18"/>
  <c r="D21" i="18"/>
  <c r="E4" i="18"/>
  <c r="F4" i="18"/>
  <c r="E5" i="18"/>
  <c r="F5" i="18"/>
  <c r="E6" i="18"/>
  <c r="F6" i="18"/>
  <c r="E7" i="18"/>
  <c r="F7" i="18"/>
  <c r="D8" i="18"/>
  <c r="D7" i="18"/>
  <c r="D6" i="18"/>
  <c r="D5" i="18"/>
  <c r="D4" i="18"/>
  <c r="E5" i="16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D9" i="18" l="1"/>
  <c r="P6" i="12" l="1"/>
  <c r="P9" i="12"/>
  <c r="P48" i="12"/>
  <c r="P5" i="11"/>
  <c r="P14" i="11"/>
  <c r="P15" i="11"/>
  <c r="P16" i="11"/>
  <c r="Q33" i="2"/>
  <c r="Q30" i="2"/>
  <c r="P8" i="18" l="1"/>
  <c r="P9" i="15" s="1"/>
  <c r="P11" i="15"/>
  <c r="P10" i="11"/>
  <c r="P5" i="14" s="1"/>
  <c r="B9" i="15"/>
  <c r="B11" i="15"/>
  <c r="B10" i="15"/>
  <c r="B8" i="15"/>
  <c r="C21" i="15" l="1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l="1"/>
  <c r="F42" i="15"/>
  <c r="G16" i="11"/>
  <c r="H4" i="15" l="1"/>
  <c r="G42" i="15"/>
  <c r="H11" i="15"/>
  <c r="I11" i="15"/>
  <c r="J11" i="15"/>
  <c r="K11" i="15"/>
  <c r="L11" i="15"/>
  <c r="M11" i="15"/>
  <c r="N11" i="15"/>
  <c r="O11" i="15"/>
  <c r="G11" i="15"/>
  <c r="E8" i="17"/>
  <c r="D8" i="17"/>
  <c r="C28" i="15"/>
  <c r="H14" i="2"/>
  <c r="C20" i="15" l="1"/>
  <c r="I4" i="15"/>
  <c r="H42" i="15"/>
  <c r="D11" i="18"/>
  <c r="E11" i="18"/>
  <c r="D9" i="2"/>
  <c r="E9" i="2"/>
  <c r="D23" i="15"/>
  <c r="E12" i="17"/>
  <c r="F12" i="17"/>
  <c r="D12" i="17"/>
  <c r="D11" i="17"/>
  <c r="H48" i="12"/>
  <c r="H8" i="18" s="1"/>
  <c r="I48" i="12"/>
  <c r="I8" i="18" s="1"/>
  <c r="J48" i="12"/>
  <c r="J8" i="18" s="1"/>
  <c r="K48" i="12"/>
  <c r="K8" i="18" s="1"/>
  <c r="L48" i="12"/>
  <c r="L8" i="18" s="1"/>
  <c r="M48" i="12"/>
  <c r="M8" i="18" s="1"/>
  <c r="N48" i="12"/>
  <c r="N8" i="18" s="1"/>
  <c r="O48" i="12"/>
  <c r="O8" i="18" s="1"/>
  <c r="F48" i="12"/>
  <c r="F8" i="18" s="1"/>
  <c r="F9" i="18" s="1"/>
  <c r="G48" i="12"/>
  <c r="G8" i="18" s="1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E47" i="2"/>
  <c r="E6" i="2" s="1"/>
  <c r="F47" i="2"/>
  <c r="F6" i="2" s="1"/>
  <c r="F14" i="18" s="1"/>
  <c r="D47" i="2"/>
  <c r="D6" i="2" s="1"/>
  <c r="D14" i="18" s="1"/>
  <c r="H40" i="15" l="1"/>
  <c r="C36" i="15"/>
  <c r="F10" i="2"/>
  <c r="F55" i="15" s="1"/>
  <c r="G52" i="15" s="1"/>
  <c r="J4" i="15"/>
  <c r="I42" i="15"/>
  <c r="E8" i="18"/>
  <c r="E9" i="18" s="1"/>
  <c r="E12" i="18" s="1"/>
  <c r="E14" i="18"/>
  <c r="D12" i="18"/>
  <c r="M9" i="15"/>
  <c r="L9" i="15"/>
  <c r="H9" i="15"/>
  <c r="N9" i="15"/>
  <c r="J9" i="15"/>
  <c r="G9" i="15"/>
  <c r="I9" i="15"/>
  <c r="O9" i="15"/>
  <c r="K9" i="15"/>
  <c r="D23" i="12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K4" i="15" l="1"/>
  <c r="J42" i="15"/>
  <c r="E22" i="12"/>
  <c r="E25" i="12" s="1"/>
  <c r="E9" i="16" s="1"/>
  <c r="H12" i="12"/>
  <c r="I12" i="12" s="1"/>
  <c r="J12" i="12" s="1"/>
  <c r="K12" i="12" s="1"/>
  <c r="F22" i="12"/>
  <c r="F25" i="12" s="1"/>
  <c r="F9" i="16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L4" i="15" l="1"/>
  <c r="K42" i="15"/>
  <c r="P11" i="1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M4" i="15" l="1"/>
  <c r="L42" i="15"/>
  <c r="P18" i="1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N4" i="15" l="1"/>
  <c r="M42" i="15"/>
  <c r="P5" i="17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F54" i="2" s="1"/>
  <c r="N12" i="12"/>
  <c r="A2" i="2"/>
  <c r="O4" i="15" l="1"/>
  <c r="N42" i="15"/>
  <c r="P21" i="1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5" i="18" s="1"/>
  <c r="G42" i="12"/>
  <c r="I13" i="12"/>
  <c r="H14" i="12"/>
  <c r="H15" i="12" s="1"/>
  <c r="H16" i="12" s="1"/>
  <c r="F49" i="12"/>
  <c r="F19" i="16" s="1"/>
  <c r="O12" i="12"/>
  <c r="P12" i="12" s="1"/>
  <c r="A1" i="6"/>
  <c r="O42" i="15" l="1"/>
  <c r="P4" i="15"/>
  <c r="P42" i="15" s="1"/>
  <c r="G12" i="14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G23" i="14" s="1"/>
  <c r="H41" i="12" l="1"/>
  <c r="H43" i="12" s="1"/>
  <c r="H5" i="18"/>
  <c r="H12" i="14"/>
  <c r="H14" i="14" s="1"/>
  <c r="G7" i="18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H11" i="16"/>
  <c r="I5" i="18"/>
  <c r="I12" i="14"/>
  <c r="I14" i="14" s="1"/>
  <c r="I43" i="12"/>
  <c r="H46" i="12"/>
  <c r="H47" i="12" s="1"/>
  <c r="I22" i="12"/>
  <c r="I25" i="12" s="1"/>
  <c r="I9" i="16" s="1"/>
  <c r="J16" i="12"/>
  <c r="K14" i="12"/>
  <c r="K15" i="12" s="1"/>
  <c r="K16" i="12" s="1"/>
  <c r="L13" i="12"/>
  <c r="H7" i="18" l="1"/>
  <c r="H23" i="14"/>
  <c r="J41" i="12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5" i="18"/>
  <c r="K12" i="14"/>
  <c r="K14" i="14" s="1"/>
  <c r="J5" i="18"/>
  <c r="J12" i="14"/>
  <c r="J14" i="14" s="1"/>
  <c r="I46" i="12"/>
  <c r="I47" i="12" s="1"/>
  <c r="M14" i="12"/>
  <c r="M15" i="12" s="1"/>
  <c r="N13" i="12"/>
  <c r="J25" i="12"/>
  <c r="J9" i="16" s="1"/>
  <c r="L16" i="12"/>
  <c r="I7" i="18" l="1"/>
  <c r="I23" i="14"/>
  <c r="K41" i="12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43" i="12" s="1"/>
  <c r="L11" i="16" s="1"/>
  <c r="L5" i="18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L22" i="12"/>
  <c r="L25" i="12" s="1"/>
  <c r="L9" i="16" s="1"/>
  <c r="N42" i="12"/>
  <c r="N24" i="12"/>
  <c r="N11" i="14" s="1"/>
  <c r="M24" i="12"/>
  <c r="M11" i="14" s="1"/>
  <c r="M42" i="12"/>
  <c r="J23" i="14" l="1"/>
  <c r="J7" i="18" s="1"/>
  <c r="N5" i="18"/>
  <c r="N12" i="14"/>
  <c r="N14" i="14" s="1"/>
  <c r="M5" i="18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5" i="18" l="1"/>
  <c r="O12" i="14"/>
  <c r="O14" i="14" s="1"/>
  <c r="P24" i="12"/>
  <c r="P11" i="14" s="1"/>
  <c r="P42" i="12"/>
  <c r="K46" i="12"/>
  <c r="K47" i="12" s="1"/>
  <c r="N22" i="12"/>
  <c r="N25" i="12" s="1"/>
  <c r="N9" i="16" s="1"/>
  <c r="N41" i="12"/>
  <c r="N43" i="12" s="1"/>
  <c r="N11" i="16" s="1"/>
  <c r="K23" i="14" l="1"/>
  <c r="K7" i="18" s="1"/>
  <c r="P5" i="18"/>
  <c r="P12" i="14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L7" i="18" l="1"/>
  <c r="L23" i="14"/>
  <c r="P8" i="17"/>
  <c r="L49" i="12"/>
  <c r="L19" i="16" s="1"/>
  <c r="M46" i="12" l="1"/>
  <c r="M47" i="12" s="1"/>
  <c r="M23" i="14" l="1"/>
  <c r="M7" i="18" s="1"/>
  <c r="M49" i="12"/>
  <c r="M19" i="16" s="1"/>
  <c r="N46" i="12" l="1"/>
  <c r="N47" i="12" s="1"/>
  <c r="N23" i="14" l="1"/>
  <c r="N7" i="18" s="1"/>
  <c r="N49" i="12"/>
  <c r="N19" i="16" s="1"/>
  <c r="O46" i="12" l="1"/>
  <c r="O47" i="12" l="1"/>
  <c r="O23" i="14" s="1"/>
  <c r="O49" i="12" l="1"/>
  <c r="O19" i="16" s="1"/>
  <c r="O7" i="18"/>
  <c r="G6" i="17"/>
  <c r="G6" i="16" s="1"/>
  <c r="G7" i="17"/>
  <c r="G15" i="16" s="1"/>
  <c r="P46" i="12" l="1"/>
  <c r="P47" i="12" s="1"/>
  <c r="P23" i="14" s="1"/>
  <c r="F6" i="17"/>
  <c r="F6" i="16" s="1"/>
  <c r="G8" i="17"/>
  <c r="P49" i="12" l="1"/>
  <c r="P19" i="16" s="1"/>
  <c r="P7" i="18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G11" i="18"/>
  <c r="G10" i="15" s="1"/>
  <c r="F11" i="18"/>
  <c r="F12" i="18" s="1"/>
  <c r="H8" i="17"/>
  <c r="I8" i="17"/>
  <c r="O8" i="17"/>
  <c r="K8" i="17"/>
  <c r="N8" i="17"/>
  <c r="M8" i="17"/>
  <c r="L8" i="17"/>
  <c r="J8" i="17"/>
  <c r="M11" i="18" l="1"/>
  <c r="N11" i="18"/>
  <c r="J11" i="18"/>
  <c r="J10" i="15" s="1"/>
  <c r="P11" i="18"/>
  <c r="P10" i="15" s="1"/>
  <c r="O11" i="18"/>
  <c r="O10" i="15" s="1"/>
  <c r="I11" i="18"/>
  <c r="I10" i="15" s="1"/>
  <c r="H11" i="18"/>
  <c r="H10" i="15" s="1"/>
  <c r="K11" i="18"/>
  <c r="K10" i="15" s="1"/>
  <c r="L11" i="18"/>
  <c r="L10" i="15" s="1"/>
  <c r="N10" i="15"/>
  <c r="M10" i="15"/>
  <c r="D25" i="15" l="1"/>
  <c r="E23" i="15" l="1"/>
  <c r="E25" i="15" s="1"/>
  <c r="D14" i="16"/>
  <c r="D18" i="18" s="1"/>
  <c r="E26" i="15"/>
  <c r="D26" i="15"/>
  <c r="D16" i="16"/>
  <c r="E28" i="15"/>
  <c r="D28" i="15"/>
  <c r="F23" i="15" l="1"/>
  <c r="F25" i="15" s="1"/>
  <c r="E14" i="16"/>
  <c r="F26" i="15"/>
  <c r="E29" i="15"/>
  <c r="E30" i="15" s="1"/>
  <c r="D29" i="15"/>
  <c r="D30" i="15" s="1"/>
  <c r="D7" i="2"/>
  <c r="D15" i="18" s="1"/>
  <c r="E18" i="18" l="1"/>
  <c r="E16" i="16"/>
  <c r="F14" i="16"/>
  <c r="G23" i="15"/>
  <c r="F28" i="15"/>
  <c r="F29" i="15" s="1"/>
  <c r="F30" i="15" s="1"/>
  <c r="E7" i="2"/>
  <c r="E15" i="18" s="1"/>
  <c r="F7" i="2"/>
  <c r="F15" i="18" s="1"/>
  <c r="F18" i="18" l="1"/>
  <c r="F16" i="16"/>
  <c r="C7" i="2"/>
  <c r="D16" i="18"/>
  <c r="E16" i="18"/>
  <c r="F16" i="18"/>
  <c r="D11" i="2"/>
  <c r="E11" i="2"/>
  <c r="F11" i="2"/>
  <c r="C11" i="2" l="1"/>
  <c r="D12" i="2"/>
  <c r="D15" i="2" s="1"/>
  <c r="D40" i="15" s="1"/>
  <c r="F12" i="2" l="1"/>
  <c r="F15" i="2" s="1"/>
  <c r="F40" i="15" s="1"/>
  <c r="C16" i="2"/>
  <c r="E12" i="2"/>
  <c r="E15" i="2" s="1"/>
  <c r="E40" i="15" s="1"/>
  <c r="F16" i="2" l="1"/>
  <c r="F17" i="2" s="1"/>
  <c r="C17" i="2"/>
  <c r="D16" i="2"/>
  <c r="E16" i="2"/>
  <c r="E13" i="17" l="1"/>
  <c r="D13" i="17"/>
  <c r="D17" i="2"/>
  <c r="F13" i="17"/>
  <c r="E17" i="2"/>
  <c r="F20" i="18" l="1"/>
  <c r="D20" i="18"/>
  <c r="D15" i="17"/>
  <c r="E20" i="18"/>
  <c r="D22" i="16" l="1"/>
  <c r="E11" i="17"/>
  <c r="E15" i="17" s="1"/>
  <c r="F11" i="17" l="1"/>
  <c r="F15" i="17" s="1"/>
  <c r="E22" i="16"/>
  <c r="G11" i="17" l="1"/>
  <c r="F22" i="16"/>
  <c r="F55" i="2" l="1"/>
  <c r="F32" i="12" s="1"/>
  <c r="G21" i="18" l="1"/>
  <c r="H21" i="18"/>
  <c r="I21" i="18"/>
  <c r="J21" i="18"/>
  <c r="K21" i="18"/>
  <c r="L21" i="18"/>
  <c r="M21" i="18"/>
  <c r="N21" i="18"/>
  <c r="O21" i="18"/>
  <c r="P21" i="18"/>
  <c r="D42" i="15" l="1"/>
  <c r="E42" i="15"/>
  <c r="E54" i="2" s="1"/>
  <c r="E55" i="2" s="1"/>
  <c r="E32" i="12" s="1"/>
  <c r="D43" i="15" l="1"/>
  <c r="D18" i="16" s="1"/>
  <c r="D54" i="2"/>
  <c r="D55" i="2" s="1"/>
  <c r="E39" i="15"/>
  <c r="E43" i="15" s="1"/>
  <c r="D44" i="15"/>
  <c r="D46" i="15"/>
  <c r="D19" i="18" l="1"/>
  <c r="D22" i="18" s="1"/>
  <c r="D25" i="18" s="1"/>
  <c r="D26" i="18" s="1"/>
  <c r="D20" i="16"/>
  <c r="D23" i="16" s="1"/>
  <c r="E44" i="15"/>
  <c r="E18" i="16"/>
  <c r="D32" i="12"/>
  <c r="D34" i="12" s="1"/>
  <c r="F27" i="12"/>
  <c r="F28" i="12" s="1"/>
  <c r="F39" i="15"/>
  <c r="F43" i="15" s="1"/>
  <c r="F18" i="16" s="1"/>
  <c r="E46" i="15"/>
  <c r="E47" i="15" s="1"/>
  <c r="E48" i="15" s="1"/>
  <c r="F44" i="15"/>
  <c r="D47" i="15"/>
  <c r="D48" i="15" s="1"/>
  <c r="J33" i="12" l="1"/>
  <c r="J17" i="14" s="1"/>
  <c r="G33" i="12"/>
  <c r="G17" i="14" s="1"/>
  <c r="K33" i="12"/>
  <c r="K17" i="14" s="1"/>
  <c r="O33" i="12"/>
  <c r="O17" i="14" s="1"/>
  <c r="H33" i="12"/>
  <c r="H17" i="14" s="1"/>
  <c r="I33" i="12"/>
  <c r="I17" i="14" s="1"/>
  <c r="P33" i="12"/>
  <c r="P17" i="14" s="1"/>
  <c r="L33" i="12"/>
  <c r="L17" i="14" s="1"/>
  <c r="M33" i="12"/>
  <c r="M17" i="14" s="1"/>
  <c r="N33" i="12"/>
  <c r="N17" i="14" s="1"/>
  <c r="E19" i="18"/>
  <c r="E22" i="18" s="1"/>
  <c r="E25" i="18" s="1"/>
  <c r="E26" i="18" s="1"/>
  <c r="E20" i="16"/>
  <c r="E23" i="16" s="1"/>
  <c r="F19" i="18"/>
  <c r="F22" i="18" s="1"/>
  <c r="F25" i="18" s="1"/>
  <c r="F20" i="16"/>
  <c r="F23" i="16" s="1"/>
  <c r="D10" i="16"/>
  <c r="E31" i="12"/>
  <c r="E34" i="12" s="1"/>
  <c r="D4" i="16"/>
  <c r="D7" i="16" s="1"/>
  <c r="E24" i="18"/>
  <c r="G39" i="15"/>
  <c r="F46" i="15"/>
  <c r="F47" i="15" s="1"/>
  <c r="F48" i="15" s="1"/>
  <c r="P6" i="18" l="1"/>
  <c r="P19" i="14"/>
  <c r="E4" i="16"/>
  <c r="E7" i="16" s="1"/>
  <c r="F24" i="18"/>
  <c r="F26" i="18" s="1"/>
  <c r="L6" i="18"/>
  <c r="L19" i="14"/>
  <c r="K6" i="18"/>
  <c r="K19" i="14"/>
  <c r="H6" i="18"/>
  <c r="H19" i="14"/>
  <c r="N6" i="18"/>
  <c r="N19" i="14"/>
  <c r="M6" i="18"/>
  <c r="M19" i="14"/>
  <c r="I19" i="14"/>
  <c r="I6" i="18"/>
  <c r="E10" i="16"/>
  <c r="E12" i="16" s="1"/>
  <c r="E25" i="16" s="1"/>
  <c r="F31" i="12"/>
  <c r="F34" i="12" s="1"/>
  <c r="O6" i="18"/>
  <c r="O19" i="14"/>
  <c r="D12" i="16"/>
  <c r="D25" i="16" s="1"/>
  <c r="G6" i="18"/>
  <c r="G19" i="14"/>
  <c r="J6" i="18"/>
  <c r="J19" i="14"/>
  <c r="F4" i="16" l="1"/>
  <c r="F7" i="16" s="1"/>
  <c r="G24" i="18"/>
  <c r="H7" i="15"/>
  <c r="H24" i="14"/>
  <c r="L7" i="15"/>
  <c r="L24" i="14"/>
  <c r="O7" i="15"/>
  <c r="O24" i="14"/>
  <c r="K7" i="15"/>
  <c r="K24" i="14"/>
  <c r="G31" i="12"/>
  <c r="G34" i="12" s="1"/>
  <c r="F10" i="16"/>
  <c r="F12" i="16" s="1"/>
  <c r="F25" i="16" s="1"/>
  <c r="M7" i="15"/>
  <c r="M24" i="14"/>
  <c r="G7" i="15"/>
  <c r="G24" i="14"/>
  <c r="I7" i="15"/>
  <c r="I24" i="14"/>
  <c r="J7" i="15"/>
  <c r="J24" i="14"/>
  <c r="P7" i="15"/>
  <c r="P24" i="14"/>
  <c r="N7" i="15"/>
  <c r="N24" i="14"/>
  <c r="N26" i="14" l="1"/>
  <c r="N8" i="15" s="1"/>
  <c r="N13" i="15" s="1"/>
  <c r="N15" i="15" s="1"/>
  <c r="H31" i="12"/>
  <c r="H34" i="12" s="1"/>
  <c r="G10" i="16"/>
  <c r="O26" i="14"/>
  <c r="O8" i="15" s="1"/>
  <c r="O13" i="15" s="1"/>
  <c r="O15" i="15" s="1"/>
  <c r="O27" i="14"/>
  <c r="P26" i="14"/>
  <c r="P8" i="15" s="1"/>
  <c r="P13" i="15" s="1"/>
  <c r="P15" i="15" s="1"/>
  <c r="P27" i="14"/>
  <c r="K26" i="14"/>
  <c r="K8" i="15" s="1"/>
  <c r="K13" i="15" s="1"/>
  <c r="K15" i="15" s="1"/>
  <c r="K27" i="14"/>
  <c r="J26" i="14"/>
  <c r="J8" i="15" s="1"/>
  <c r="J13" i="15" s="1"/>
  <c r="J15" i="15" s="1"/>
  <c r="J27" i="14"/>
  <c r="I26" i="14"/>
  <c r="I8" i="15" s="1"/>
  <c r="I13" i="15" s="1"/>
  <c r="I15" i="15" s="1"/>
  <c r="L26" i="14"/>
  <c r="L8" i="15" s="1"/>
  <c r="L13" i="15" s="1"/>
  <c r="L15" i="15" s="1"/>
  <c r="L27" i="14"/>
  <c r="G26" i="14"/>
  <c r="G8" i="15" s="1"/>
  <c r="G13" i="15" s="1"/>
  <c r="G15" i="15" s="1"/>
  <c r="G24" i="15" s="1"/>
  <c r="G25" i="15" s="1"/>
  <c r="G27" i="14"/>
  <c r="H26" i="14"/>
  <c r="H8" i="15" s="1"/>
  <c r="H13" i="15" s="1"/>
  <c r="H15" i="15" s="1"/>
  <c r="H27" i="14"/>
  <c r="M26" i="14"/>
  <c r="M8" i="15" s="1"/>
  <c r="M13" i="15" s="1"/>
  <c r="M15" i="15" s="1"/>
  <c r="M27" i="14"/>
  <c r="J12" i="17" l="1"/>
  <c r="J4" i="18"/>
  <c r="J9" i="18" s="1"/>
  <c r="J12" i="18" s="1"/>
  <c r="O4" i="18"/>
  <c r="O9" i="18" s="1"/>
  <c r="O12" i="18" s="1"/>
  <c r="O12" i="17"/>
  <c r="L12" i="17"/>
  <c r="L4" i="18"/>
  <c r="L9" i="18" s="1"/>
  <c r="L12" i="18" s="1"/>
  <c r="M12" i="17"/>
  <c r="M4" i="18"/>
  <c r="M9" i="18" s="1"/>
  <c r="M12" i="18" s="1"/>
  <c r="K4" i="18"/>
  <c r="K9" i="18" s="1"/>
  <c r="K12" i="18" s="1"/>
  <c r="K12" i="17"/>
  <c r="H12" i="17"/>
  <c r="H4" i="18"/>
  <c r="H9" i="18" s="1"/>
  <c r="H12" i="18" s="1"/>
  <c r="G14" i="16"/>
  <c r="G26" i="15"/>
  <c r="G28" i="15"/>
  <c r="G29" i="15" s="1"/>
  <c r="H23" i="15"/>
  <c r="H10" i="16"/>
  <c r="I31" i="12"/>
  <c r="I34" i="12" s="1"/>
  <c r="P12" i="17"/>
  <c r="P4" i="18"/>
  <c r="P9" i="18" s="1"/>
  <c r="P12" i="18" s="1"/>
  <c r="G4" i="18"/>
  <c r="G9" i="18" s="1"/>
  <c r="G12" i="18" s="1"/>
  <c r="G12" i="17"/>
  <c r="G15" i="17" s="1"/>
  <c r="I27" i="14"/>
  <c r="N27" i="14"/>
  <c r="G30" i="15" l="1"/>
  <c r="G17" i="15" s="1"/>
  <c r="G32" i="15" s="1"/>
  <c r="G41" i="15" s="1"/>
  <c r="N4" i="18"/>
  <c r="N9" i="18" s="1"/>
  <c r="N12" i="18" s="1"/>
  <c r="N12" i="17"/>
  <c r="G18" i="18"/>
  <c r="G16" i="16"/>
  <c r="J31" i="12"/>
  <c r="J34" i="12" s="1"/>
  <c r="I10" i="16"/>
  <c r="I12" i="17"/>
  <c r="I4" i="18"/>
  <c r="I9" i="18" s="1"/>
  <c r="I12" i="18" s="1"/>
  <c r="H24" i="15"/>
  <c r="H11" i="17"/>
  <c r="H15" i="17" s="1"/>
  <c r="G22" i="16"/>
  <c r="K31" i="12" l="1"/>
  <c r="K34" i="12" s="1"/>
  <c r="J10" i="16"/>
  <c r="I11" i="17"/>
  <c r="I15" i="17" s="1"/>
  <c r="H22" i="16"/>
  <c r="H25" i="15"/>
  <c r="G53" i="15"/>
  <c r="G43" i="15"/>
  <c r="H28" i="15" l="1"/>
  <c r="H14" i="16"/>
  <c r="I23" i="15"/>
  <c r="H26" i="15"/>
  <c r="G18" i="16"/>
  <c r="G44" i="15"/>
  <c r="G48" i="15" s="1"/>
  <c r="H39" i="15"/>
  <c r="I22" i="16"/>
  <c r="J11" i="17"/>
  <c r="J15" i="17" s="1"/>
  <c r="L31" i="12"/>
  <c r="L34" i="12" s="1"/>
  <c r="K10" i="16"/>
  <c r="G19" i="18" l="1"/>
  <c r="G22" i="18" s="1"/>
  <c r="G25" i="18" s="1"/>
  <c r="G26" i="18" s="1"/>
  <c r="G20" i="16"/>
  <c r="G23" i="16" s="1"/>
  <c r="H30" i="15"/>
  <c r="H17" i="15" s="1"/>
  <c r="H32" i="15" s="1"/>
  <c r="H41" i="15" s="1"/>
  <c r="L10" i="16"/>
  <c r="M31" i="12"/>
  <c r="M34" i="12" s="1"/>
  <c r="I24" i="15"/>
  <c r="I25" i="15"/>
  <c r="K11" i="17"/>
  <c r="K15" i="17" s="1"/>
  <c r="J22" i="16"/>
  <c r="H18" i="18"/>
  <c r="H16" i="16"/>
  <c r="H29" i="15"/>
  <c r="H53" i="15" l="1"/>
  <c r="H43" i="15"/>
  <c r="K22" i="16"/>
  <c r="L11" i="17"/>
  <c r="L15" i="17" s="1"/>
  <c r="M10" i="16"/>
  <c r="N31" i="12"/>
  <c r="N34" i="12" s="1"/>
  <c r="I28" i="15"/>
  <c r="I29" i="15" s="1"/>
  <c r="I30" i="15" s="1"/>
  <c r="I17" i="15" s="1"/>
  <c r="I32" i="15" s="1"/>
  <c r="I14" i="16"/>
  <c r="J23" i="15"/>
  <c r="I26" i="15"/>
  <c r="G4" i="16"/>
  <c r="G7" i="16" s="1"/>
  <c r="G12" i="16" s="1"/>
  <c r="G25" i="16" s="1"/>
  <c r="H24" i="18"/>
  <c r="N10" i="16" l="1"/>
  <c r="O31" i="12"/>
  <c r="O34" i="12" s="1"/>
  <c r="J24" i="15"/>
  <c r="I18" i="18"/>
  <c r="I16" i="16"/>
  <c r="L22" i="16"/>
  <c r="M11" i="17"/>
  <c r="M15" i="17" s="1"/>
  <c r="H18" i="16"/>
  <c r="I39" i="15"/>
  <c r="I41" i="15" s="1"/>
  <c r="H44" i="15"/>
  <c r="H48" i="15" s="1"/>
  <c r="G50" i="15" s="1"/>
  <c r="G54" i="15" s="1"/>
  <c r="G55" i="15" s="1"/>
  <c r="I43" i="15" l="1"/>
  <c r="I53" i="15"/>
  <c r="H19" i="18"/>
  <c r="H22" i="18" s="1"/>
  <c r="H25" i="18" s="1"/>
  <c r="H26" i="18" s="1"/>
  <c r="H20" i="16"/>
  <c r="H23" i="16" s="1"/>
  <c r="M22" i="16"/>
  <c r="N11" i="17"/>
  <c r="N15" i="17" s="1"/>
  <c r="J25" i="15"/>
  <c r="P31" i="12"/>
  <c r="P34" i="12" s="1"/>
  <c r="P10" i="16" s="1"/>
  <c r="O10" i="16"/>
  <c r="K23" i="15" l="1"/>
  <c r="J14" i="16"/>
  <c r="J28" i="15"/>
  <c r="J26" i="15"/>
  <c r="O11" i="17"/>
  <c r="O15" i="17" s="1"/>
  <c r="N22" i="16"/>
  <c r="H4" i="16"/>
  <c r="H7" i="16" s="1"/>
  <c r="H12" i="16" s="1"/>
  <c r="H25" i="16" s="1"/>
  <c r="I24" i="18"/>
  <c r="I18" i="16"/>
  <c r="J39" i="15"/>
  <c r="I44" i="15"/>
  <c r="I48" i="15" s="1"/>
  <c r="H50" i="15" s="1"/>
  <c r="I19" i="18" l="1"/>
  <c r="I22" i="18" s="1"/>
  <c r="I25" i="18" s="1"/>
  <c r="I20" i="16"/>
  <c r="I23" i="16" s="1"/>
  <c r="P11" i="17"/>
  <c r="P15" i="17" s="1"/>
  <c r="P22" i="16" s="1"/>
  <c r="O22" i="16"/>
  <c r="J29" i="15"/>
  <c r="J30" i="15" s="1"/>
  <c r="J17" i="15" s="1"/>
  <c r="J32" i="15" s="1"/>
  <c r="J41" i="15" s="1"/>
  <c r="J18" i="18"/>
  <c r="J16" i="16"/>
  <c r="I26" i="18"/>
  <c r="K25" i="15"/>
  <c r="K24" i="15"/>
  <c r="J43" i="15" l="1"/>
  <c r="J53" i="15"/>
  <c r="K28" i="15"/>
  <c r="K29" i="15" s="1"/>
  <c r="K14" i="16"/>
  <c r="L23" i="15"/>
  <c r="K26" i="15"/>
  <c r="K30" i="15" s="1"/>
  <c r="K17" i="15" s="1"/>
  <c r="K32" i="15" s="1"/>
  <c r="J24" i="18"/>
  <c r="I4" i="16"/>
  <c r="I7" i="16" s="1"/>
  <c r="I12" i="16" s="1"/>
  <c r="I25" i="16" s="1"/>
  <c r="L24" i="15" l="1"/>
  <c r="L25" i="15" s="1"/>
  <c r="K18" i="18"/>
  <c r="K16" i="16"/>
  <c r="J18" i="16"/>
  <c r="K39" i="15"/>
  <c r="K41" i="15" s="1"/>
  <c r="J44" i="15"/>
  <c r="J48" i="15" s="1"/>
  <c r="I50" i="15" s="1"/>
  <c r="M23" i="15" l="1"/>
  <c r="L14" i="16"/>
  <c r="L28" i="15"/>
  <c r="L26" i="15"/>
  <c r="K43" i="15"/>
  <c r="K53" i="15"/>
  <c r="J19" i="18"/>
  <c r="J22" i="18" s="1"/>
  <c r="J25" i="18" s="1"/>
  <c r="J26" i="18" s="1"/>
  <c r="J20" i="16"/>
  <c r="J23" i="16" s="1"/>
  <c r="J4" i="16" l="1"/>
  <c r="J7" i="16" s="1"/>
  <c r="J12" i="16" s="1"/>
  <c r="J25" i="16" s="1"/>
  <c r="K24" i="18"/>
  <c r="K18" i="16"/>
  <c r="L39" i="15"/>
  <c r="K44" i="15"/>
  <c r="K48" i="15" s="1"/>
  <c r="J50" i="15" s="1"/>
  <c r="L29" i="15"/>
  <c r="L30" i="15" s="1"/>
  <c r="L17" i="15" s="1"/>
  <c r="L32" i="15" s="1"/>
  <c r="L18" i="18"/>
  <c r="L16" i="16"/>
  <c r="M24" i="15"/>
  <c r="M25" i="15" l="1"/>
  <c r="L41" i="15"/>
  <c r="L53" i="15" s="1"/>
  <c r="L43" i="15"/>
  <c r="K19" i="18"/>
  <c r="K22" i="18" s="1"/>
  <c r="K25" i="18" s="1"/>
  <c r="K26" i="18" s="1"/>
  <c r="K20" i="16"/>
  <c r="K23" i="16" s="1"/>
  <c r="K4" i="16" l="1"/>
  <c r="K7" i="16" s="1"/>
  <c r="K12" i="16" s="1"/>
  <c r="K25" i="16" s="1"/>
  <c r="L24" i="18"/>
  <c r="M28" i="15"/>
  <c r="M14" i="16"/>
  <c r="N23" i="15"/>
  <c r="M26" i="15"/>
  <c r="L18" i="16"/>
  <c r="M39" i="15"/>
  <c r="L44" i="15"/>
  <c r="L48" i="15" s="1"/>
  <c r="K50" i="15" s="1"/>
  <c r="M30" i="15" l="1"/>
  <c r="M17" i="15" s="1"/>
  <c r="M32" i="15" s="1"/>
  <c r="M41" i="15" s="1"/>
  <c r="L19" i="18"/>
  <c r="L22" i="18" s="1"/>
  <c r="L25" i="18" s="1"/>
  <c r="L20" i="16"/>
  <c r="L23" i="16" s="1"/>
  <c r="N24" i="15"/>
  <c r="M18" i="18"/>
  <c r="M16" i="16"/>
  <c r="M29" i="15"/>
  <c r="L26" i="18"/>
  <c r="M43" i="15" l="1"/>
  <c r="M53" i="15"/>
  <c r="M24" i="18"/>
  <c r="L4" i="16"/>
  <c r="L7" i="16" s="1"/>
  <c r="L12" i="16" s="1"/>
  <c r="L25" i="16" s="1"/>
  <c r="N25" i="15"/>
  <c r="N28" i="15" l="1"/>
  <c r="N14" i="16"/>
  <c r="O23" i="15"/>
  <c r="N26" i="15"/>
  <c r="M18" i="16"/>
  <c r="N39" i="15"/>
  <c r="M44" i="15"/>
  <c r="M48" i="15" s="1"/>
  <c r="L50" i="15" s="1"/>
  <c r="H52" i="15"/>
  <c r="N29" i="15" l="1"/>
  <c r="H54" i="15"/>
  <c r="H55" i="15"/>
  <c r="I52" i="15" s="1"/>
  <c r="I54" i="15" s="1"/>
  <c r="I55" i="15" s="1"/>
  <c r="J52" i="15" s="1"/>
  <c r="J54" i="15" s="1"/>
  <c r="J55" i="15" s="1"/>
  <c r="K52" i="15" s="1"/>
  <c r="M19" i="18"/>
  <c r="M22" i="18" s="1"/>
  <c r="M25" i="18" s="1"/>
  <c r="M26" i="18" s="1"/>
  <c r="M20" i="16"/>
  <c r="M23" i="16" s="1"/>
  <c r="N30" i="15"/>
  <c r="N17" i="15" s="1"/>
  <c r="N32" i="15" s="1"/>
  <c r="N41" i="15" s="1"/>
  <c r="O24" i="15"/>
  <c r="O25" i="15"/>
  <c r="N18" i="18"/>
  <c r="N16" i="16"/>
  <c r="N43" i="15" l="1"/>
  <c r="N53" i="15"/>
  <c r="O28" i="15"/>
  <c r="O29" i="15" s="1"/>
  <c r="O14" i="16"/>
  <c r="P23" i="15"/>
  <c r="O26" i="15"/>
  <c r="O30" i="15" s="1"/>
  <c r="O17" i="15" s="1"/>
  <c r="O32" i="15" s="1"/>
  <c r="M4" i="16"/>
  <c r="M7" i="16" s="1"/>
  <c r="M12" i="16" s="1"/>
  <c r="M25" i="16" s="1"/>
  <c r="N24" i="18"/>
  <c r="K54" i="15"/>
  <c r="K55" i="15" s="1"/>
  <c r="L52" i="15" s="1"/>
  <c r="L54" i="15" s="1"/>
  <c r="L55" i="15" s="1"/>
  <c r="M52" i="15" s="1"/>
  <c r="P24" i="15" l="1"/>
  <c r="P25" i="15"/>
  <c r="O18" i="18"/>
  <c r="O16" i="16"/>
  <c r="N18" i="16"/>
  <c r="O39" i="15"/>
  <c r="O41" i="15" s="1"/>
  <c r="N44" i="15"/>
  <c r="N48" i="15" s="1"/>
  <c r="M50" i="15" s="1"/>
  <c r="M54" i="15" s="1"/>
  <c r="M55" i="15" s="1"/>
  <c r="N52" i="15" s="1"/>
  <c r="N19" i="18" l="1"/>
  <c r="N22" i="18" s="1"/>
  <c r="N25" i="18" s="1"/>
  <c r="N26" i="18" s="1"/>
  <c r="N20" i="16"/>
  <c r="N23" i="16" s="1"/>
  <c r="O43" i="15"/>
  <c r="O53" i="15"/>
  <c r="P28" i="15"/>
  <c r="P29" i="15" s="1"/>
  <c r="P14" i="16"/>
  <c r="P26" i="15"/>
  <c r="P30" i="15" s="1"/>
  <c r="P17" i="15" s="1"/>
  <c r="P32" i="15" s="1"/>
  <c r="P18" i="18" l="1"/>
  <c r="P16" i="16"/>
  <c r="O18" i="16"/>
  <c r="P39" i="15"/>
  <c r="P41" i="15" s="1"/>
  <c r="O44" i="15"/>
  <c r="O48" i="15" s="1"/>
  <c r="N50" i="15" s="1"/>
  <c r="N54" i="15" s="1"/>
  <c r="N55" i="15" s="1"/>
  <c r="O52" i="15" s="1"/>
  <c r="N4" i="16"/>
  <c r="N7" i="16" s="1"/>
  <c r="N12" i="16" s="1"/>
  <c r="N25" i="16" s="1"/>
  <c r="O24" i="18"/>
  <c r="P43" i="15" l="1"/>
  <c r="P53" i="15"/>
  <c r="O19" i="18"/>
  <c r="O22" i="18" s="1"/>
  <c r="O25" i="18" s="1"/>
  <c r="O26" i="18" s="1"/>
  <c r="O20" i="16"/>
  <c r="O23" i="16" s="1"/>
  <c r="O4" i="16" l="1"/>
  <c r="O7" i="16" s="1"/>
  <c r="O12" i="16" s="1"/>
  <c r="O25" i="16" s="1"/>
  <c r="P24" i="18"/>
  <c r="P44" i="15"/>
  <c r="P48" i="15" s="1"/>
  <c r="O50" i="15" s="1"/>
  <c r="O54" i="15" s="1"/>
  <c r="O55" i="15" s="1"/>
  <c r="P52" i="15" s="1"/>
  <c r="P54" i="15" s="1"/>
  <c r="P55" i="15" s="1"/>
  <c r="P18" i="16"/>
  <c r="P19" i="18" l="1"/>
  <c r="P22" i="18" s="1"/>
  <c r="P25" i="18" s="1"/>
  <c r="P26" i="18" s="1"/>
  <c r="P4" i="16" s="1"/>
  <c r="P7" i="16" s="1"/>
  <c r="P12" i="16" s="1"/>
  <c r="P25" i="16" s="1"/>
  <c r="P20" i="16"/>
  <c r="P23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<sst xmlns="http://schemas.openxmlformats.org/spreadsheetml/2006/main" count="355" uniqueCount="201">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</sst>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33203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45">
      <c r="A2" s="79" t="s">
        <v>170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45">
      <c r="A7" s="80" t="str">
        <f ca="1">"© "&amp;YEAR(TODAY())&amp;" Financial Edge Training "</f>
        <v xml:space="preserve">© 2025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1"/>
      <c r="H9" s="81"/>
      <c r="I9" s="81"/>
      <c r="J9" s="81"/>
      <c r="K9" s="28"/>
    </row>
    <row r="10" spans="1:14" s="23" customFormat="1" ht="15" customHeight="1" x14ac:dyDescent="0.45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14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139</v>
      </c>
      <c r="D4">
        <f>IS!D27</f>
        <v>0</v>
      </c>
      <c r="E4">
        <f>IS!E27</f>
        <v>0</v>
      </c>
      <c r="F4">
        <f>IS!F27</f>
        <v>0</v>
      </c>
      <c r="G4">
        <f>IS!G27</f>
        <v>90.785053225780743</v>
      </c>
      <c r="H4">
        <f>IS!H27</f>
        <v>160.82868643397939</v>
      </c>
      <c r="I4">
        <f>IS!I27</f>
        <v>244.17854667033035</v>
      </c>
      <c r="J4">
        <f>IS!J27</f>
        <v>243.24332193753162</v>
      </c>
      <c r="K4">
        <f>IS!K27</f>
        <v>242.2999837207652</v>
      </c>
      <c r="L4">
        <f>IS!L27</f>
        <v>241.34804521099267</v>
      </c>
      <c r="M4">
        <f>IS!M27</f>
        <v>240.38699039063385</v>
      </c>
      <c r="N4">
        <f>IS!N27</f>
        <v>116.94786924646576</v>
      </c>
      <c r="O4">
        <f>IS!O27</f>
        <v>11.473991163521045</v>
      </c>
      <c r="P4">
        <f>IS!P27</f>
        <v>0</v>
      </c>
    </row>
    <row r="5" spans="1:16" s="73" customFormat="1" ht="15" customHeight="1" x14ac:dyDescent="0.45">
      <c r="B5" s="16" t="str">
        <f>IS!B11</f>
        <v>Depletion</v>
      </c>
      <c r="D5" s="73">
        <f>-IS!D11</f>
        <v>0</v>
      </c>
      <c r="E5" s="73">
        <f>-IS!E11</f>
        <v>0</v>
      </c>
      <c r="F5" s="73">
        <f>-IS!F11</f>
        <v>0</v>
      </c>
      <c r="G5" s="73">
        <f>-IS!G11</f>
        <v>107.09999999999997</v>
      </c>
      <c r="H5" s="73">
        <f>-IS!H11</f>
        <v>214.19999999999993</v>
      </c>
      <c r="I5" s="73">
        <f>-IS!I11</f>
        <v>321.2999999999999</v>
      </c>
      <c r="J5" s="73">
        <f>-IS!J11</f>
        <v>321.30000000000007</v>
      </c>
      <c r="K5" s="73">
        <f>-IS!K11</f>
        <v>321.2999999999999</v>
      </c>
      <c r="L5" s="73">
        <f>-IS!L11</f>
        <v>321.29999999999995</v>
      </c>
      <c r="M5" s="73">
        <f>-IS!M11</f>
        <v>321.29999999999995</v>
      </c>
      <c r="N5" s="73">
        <f>-IS!N11</f>
        <v>171.36</v>
      </c>
      <c r="O5" s="73">
        <f>-IS!O11</f>
        <v>42.839999999999996</v>
      </c>
      <c r="P5" s="73">
        <f>-IS!P11</f>
        <v>0</v>
      </c>
    </row>
    <row r="6" spans="1:16" s="73" customFormat="1" ht="15" customHeight="1" x14ac:dyDescent="0.45">
      <c r="B6" s="16" t="str">
        <f>IS!B17</f>
        <v>Amortization</v>
      </c>
      <c r="D6" s="73">
        <f>-IS!D17</f>
        <v>0</v>
      </c>
      <c r="E6" s="73">
        <f>-IS!E17</f>
        <v>0</v>
      </c>
      <c r="F6" s="73">
        <f>-IS!F17</f>
        <v>0</v>
      </c>
      <c r="G6" s="73">
        <f>-IS!G17</f>
        <v>12.314401576260984</v>
      </c>
      <c r="H6" s="73">
        <f>-IS!H17</f>
        <v>24.628803152521968</v>
      </c>
      <c r="I6" s="73">
        <f>-IS!I17</f>
        <v>36.943204728782952</v>
      </c>
      <c r="J6" s="73">
        <f>-IS!J17</f>
        <v>36.943204728782973</v>
      </c>
      <c r="K6" s="73">
        <f>-IS!K17</f>
        <v>36.943204728782952</v>
      </c>
      <c r="L6" s="73">
        <f>-IS!L17</f>
        <v>36.943204728782959</v>
      </c>
      <c r="M6" s="73">
        <f>-IS!M17</f>
        <v>36.943204728782959</v>
      </c>
      <c r="N6" s="73">
        <f>-IS!N17</f>
        <v>19.703042522017579</v>
      </c>
      <c r="O6" s="73">
        <f>-IS!O17</f>
        <v>4.9257606305043948</v>
      </c>
      <c r="P6" s="73">
        <f>-IS!P17</f>
        <v>0</v>
      </c>
    </row>
    <row r="7" spans="1:16" s="73" customFormat="1" ht="15" customHeight="1" x14ac:dyDescent="0.45">
      <c r="B7" s="16" t="str">
        <f>IS!B23</f>
        <v>Interest on asset retirement obligation</v>
      </c>
      <c r="D7" s="73">
        <f>-IS!D23</f>
        <v>0</v>
      </c>
      <c r="E7" s="73">
        <f>-IS!E23</f>
        <v>0</v>
      </c>
      <c r="F7" s="73">
        <f>-IS!F23</f>
        <v>0</v>
      </c>
      <c r="G7" s="73">
        <f>-IS!G23</f>
        <v>2.5072818915131854</v>
      </c>
      <c r="H7" s="73">
        <f>-IS!H23</f>
        <v>2.6577188050039764</v>
      </c>
      <c r="I7" s="73">
        <f>-IS!I23</f>
        <v>2.817181933304215</v>
      </c>
      <c r="J7" s="73">
        <f>-IS!J23</f>
        <v>2.9862128493024676</v>
      </c>
      <c r="K7" s="73">
        <f>-IS!K23</f>
        <v>3.1653856202606159</v>
      </c>
      <c r="L7" s="73">
        <f>-IS!L23</f>
        <v>3.3553087574762528</v>
      </c>
      <c r="M7" s="73">
        <f>-IS!M23</f>
        <v>3.5566272829248278</v>
      </c>
      <c r="N7" s="73">
        <f>-IS!N23</f>
        <v>3.7700249199003175</v>
      </c>
      <c r="O7" s="73">
        <f>-IS!O23</f>
        <v>3.3962264150943366</v>
      </c>
      <c r="P7" s="73">
        <f>-IS!P23</f>
        <v>0</v>
      </c>
    </row>
    <row r="8" spans="1:16" ht="15" customHeight="1" x14ac:dyDescent="0.45">
      <c r="A8"/>
      <c r="B8" s="16" t="s">
        <v>174</v>
      </c>
      <c r="D8">
        <f>Depletion!D48</f>
        <v>0</v>
      </c>
      <c r="E8">
        <f>Depletion!E48</f>
        <v>0</v>
      </c>
      <c r="F8">
        <f>Depletion!F48</f>
        <v>0</v>
      </c>
      <c r="G8">
        <f>Depletion!G48</f>
        <v>0</v>
      </c>
      <c r="H8">
        <f>Depletion!H48</f>
        <v>0</v>
      </c>
      <c r="I8">
        <f>Depletion!I48</f>
        <v>0</v>
      </c>
      <c r="J8">
        <f>Depletion!J48</f>
        <v>0</v>
      </c>
      <c r="K8">
        <f>Depletion!K48</f>
        <v>0</v>
      </c>
      <c r="L8">
        <f>Depletion!L48</f>
        <v>0</v>
      </c>
      <c r="M8">
        <f>Depletion!M48</f>
        <v>0</v>
      </c>
      <c r="N8">
        <f>Depletion!N48</f>
        <v>-10</v>
      </c>
      <c r="O8">
        <f>Depletion!O48</f>
        <v>-60</v>
      </c>
      <c r="P8">
        <f>Depletion!P48</f>
        <v>0</v>
      </c>
    </row>
    <row r="9" spans="1:16" ht="15" customHeight="1" x14ac:dyDescent="0.45">
      <c r="A9"/>
      <c r="B9" s="16" t="s">
        <v>148</v>
      </c>
      <c r="D9">
        <f>SUM(D4:D8)</f>
        <v>0</v>
      </c>
      <c r="E9">
        <f t="shared" ref="E9:P9" si="2">SUM(E4:E8)</f>
        <v>0</v>
      </c>
      <c r="F9">
        <f t="shared" si="2"/>
        <v>0</v>
      </c>
      <c r="G9">
        <f t="shared" si="2"/>
        <v>212.70673669355489</v>
      </c>
      <c r="H9">
        <f t="shared" si="2"/>
        <v>402.31520839150528</v>
      </c>
      <c r="I9">
        <f t="shared" si="2"/>
        <v>605.23893333241745</v>
      </c>
      <c r="J9">
        <f t="shared" si="2"/>
        <v>604.47273951561704</v>
      </c>
      <c r="K9">
        <f t="shared" si="2"/>
        <v>603.70857406980861</v>
      </c>
      <c r="L9">
        <f t="shared" si="2"/>
        <v>602.94655869725182</v>
      </c>
      <c r="M9">
        <f t="shared" si="2"/>
        <v>602.18682240234159</v>
      </c>
      <c r="N9">
        <f t="shared" si="2"/>
        <v>301.78093668838369</v>
      </c>
      <c r="O9">
        <f t="shared" si="2"/>
        <v>2.6359782091197701</v>
      </c>
      <c r="P9">
        <f t="shared" si="2"/>
        <v>0</v>
      </c>
    </row>
    <row r="10" spans="1:16" ht="15" customHeight="1" x14ac:dyDescent="0.45">
      <c r="A10"/>
    </row>
    <row r="11" spans="1:16" ht="15" customHeight="1" x14ac:dyDescent="0.45">
      <c r="A11"/>
      <c r="B11" s="16" t="s">
        <v>149</v>
      </c>
      <c r="D11">
        <f>Calcs!C8-Calcs!D8</f>
        <v>0</v>
      </c>
      <c r="E11">
        <f>Calcs!D8-Calcs!E8</f>
        <v>0</v>
      </c>
      <c r="F11">
        <f>Calcs!E8-Calcs!F8</f>
        <v>-1.9569863013698623</v>
      </c>
      <c r="G11">
        <f>Calcs!F8-Calcs!G8</f>
        <v>-17.402465753424668</v>
      </c>
      <c r="H11">
        <f>Calcs!G8-Calcs!H8</f>
        <v>-16.141052054794521</v>
      </c>
      <c r="I11">
        <f>Calcs!H8-Calcs!I8</f>
        <v>-17.750252054794508</v>
      </c>
      <c r="J11">
        <f>Calcs!I8-Calcs!J8</f>
        <v>0</v>
      </c>
      <c r="K11">
        <f>Calcs!J8-Calcs!K8</f>
        <v>0</v>
      </c>
      <c r="L11">
        <f>Calcs!K8-Calcs!L8</f>
        <v>0</v>
      </c>
      <c r="M11">
        <f>Calcs!L8-Calcs!M8</f>
        <v>0</v>
      </c>
      <c r="N11">
        <f>Calcs!M8-Calcs!N8</f>
        <v>24.850352876712321</v>
      </c>
      <c r="O11">
        <f>Calcs!N8-Calcs!O8</f>
        <v>21.300302465753429</v>
      </c>
      <c r="P11">
        <f>Calcs!O8-Calcs!P8</f>
        <v>7.1001008219178106</v>
      </c>
    </row>
    <row r="12" spans="1:16" ht="15" customHeight="1" x14ac:dyDescent="0.45">
      <c r="B12" s="16" t="s">
        <v>150</v>
      </c>
      <c r="D12">
        <f>D9+D11</f>
        <v>0</v>
      </c>
      <c r="E12">
        <f t="shared" ref="E12:P12" si="3">E9+E11</f>
        <v>0</v>
      </c>
      <c r="F12">
        <f t="shared" si="3"/>
        <v>-1.9569863013698623</v>
      </c>
      <c r="G12">
        <f t="shared" si="3"/>
        <v>195.30427094013021</v>
      </c>
      <c r="H12">
        <f t="shared" si="3"/>
        <v>386.17415633671078</v>
      </c>
      <c r="I12">
        <f t="shared" si="3"/>
        <v>587.48868127762296</v>
      </c>
      <c r="J12">
        <f t="shared" si="3"/>
        <v>604.47273951561704</v>
      </c>
      <c r="K12">
        <f t="shared" si="3"/>
        <v>603.70857406980861</v>
      </c>
      <c r="L12">
        <f t="shared" si="3"/>
        <v>602.94655869725182</v>
      </c>
      <c r="M12">
        <f t="shared" si="3"/>
        <v>602.18682240234159</v>
      </c>
      <c r="N12">
        <f t="shared" si="3"/>
        <v>326.63128956509604</v>
      </c>
      <c r="O12">
        <f t="shared" si="3"/>
        <v>23.936280674873199</v>
      </c>
      <c r="P12">
        <f t="shared" si="3"/>
        <v>7.1001008219178106</v>
      </c>
    </row>
    <row r="13" spans="1:16" ht="15" customHeight="1" x14ac:dyDescent="0.45">
      <c r="A13"/>
    </row>
    <row r="14" spans="1:16" ht="15" customHeight="1" x14ac:dyDescent="0.45">
      <c r="A14"/>
      <c r="B14" s="16" t="s">
        <v>151</v>
      </c>
      <c r="D14">
        <f>-'S&amp;U'!D6</f>
        <v>-180</v>
      </c>
      <c r="E14">
        <f>-'S&amp;U'!E6</f>
        <v>-1235</v>
      </c>
      <c r="F14">
        <f>-'S&amp;U'!F6</f>
        <v>-727</v>
      </c>
    </row>
    <row r="15" spans="1:16" ht="15" customHeight="1" x14ac:dyDescent="0.45">
      <c r="A15"/>
      <c r="B15" s="16" t="s">
        <v>164</v>
      </c>
      <c r="D15">
        <f>-'S&amp;U'!D7</f>
        <v>-203</v>
      </c>
      <c r="E15">
        <f>-'S&amp;U'!E7</f>
        <v>-0.8</v>
      </c>
      <c r="F15">
        <f>-'S&amp;U'!F7</f>
        <v>-0.7</v>
      </c>
    </row>
    <row r="16" spans="1:16" ht="15" customHeight="1" x14ac:dyDescent="0.45">
      <c r="A16"/>
      <c r="B16" s="16" t="s">
        <v>152</v>
      </c>
      <c r="D16">
        <f>SUM(D14:D15)</f>
        <v>-383</v>
      </c>
      <c r="E16">
        <f t="shared" ref="E16:F16" si="4">SUM(E14:E15)</f>
        <v>-1235.8</v>
      </c>
      <c r="F16">
        <f t="shared" si="4"/>
        <v>-727.7</v>
      </c>
    </row>
    <row r="17" spans="1:16" ht="15" customHeight="1" x14ac:dyDescent="0.45">
      <c r="A17"/>
    </row>
    <row r="18" spans="1:16" ht="15" customHeight="1" x14ac:dyDescent="0.45">
      <c r="A18"/>
      <c r="B18" s="16" t="s">
        <v>153</v>
      </c>
      <c r="D18">
        <f>BS!D14-BS!C14</f>
        <v>0</v>
      </c>
      <c r="E18">
        <f>BS!E14-BS!D14</f>
        <v>0</v>
      </c>
      <c r="F18">
        <f>BS!F14-BS!E14</f>
        <v>0</v>
      </c>
      <c r="G18">
        <f>BS!G14-BS!F14</f>
        <v>0</v>
      </c>
      <c r="H18">
        <f>BS!H14-BS!G14</f>
        <v>0</v>
      </c>
      <c r="I18">
        <f>BS!I14-BS!H14</f>
        <v>0</v>
      </c>
      <c r="J18">
        <f>BS!J14-BS!I14</f>
        <v>0</v>
      </c>
      <c r="K18">
        <f>BS!K14-BS!J14</f>
        <v>0</v>
      </c>
      <c r="L18">
        <f>BS!L14-BS!K14</f>
        <v>0</v>
      </c>
      <c r="M18">
        <f>BS!M14-BS!L14</f>
        <v>0</v>
      </c>
      <c r="N18">
        <f>BS!N14-BS!M14</f>
        <v>0</v>
      </c>
      <c r="O18">
        <f>BS!O14-BS!N14</f>
        <v>0</v>
      </c>
      <c r="P18">
        <f>BS!P14-BS!O14</f>
        <v>0</v>
      </c>
    </row>
    <row r="19" spans="1:16" ht="15" customHeight="1" x14ac:dyDescent="0.45">
      <c r="A19"/>
      <c r="B19" s="16" t="s">
        <v>178</v>
      </c>
      <c r="D19">
        <f>BS!D18-BS!C18</f>
        <v>263.72082441879297</v>
      </c>
      <c r="E19">
        <f>BS!E18-BS!D18</f>
        <v>850.93001257635592</v>
      </c>
      <c r="F19">
        <f>BS!F18-BS!E18</f>
        <v>735.34916300485111</v>
      </c>
      <c r="G19">
        <f>BS!G18-BS!F18</f>
        <v>-150.21405456933098</v>
      </c>
      <c r="H19">
        <f>BS!H18-BS!G18</f>
        <v>-297.01704333593148</v>
      </c>
      <c r="I19">
        <f>BS!I18-BS!H18</f>
        <v>-451.90437021355615</v>
      </c>
      <c r="J19">
        <f>BS!J18-BS!I18</f>
        <v>-464.97903039662856</v>
      </c>
      <c r="K19">
        <f>BS!K18-BS!J18</f>
        <v>-464.39121082292979</v>
      </c>
      <c r="L19">
        <f>BS!L18-BS!K18</f>
        <v>-21.49429066162304</v>
      </c>
      <c r="M19">
        <f>BS!M18-BS!L18</f>
        <v>0</v>
      </c>
      <c r="N19">
        <f>BS!N18-BS!M18</f>
        <v>0</v>
      </c>
      <c r="O19">
        <f>BS!O18-BS!N18</f>
        <v>0</v>
      </c>
      <c r="P19">
        <f>BS!P18-BS!O18</f>
        <v>0</v>
      </c>
    </row>
    <row r="20" spans="1:16" ht="15" customHeight="1" x14ac:dyDescent="0.45">
      <c r="A20"/>
      <c r="B20" s="16" t="s">
        <v>159</v>
      </c>
      <c r="D20">
        <f>Calcs!D13</f>
        <v>119.27917558120706</v>
      </c>
      <c r="E20">
        <f>Calcs!E13</f>
        <v>384.86998742364403</v>
      </c>
      <c r="F20">
        <f>Calcs!F13</f>
        <v>332.59353758223295</v>
      </c>
      <c r="G20">
        <f>Calcs!G13</f>
        <v>0</v>
      </c>
      <c r="H20">
        <f>Calcs!H13</f>
        <v>0</v>
      </c>
      <c r="I20">
        <f>Calcs!I13</f>
        <v>0</v>
      </c>
      <c r="J20">
        <f>Calcs!J13</f>
        <v>0</v>
      </c>
      <c r="K20">
        <f>Calcs!K13</f>
        <v>0</v>
      </c>
      <c r="L20">
        <f>Calcs!L13</f>
        <v>0</v>
      </c>
      <c r="M20">
        <f>Calcs!M13</f>
        <v>0</v>
      </c>
      <c r="N20">
        <f>Calcs!N13</f>
        <v>0</v>
      </c>
      <c r="O20">
        <f>Calcs!O13</f>
        <v>0</v>
      </c>
      <c r="P20">
        <f>Calcs!P13</f>
        <v>0</v>
      </c>
    </row>
    <row r="21" spans="1:16" ht="15" customHeight="1" x14ac:dyDescent="0.45">
      <c r="A21"/>
      <c r="B21" s="16" t="s">
        <v>154</v>
      </c>
      <c r="D21">
        <f>Calcs!D14</f>
        <v>0</v>
      </c>
      <c r="E21">
        <f>Calcs!E14</f>
        <v>0</v>
      </c>
      <c r="F21">
        <f>Calcs!F14</f>
        <v>0</v>
      </c>
      <c r="G21">
        <f>Calcs!G14</f>
        <v>0</v>
      </c>
      <c r="H21">
        <f>Calcs!H14</f>
        <v>0</v>
      </c>
      <c r="I21">
        <f>Calcs!I14</f>
        <v>0</v>
      </c>
      <c r="J21">
        <f>Calcs!J14</f>
        <v>0</v>
      </c>
      <c r="K21">
        <f>Calcs!K14</f>
        <v>0</v>
      </c>
      <c r="L21">
        <f>Calcs!L14</f>
        <v>0</v>
      </c>
      <c r="M21">
        <f>Calcs!M14</f>
        <v>0</v>
      </c>
      <c r="N21">
        <f>Calcs!N14</f>
        <v>0</v>
      </c>
      <c r="O21">
        <f>Calcs!O14</f>
        <v>0</v>
      </c>
      <c r="P21">
        <f>Calcs!P14</f>
        <v>0</v>
      </c>
    </row>
    <row r="22" spans="1:16" ht="15" customHeight="1" x14ac:dyDescent="0.45">
      <c r="B22" s="16" t="s">
        <v>155</v>
      </c>
      <c r="D22">
        <f>SUM(D18:D21)</f>
        <v>383</v>
      </c>
      <c r="E22">
        <f t="shared" ref="E22:P22" si="5">SUM(E18:E21)</f>
        <v>1235.8</v>
      </c>
      <c r="F22">
        <f t="shared" si="5"/>
        <v>1067.9427005870841</v>
      </c>
      <c r="G22">
        <f t="shared" si="5"/>
        <v>-150.21405456933098</v>
      </c>
      <c r="H22">
        <f t="shared" si="5"/>
        <v>-297.01704333593148</v>
      </c>
      <c r="I22">
        <f t="shared" si="5"/>
        <v>-451.90437021355615</v>
      </c>
      <c r="J22">
        <f t="shared" si="5"/>
        <v>-464.97903039662856</v>
      </c>
      <c r="K22">
        <f t="shared" si="5"/>
        <v>-464.39121082292979</v>
      </c>
      <c r="L22">
        <f t="shared" si="5"/>
        <v>-21.49429066162304</v>
      </c>
      <c r="M22">
        <f t="shared" si="5"/>
        <v>0</v>
      </c>
      <c r="N22">
        <f t="shared" si="5"/>
        <v>0</v>
      </c>
      <c r="O22">
        <f t="shared" si="5"/>
        <v>0</v>
      </c>
      <c r="P22">
        <f t="shared" si="5"/>
        <v>0</v>
      </c>
    </row>
    <row r="23" spans="1:16" ht="15" customHeight="1" x14ac:dyDescent="0.45">
      <c r="A23"/>
    </row>
    <row r="24" spans="1:16" ht="15" customHeight="1" x14ac:dyDescent="0.45">
      <c r="A24"/>
      <c r="B24" s="16" t="s">
        <v>156</v>
      </c>
      <c r="D24">
        <f>C26</f>
        <v>0</v>
      </c>
      <c r="E24">
        <f t="shared" ref="E24:P24" si="6">D26</f>
        <v>0</v>
      </c>
      <c r="F24">
        <f t="shared" si="6"/>
        <v>0</v>
      </c>
      <c r="G24">
        <f t="shared" si="6"/>
        <v>338.28571428571422</v>
      </c>
      <c r="H24">
        <f t="shared" si="6"/>
        <v>383.37593065651345</v>
      </c>
      <c r="I24">
        <f t="shared" si="6"/>
        <v>472.53304365729275</v>
      </c>
      <c r="J24">
        <f t="shared" si="6"/>
        <v>608.11735472135956</v>
      </c>
      <c r="K24">
        <f t="shared" si="6"/>
        <v>747.61106384034804</v>
      </c>
      <c r="L24">
        <f t="shared" si="6"/>
        <v>886.92842708722685</v>
      </c>
      <c r="M24">
        <f t="shared" si="6"/>
        <v>1468.3806951228557</v>
      </c>
      <c r="N24">
        <f t="shared" si="6"/>
        <v>2070.5675175251972</v>
      </c>
      <c r="O24">
        <f t="shared" si="6"/>
        <v>2397.1988070902935</v>
      </c>
      <c r="P24">
        <f t="shared" si="6"/>
        <v>2421.1350877651666</v>
      </c>
    </row>
    <row r="25" spans="1:16" ht="15" customHeight="1" x14ac:dyDescent="0.45">
      <c r="A25"/>
      <c r="B25" s="16" t="s">
        <v>157</v>
      </c>
      <c r="D25">
        <f>D12+D16+D22</f>
        <v>0</v>
      </c>
      <c r="E25">
        <f t="shared" ref="E25:P25" si="7">E12+E16+E22</f>
        <v>0</v>
      </c>
      <c r="F25">
        <f t="shared" si="7"/>
        <v>338.28571428571422</v>
      </c>
      <c r="G25">
        <f t="shared" si="7"/>
        <v>45.090216370799226</v>
      </c>
      <c r="H25">
        <f t="shared" si="7"/>
        <v>89.157113000779304</v>
      </c>
      <c r="I25">
        <f t="shared" si="7"/>
        <v>135.58431106406681</v>
      </c>
      <c r="J25">
        <f t="shared" si="7"/>
        <v>139.49370911898848</v>
      </c>
      <c r="K25">
        <f t="shared" si="7"/>
        <v>139.31736324687881</v>
      </c>
      <c r="L25">
        <f t="shared" si="7"/>
        <v>581.45226803562878</v>
      </c>
      <c r="M25">
        <f t="shared" si="7"/>
        <v>602.18682240234159</v>
      </c>
      <c r="N25">
        <f t="shared" si="7"/>
        <v>326.63128956509604</v>
      </c>
      <c r="O25">
        <f t="shared" si="7"/>
        <v>23.936280674873199</v>
      </c>
      <c r="P25">
        <f t="shared" si="7"/>
        <v>7.1001008219178106</v>
      </c>
    </row>
    <row r="26" spans="1:16" ht="15" customHeight="1" x14ac:dyDescent="0.45">
      <c r="A26"/>
      <c r="B26" s="16" t="s">
        <v>158</v>
      </c>
      <c r="C26" s="63">
        <v>0</v>
      </c>
      <c r="D26">
        <f>SUM(D24:D25)</f>
        <v>0</v>
      </c>
      <c r="E26">
        <f t="shared" ref="E26:P26" si="8">SUM(E24:E25)</f>
        <v>0</v>
      </c>
      <c r="F26">
        <f t="shared" si="8"/>
        <v>338.28571428571422</v>
      </c>
      <c r="G26">
        <f t="shared" si="8"/>
        <v>383.37593065651345</v>
      </c>
      <c r="H26">
        <f t="shared" si="8"/>
        <v>472.53304365729275</v>
      </c>
      <c r="I26">
        <f t="shared" si="8"/>
        <v>608.11735472135956</v>
      </c>
      <c r="J26">
        <f t="shared" si="8"/>
        <v>747.61106384034804</v>
      </c>
      <c r="K26">
        <f t="shared" si="8"/>
        <v>886.92842708722685</v>
      </c>
      <c r="L26">
        <f t="shared" si="8"/>
        <v>1468.3806951228557</v>
      </c>
      <c r="M26">
        <f t="shared" si="8"/>
        <v>2070.5675175251972</v>
      </c>
      <c r="N26">
        <f t="shared" si="8"/>
        <v>2397.1988070902935</v>
      </c>
      <c r="O26">
        <f t="shared" si="8"/>
        <v>2421.1350877651666</v>
      </c>
      <c r="P26">
        <f t="shared" si="8"/>
        <v>2428.2351885870844</v>
      </c>
    </row>
    <row r="27" spans="1:16" ht="15" customHeight="1" x14ac:dyDescent="0.45">
      <c r="A27"/>
    </row>
    <row r="28" spans="1:16" ht="15" customHeight="1" x14ac:dyDescent="0.45">
      <c r="B28"/>
    </row>
    <row r="29" spans="1:16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6" t="s">
        <v>0</v>
      </c>
      <c r="C4" s="86"/>
      <c r="D4" s="86"/>
      <c r="E4" s="86"/>
      <c r="F4" s="86"/>
      <c r="G4" s="86"/>
      <c r="H4" s="86"/>
      <c r="I4" s="86"/>
      <c r="K4" s="1"/>
      <c r="L4" s="86" t="s">
        <v>2</v>
      </c>
      <c r="M4" s="86"/>
      <c r="N4" s="86"/>
      <c r="O4" s="86"/>
      <c r="P4" s="86"/>
      <c r="Q4" s="40"/>
      <c r="R4" s="40"/>
    </row>
    <row r="5" spans="1:18" s="2" customFormat="1" ht="15" customHeight="1" x14ac:dyDescent="0.45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3" t="s">
        <v>168</v>
      </c>
      <c r="O5" s="83"/>
      <c r="P5" s="83"/>
      <c r="Q5" s="83"/>
      <c r="R5" s="40"/>
    </row>
    <row r="6" spans="1:18" s="2" customFormat="1" ht="15" customHeight="1" x14ac:dyDescent="0.45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4">
        <v>44196</v>
      </c>
      <c r="O6" s="84"/>
      <c r="P6" s="84"/>
      <c r="Q6" s="84"/>
      <c r="R6" s="40"/>
    </row>
    <row r="7" spans="1:18" s="2" customFormat="1" ht="15" customHeight="1" x14ac:dyDescent="0.45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3" t="s">
        <v>26</v>
      </c>
      <c r="O7" s="83"/>
      <c r="P7" s="83"/>
      <c r="Q7" s="83"/>
      <c r="R7" s="40"/>
    </row>
    <row r="8" spans="1:18" s="2" customFormat="1" ht="15" customHeight="1" x14ac:dyDescent="0.45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3" t="s">
        <v>9</v>
      </c>
      <c r="O8" s="83"/>
      <c r="P8" s="83"/>
      <c r="Q8" s="83"/>
      <c r="R8" s="40"/>
    </row>
    <row r="9" spans="1:18" s="2" customFormat="1" ht="15" customHeight="1" x14ac:dyDescent="0.45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3" t="s">
        <v>10</v>
      </c>
      <c r="O9" s="83"/>
      <c r="P9" s="83"/>
      <c r="Q9" s="83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5">
        <v>1</v>
      </c>
      <c r="O10" s="85"/>
      <c r="P10" s="85"/>
      <c r="Q10" s="85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7" t="s">
        <v>17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N13" s="1"/>
      <c r="O13" s="86" t="s">
        <v>12</v>
      </c>
      <c r="P13" s="86"/>
      <c r="Q13" s="86"/>
      <c r="R13" s="58"/>
    </row>
    <row r="14" spans="1:18" s="2" customFormat="1" ht="15" customHeight="1" x14ac:dyDescent="0.45">
      <c r="A14" s="56"/>
      <c r="B14" s="82" t="s">
        <v>23</v>
      </c>
      <c r="C14" s="82"/>
      <c r="D14" s="82" t="s">
        <v>21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2" t="s">
        <v>22</v>
      </c>
      <c r="C15" s="82"/>
      <c r="D15" s="82" t="s">
        <v>21</v>
      </c>
      <c r="E15" s="82"/>
      <c r="F15" s="82"/>
      <c r="G15" s="82"/>
      <c r="H15" s="82"/>
      <c r="I15" s="82"/>
      <c r="J15" s="82"/>
      <c r="K15" s="82"/>
      <c r="L15" s="82"/>
      <c r="N15" s="3"/>
      <c r="O15" s="27"/>
      <c r="P15" s="52" t="s">
        <v>13</v>
      </c>
      <c r="Q15" s="22"/>
      <c r="R15" s="56"/>
    </row>
    <row r="16" spans="1:18" s="2" customFormat="1" ht="15" customHeight="1" x14ac:dyDescent="0.45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14</v>
      </c>
      <c r="Q16" s="22"/>
      <c r="R16" s="56"/>
    </row>
    <row r="17" spans="1:18" s="2" customFormat="1" ht="15" customHeight="1" x14ac:dyDescent="0.45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15</v>
      </c>
      <c r="Q17" s="22"/>
      <c r="R17" s="56"/>
    </row>
    <row r="18" spans="1:18" s="2" customFormat="1" ht="15" customHeight="1" x14ac:dyDescent="0.45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85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192</v>
      </c>
      <c r="D8" s="74"/>
      <c r="E8" s="74"/>
      <c r="F8" s="74"/>
    </row>
    <row r="9" spans="1:16" ht="15" customHeight="1" x14ac:dyDescent="0.45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200</v>
      </c>
      <c r="F10" s="63">
        <f>C15/7+C15*H15</f>
        <v>338.28571428571428</v>
      </c>
    </row>
    <row r="11" spans="1:16" ht="15" customHeight="1" x14ac:dyDescent="0.45">
      <c r="B11" s="67" t="s">
        <v>83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 x14ac:dyDescent="0.45">
      <c r="A12" s="60"/>
      <c r="B12" s="16" t="s">
        <v>87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45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45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176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172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 x14ac:dyDescent="0.45">
      <c r="B17" s="67" t="s">
        <v>84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86</v>
      </c>
      <c r="C19" s="61"/>
      <c r="D19" s="61"/>
      <c r="E19" s="61"/>
      <c r="F19" s="61"/>
    </row>
    <row r="20" spans="1:17" ht="15" customHeight="1" x14ac:dyDescent="0.45">
      <c r="B20" s="16" t="s">
        <v>167</v>
      </c>
      <c r="C20" s="61"/>
      <c r="D20" s="61"/>
    </row>
    <row r="21" spans="1:17" ht="15" customHeight="1" x14ac:dyDescent="0.45">
      <c r="B21" s="16" t="s">
        <v>97</v>
      </c>
      <c r="D21" s="62">
        <v>0.02</v>
      </c>
    </row>
    <row r="22" spans="1:17" ht="15" customHeight="1" x14ac:dyDescent="0.45">
      <c r="B22" s="16" t="s">
        <v>181</v>
      </c>
      <c r="D22" s="71">
        <v>1.3</v>
      </c>
    </row>
    <row r="23" spans="1:17" ht="15" customHeight="1" x14ac:dyDescent="0.45">
      <c r="B23" s="16" t="s">
        <v>190</v>
      </c>
      <c r="D23" s="72"/>
    </row>
    <row r="25" spans="1:17" ht="15" customHeight="1" x14ac:dyDescent="0.45">
      <c r="A25" s="15" t="s">
        <v>36</v>
      </c>
    </row>
    <row r="26" spans="1:17" ht="15" customHeight="1" x14ac:dyDescent="0.45">
      <c r="B26" s="16" t="s">
        <v>37</v>
      </c>
      <c r="E26" s="63">
        <v>5800</v>
      </c>
    </row>
    <row r="28" spans="1:17" ht="15" customHeight="1" x14ac:dyDescent="0.45">
      <c r="A28" s="15" t="s">
        <v>27</v>
      </c>
    </row>
    <row r="29" spans="1:17" ht="15" customHeight="1" x14ac:dyDescent="0.45">
      <c r="B29" s="16" t="s">
        <v>31</v>
      </c>
      <c r="F29" s="63">
        <v>59.6</v>
      </c>
    </row>
    <row r="30" spans="1:17" ht="15" customHeight="1" x14ac:dyDescent="0.45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32</v>
      </c>
      <c r="F32" s="63">
        <f>F29*50%*5800/1000</f>
        <v>172.84</v>
      </c>
    </row>
    <row r="33" spans="1:17" ht="15" customHeight="1" x14ac:dyDescent="0.45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51</v>
      </c>
      <c r="B43"/>
    </row>
    <row r="44" spans="1:17" ht="15" customHeight="1" x14ac:dyDescent="0.45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66</v>
      </c>
      <c r="B49"/>
    </row>
    <row r="50" spans="1:16" ht="15" customHeight="1" x14ac:dyDescent="0.45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162</v>
      </c>
    </row>
    <row r="54" spans="1:16" ht="15" customHeight="1" x14ac:dyDescent="0.45">
      <c r="A54"/>
      <c r="B54" s="16" t="s">
        <v>163</v>
      </c>
      <c r="D54">
        <f>Finance!D42+Depletion!D47</f>
        <v>0</v>
      </c>
      <c r="E54">
        <f>Finance!E42+Depletion!E47</f>
        <v>2.2314719575589046</v>
      </c>
      <c r="F54">
        <f>Finance!F42+Depletion!F47</f>
        <v>2.365360275012439</v>
      </c>
    </row>
    <row r="55" spans="1:16" ht="15" customHeight="1" x14ac:dyDescent="0.45">
      <c r="A55"/>
      <c r="B55" s="16" t="s">
        <v>69</v>
      </c>
      <c r="D55">
        <f>SUM(D50:D54)</f>
        <v>203</v>
      </c>
      <c r="E55">
        <f>SUM(E50:E54)</f>
        <v>3.0314719575589049</v>
      </c>
      <c r="F55">
        <f>SUM(F50:F54)</f>
        <v>3.0653602750124387</v>
      </c>
    </row>
    <row r="56" spans="1:16" ht="15" customHeight="1" x14ac:dyDescent="0.45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119</v>
      </c>
    </row>
    <row r="60" spans="1:16" ht="15" customHeight="1" x14ac:dyDescent="0.45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126</v>
      </c>
      <c r="F61" s="62">
        <v>0.5</v>
      </c>
    </row>
    <row r="62" spans="1:16" ht="15" customHeight="1" x14ac:dyDescent="0.45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74</v>
      </c>
    </row>
    <row r="66" spans="1:16" ht="15" customHeight="1" x14ac:dyDescent="0.45">
      <c r="B66" s="16" t="s">
        <v>76</v>
      </c>
      <c r="D66" s="62">
        <v>0.06</v>
      </c>
    </row>
    <row r="67" spans="1:16" ht="15" customHeight="1" x14ac:dyDescent="0.45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10"/>
  <sheetViews>
    <sheetView tabSelected="1" zoomScaleNormal="100" zoomScaleSheetLayoutView="15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160</v>
      </c>
    </row>
    <row r="7" spans="1:16" ht="15" customHeight="1" x14ac:dyDescent="0.45">
      <c r="B7" s="16" t="s">
        <v>184</v>
      </c>
      <c r="G7">
        <f>IS!G19-IS!G17-IS!G11</f>
        <v>235.40300000000008</v>
      </c>
      <c r="H7">
        <f>IS!H19-IS!H17-IS!H11</f>
        <v>442.52238000000011</v>
      </c>
      <c r="I7">
        <f>IS!I19-IS!I17-IS!I11</f>
        <v>666.28357000000005</v>
      </c>
      <c r="J7">
        <f>IS!J19-IS!J17-IS!J11</f>
        <v>665.28357000000005</v>
      </c>
      <c r="K7">
        <f>IS!K19-IS!K17-IS!K11</f>
        <v>664.28357000000005</v>
      </c>
      <c r="L7">
        <f>IS!L19-IS!L17-IS!L11</f>
        <v>663.28357000000005</v>
      </c>
      <c r="M7">
        <f>IS!M19-IS!M17-IS!M11</f>
        <v>662.28357000000005</v>
      </c>
      <c r="N7">
        <f>IS!N19-IS!N17-IS!N11</f>
        <v>341.0179040000001</v>
      </c>
      <c r="O7">
        <f>IS!O19-IS!O17-IS!O11</f>
        <v>65.504476000000039</v>
      </c>
      <c r="P7">
        <f>IS!P19-IS!P17-IS!P11</f>
        <v>0</v>
      </c>
    </row>
    <row r="8" spans="1:16" ht="15" customHeight="1" x14ac:dyDescent="0.45">
      <c r="B8" s="16" t="str">
        <f>IS!B26</f>
        <v>Tax expense</v>
      </c>
      <c r="G8">
        <f>IS!G26</f>
        <v>-22.696263306445189</v>
      </c>
      <c r="H8">
        <f>IS!H26</f>
        <v>-40.207171608494846</v>
      </c>
      <c r="I8">
        <f>IS!I26</f>
        <v>-61.044636667582587</v>
      </c>
      <c r="J8">
        <f>IS!J26</f>
        <v>-60.810830484382905</v>
      </c>
      <c r="K8">
        <f>IS!K26</f>
        <v>-60.574995930191307</v>
      </c>
      <c r="L8">
        <f>IS!L26</f>
        <v>-60.337011302748174</v>
      </c>
      <c r="M8">
        <f>IS!M26</f>
        <v>-60.096747597658464</v>
      </c>
      <c r="N8">
        <f>IS!N26</f>
        <v>-29.236967311616439</v>
      </c>
      <c r="O8">
        <f>IS!O26</f>
        <v>-2.8684977908802618</v>
      </c>
      <c r="P8">
        <f>IS!P26</f>
        <v>0</v>
      </c>
    </row>
    <row r="9" spans="1:16" ht="15" customHeight="1" x14ac:dyDescent="0.45">
      <c r="B9" s="16" t="str">
        <f>CFS!B8</f>
        <v>(Asset retirement payments)</v>
      </c>
      <c r="G9">
        <f>CFS!G8</f>
        <v>0</v>
      </c>
      <c r="H9">
        <f>CFS!H8</f>
        <v>0</v>
      </c>
      <c r="I9">
        <f>CFS!I8</f>
        <v>0</v>
      </c>
      <c r="J9">
        <f>CFS!J8</f>
        <v>0</v>
      </c>
      <c r="K9">
        <f>CFS!K8</f>
        <v>0</v>
      </c>
      <c r="L9">
        <f>CFS!L8</f>
        <v>0</v>
      </c>
      <c r="M9">
        <f>CFS!M8</f>
        <v>0</v>
      </c>
      <c r="N9">
        <f>CFS!N8</f>
        <v>-10</v>
      </c>
      <c r="O9">
        <f>CFS!O8</f>
        <v>-60</v>
      </c>
      <c r="P9">
        <f>CFS!P8</f>
        <v>0</v>
      </c>
    </row>
    <row r="10" spans="1:16" ht="15" customHeight="1" x14ac:dyDescent="0.45">
      <c r="B10" s="16" t="str">
        <f>CFS!B11</f>
        <v>(Inc) dec in operating working capital</v>
      </c>
      <c r="G10">
        <f>CFS!G11</f>
        <v>-17.402465753424668</v>
      </c>
      <c r="H10">
        <f>CFS!H11</f>
        <v>-16.141052054794521</v>
      </c>
      <c r="I10">
        <f>CFS!I11</f>
        <v>-17.750252054794508</v>
      </c>
      <c r="J10">
        <f>CFS!J11</f>
        <v>0</v>
      </c>
      <c r="K10">
        <f>CFS!K11</f>
        <v>0</v>
      </c>
      <c r="L10">
        <f>CFS!L11</f>
        <v>0</v>
      </c>
      <c r="M10">
        <f>CFS!M11</f>
        <v>0</v>
      </c>
      <c r="N10">
        <f>CFS!N11</f>
        <v>24.850352876712321</v>
      </c>
      <c r="O10">
        <f>CFS!O11</f>
        <v>21.300302465753429</v>
      </c>
      <c r="P10">
        <f>CFS!P11</f>
        <v>7.1001008219178106</v>
      </c>
    </row>
    <row r="11" spans="1:16" ht="15" customHeight="1" x14ac:dyDescent="0.45">
      <c r="B11" s="16" t="str">
        <f>CFS!B14</f>
        <v>(Capital expenditure)</v>
      </c>
      <c r="G11">
        <f>CFS!G14</f>
        <v>0</v>
      </c>
      <c r="H11">
        <f>CFS!H14</f>
        <v>0</v>
      </c>
      <c r="I11">
        <f>CFS!I14</f>
        <v>0</v>
      </c>
      <c r="J11">
        <f>CFS!J14</f>
        <v>0</v>
      </c>
      <c r="K11">
        <f>CFS!K14</f>
        <v>0</v>
      </c>
      <c r="L11">
        <f>CFS!L14</f>
        <v>0</v>
      </c>
      <c r="M11">
        <f>CFS!M14</f>
        <v>0</v>
      </c>
      <c r="N11">
        <f>CFS!N14</f>
        <v>0</v>
      </c>
      <c r="O11">
        <f>CFS!O14</f>
        <v>0</v>
      </c>
      <c r="P11">
        <f>CFS!P14</f>
        <v>0</v>
      </c>
    </row>
    <row r="12" spans="1:16" ht="15" customHeight="1" x14ac:dyDescent="0.45">
      <c r="B12" s="16" t="str">
        <f>CFS!B15</f>
        <v>(Cash soft asset expenditure)</v>
      </c>
      <c r="G12">
        <f>CFS!G15</f>
        <v>0</v>
      </c>
      <c r="H12">
        <f>CFS!H15</f>
        <v>0</v>
      </c>
      <c r="I12">
        <f>CFS!I15</f>
        <v>0</v>
      </c>
      <c r="J12">
        <f>CFS!J15</f>
        <v>0</v>
      </c>
      <c r="K12">
        <f>CFS!K15</f>
        <v>0</v>
      </c>
      <c r="L12">
        <f>CFS!L15</f>
        <v>0</v>
      </c>
      <c r="M12">
        <f>CFS!M15</f>
        <v>0</v>
      </c>
      <c r="N12">
        <f>CFS!N15</f>
        <v>0</v>
      </c>
      <c r="O12">
        <f>CFS!O15</f>
        <v>0</v>
      </c>
      <c r="P12">
        <f>CFS!P15</f>
        <v>0</v>
      </c>
    </row>
    <row r="13" spans="1:16" ht="15" customHeight="1" x14ac:dyDescent="0.45">
      <c r="B13" s="16" t="s">
        <v>191</v>
      </c>
      <c r="G13">
        <f t="shared" ref="G13:P13" si="3">SUM(G7:G12)</f>
        <v>195.30427094013021</v>
      </c>
      <c r="H13">
        <f t="shared" si="3"/>
        <v>386.17415633671078</v>
      </c>
      <c r="I13">
        <f t="shared" si="3"/>
        <v>587.48868127762296</v>
      </c>
      <c r="J13">
        <f t="shared" si="3"/>
        <v>604.47273951561715</v>
      </c>
      <c r="K13">
        <f t="shared" si="3"/>
        <v>603.70857406980872</v>
      </c>
      <c r="L13">
        <f t="shared" si="3"/>
        <v>602.94655869725193</v>
      </c>
      <c r="M13">
        <f t="shared" si="3"/>
        <v>602.18682240234159</v>
      </c>
      <c r="N13">
        <f t="shared" si="3"/>
        <v>326.63128956509604</v>
      </c>
      <c r="O13">
        <f t="shared" si="3"/>
        <v>23.936280674873206</v>
      </c>
      <c r="P13">
        <f t="shared" si="3"/>
        <v>7.1001008219178106</v>
      </c>
    </row>
    <row r="14" spans="1:16" ht="15" customHeight="1" x14ac:dyDescent="0.45">
      <c r="B14" s="16" t="s">
        <v>181</v>
      </c>
      <c r="D14" s="72"/>
      <c r="E14" s="72"/>
      <c r="F14" s="72"/>
      <c r="G14" s="72">
        <f>'S&amp;U'!$D$22</f>
        <v>1.3</v>
      </c>
      <c r="H14" s="72">
        <f>'S&amp;U'!$D$22</f>
        <v>1.3</v>
      </c>
      <c r="I14" s="72">
        <f>'S&amp;U'!$D$22</f>
        <v>1.3</v>
      </c>
      <c r="J14" s="72">
        <f>'S&amp;U'!$D$22</f>
        <v>1.3</v>
      </c>
      <c r="K14" s="72">
        <f>'S&amp;U'!$D$22</f>
        <v>1.3</v>
      </c>
      <c r="L14" s="72">
        <f>'S&amp;U'!$D$22</f>
        <v>1.3</v>
      </c>
      <c r="M14" s="72">
        <f>'S&amp;U'!$D$22</f>
        <v>1.3</v>
      </c>
      <c r="N14" s="72">
        <f>'S&amp;U'!$D$22</f>
        <v>1.3</v>
      </c>
      <c r="O14" s="72">
        <f>'S&amp;U'!$D$22</f>
        <v>1.3</v>
      </c>
      <c r="P14" s="72">
        <f>'S&amp;U'!$D$22</f>
        <v>1.3</v>
      </c>
    </row>
    <row r="15" spans="1:16" ht="15" customHeight="1" x14ac:dyDescent="0.45">
      <c r="B15" s="16" t="s">
        <v>182</v>
      </c>
      <c r="G15">
        <f t="shared" ref="G15:O15" si="4">G13/G14</f>
        <v>150.23405456933094</v>
      </c>
      <c r="H15">
        <f t="shared" si="4"/>
        <v>297.05704333593138</v>
      </c>
      <c r="I15">
        <f t="shared" si="4"/>
        <v>451.91437021355608</v>
      </c>
      <c r="J15">
        <f t="shared" si="4"/>
        <v>464.97903039662856</v>
      </c>
      <c r="K15">
        <f t="shared" si="4"/>
        <v>464.39121082292979</v>
      </c>
      <c r="L15">
        <f t="shared" si="4"/>
        <v>463.80504515173226</v>
      </c>
      <c r="M15">
        <f t="shared" si="4"/>
        <v>463.2206326171858</v>
      </c>
      <c r="N15">
        <f t="shared" si="4"/>
        <v>251.25483812699696</v>
      </c>
      <c r="O15">
        <f t="shared" si="4"/>
        <v>18.41252359605631</v>
      </c>
      <c r="P15">
        <f t="shared" ref="P15" si="5">P13/P14</f>
        <v>5.4616160168598542</v>
      </c>
    </row>
    <row r="16" spans="1:16" ht="15" customHeight="1" x14ac:dyDescent="0.45">
      <c r="B16" s="16" t="s">
        <v>92</v>
      </c>
    </row>
    <row r="17" spans="1:16" ht="15" customHeight="1" x14ac:dyDescent="0.45">
      <c r="B17" s="16" t="s">
        <v>186</v>
      </c>
      <c r="G17">
        <f t="shared" ref="G17:O17" si="6">G15+G16</f>
        <v>150.23405456933094</v>
      </c>
      <c r="H17">
        <f t="shared" si="6"/>
        <v>297.05704333593138</v>
      </c>
      <c r="I17">
        <f t="shared" si="6"/>
        <v>451.91437021355608</v>
      </c>
      <c r="J17">
        <f t="shared" si="6"/>
        <v>464.97903039662856</v>
      </c>
      <c r="K17">
        <f t="shared" si="6"/>
        <v>464.39121082292979</v>
      </c>
      <c r="L17">
        <f t="shared" si="6"/>
        <v>463.80504515173226</v>
      </c>
      <c r="M17">
        <f t="shared" si="6"/>
        <v>463.2206326171858</v>
      </c>
      <c r="N17">
        <f t="shared" si="6"/>
        <v>251.25483812699696</v>
      </c>
      <c r="O17">
        <f t="shared" si="6"/>
        <v>18.41252359605631</v>
      </c>
      <c r="P17">
        <f t="shared" ref="P17" si="7">P15+P16</f>
        <v>5.4616160168598542</v>
      </c>
    </row>
    <row r="19" spans="1:16" ht="15" customHeight="1" x14ac:dyDescent="0.45">
      <c r="A19" s="15" t="s">
        <v>132</v>
      </c>
    </row>
    <row r="20" spans="1:16" ht="15" customHeight="1" x14ac:dyDescent="0.45">
      <c r="B20" s="16" t="s">
        <v>88</v>
      </c>
      <c r="C20" s="61">
        <f>'S&amp;U'!H14</f>
        <v>0.04</v>
      </c>
    </row>
    <row r="21" spans="1:16" ht="15" customHeight="1" x14ac:dyDescent="0.45">
      <c r="B21" s="16" t="s">
        <v>89</v>
      </c>
      <c r="C21" s="61">
        <f>'S&amp;U'!I14</f>
        <v>0.01</v>
      </c>
    </row>
    <row r="23" spans="1:16" ht="15" customHeight="1" x14ac:dyDescent="0.45">
      <c r="B23" s="16" t="s">
        <v>57</v>
      </c>
      <c r="D23">
        <f t="shared" ref="D23:P23" si="8">C25</f>
        <v>0</v>
      </c>
      <c r="E23">
        <f t="shared" si="8"/>
        <v>0</v>
      </c>
      <c r="F23">
        <f t="shared" si="8"/>
        <v>0</v>
      </c>
      <c r="G23">
        <f t="shared" si="8"/>
        <v>0</v>
      </c>
      <c r="H23">
        <f t="shared" si="8"/>
        <v>0</v>
      </c>
      <c r="I23">
        <f t="shared" si="8"/>
        <v>0</v>
      </c>
      <c r="J23">
        <f t="shared" si="8"/>
        <v>0</v>
      </c>
      <c r="K23">
        <f t="shared" si="8"/>
        <v>0</v>
      </c>
      <c r="L23">
        <f t="shared" si="8"/>
        <v>0</v>
      </c>
      <c r="M23">
        <f t="shared" si="8"/>
        <v>0</v>
      </c>
      <c r="N23">
        <f t="shared" si="8"/>
        <v>0</v>
      </c>
      <c r="O23">
        <f t="shared" si="8"/>
        <v>0</v>
      </c>
      <c r="P23">
        <f t="shared" si="8"/>
        <v>0</v>
      </c>
    </row>
    <row r="24" spans="1:16" ht="15" customHeight="1" x14ac:dyDescent="0.45">
      <c r="B24" s="16" t="s">
        <v>133</v>
      </c>
      <c r="G24">
        <f t="shared" ref="G24:P24" si="9">-MIN(G15,G23)</f>
        <v>0</v>
      </c>
      <c r="H24">
        <f t="shared" si="9"/>
        <v>0</v>
      </c>
      <c r="I24">
        <f t="shared" si="9"/>
        <v>0</v>
      </c>
      <c r="J24">
        <f t="shared" si="9"/>
        <v>0</v>
      </c>
      <c r="K24">
        <f t="shared" si="9"/>
        <v>0</v>
      </c>
      <c r="L24">
        <f t="shared" si="9"/>
        <v>0</v>
      </c>
      <c r="M24">
        <f t="shared" si="9"/>
        <v>0</v>
      </c>
      <c r="N24">
        <f t="shared" si="9"/>
        <v>0</v>
      </c>
      <c r="O24">
        <f t="shared" si="9"/>
        <v>0</v>
      </c>
      <c r="P24">
        <f t="shared" si="9"/>
        <v>0</v>
      </c>
    </row>
    <row r="25" spans="1:16" ht="15" customHeight="1" x14ac:dyDescent="0.45">
      <c r="B25" s="16" t="s">
        <v>59</v>
      </c>
      <c r="C25" s="63">
        <v>0</v>
      </c>
      <c r="D25">
        <f t="shared" ref="D25:P25" si="10">SUM(D23:D24)</f>
        <v>0</v>
      </c>
      <c r="E25">
        <f t="shared" si="10"/>
        <v>0</v>
      </c>
      <c r="F25">
        <f t="shared" si="10"/>
        <v>0</v>
      </c>
      <c r="G25">
        <f t="shared" si="10"/>
        <v>0</v>
      </c>
      <c r="H25">
        <f t="shared" si="10"/>
        <v>0</v>
      </c>
      <c r="I25">
        <f t="shared" si="10"/>
        <v>0</v>
      </c>
      <c r="J25">
        <f t="shared" si="10"/>
        <v>0</v>
      </c>
      <c r="K25">
        <f t="shared" si="10"/>
        <v>0</v>
      </c>
      <c r="L25">
        <f t="shared" si="10"/>
        <v>0</v>
      </c>
      <c r="M25">
        <f t="shared" si="10"/>
        <v>0</v>
      </c>
      <c r="N25">
        <f t="shared" si="10"/>
        <v>0</v>
      </c>
      <c r="O25">
        <f t="shared" si="10"/>
        <v>0</v>
      </c>
      <c r="P25">
        <f t="shared" si="10"/>
        <v>0</v>
      </c>
    </row>
    <row r="26" spans="1:16" ht="15" customHeight="1" x14ac:dyDescent="0.45">
      <c r="B26" s="16" t="s">
        <v>92</v>
      </c>
      <c r="D26">
        <f>-'S&amp;U'!$H$14*AVERAGE(Finance!C25:D25)</f>
        <v>0</v>
      </c>
      <c r="E26">
        <f>-'S&amp;U'!$H$14*AVERAGE(Finance!D25:E25)</f>
        <v>0</v>
      </c>
      <c r="F26">
        <f>-'S&amp;U'!$H$14*AVERAGE(Finance!E25:F25)</f>
        <v>0</v>
      </c>
      <c r="G26">
        <f>-'S&amp;U'!$H$14*AVERAGE(Finance!F25:G25)</f>
        <v>0</v>
      </c>
      <c r="H26">
        <f>-'S&amp;U'!$H$14*AVERAGE(Finance!G25:H25)</f>
        <v>0</v>
      </c>
      <c r="I26">
        <f>-'S&amp;U'!$H$14*AVERAGE(Finance!H25:I25)</f>
        <v>0</v>
      </c>
      <c r="J26">
        <f>-'S&amp;U'!$H$14*AVERAGE(Finance!I25:J25)</f>
        <v>0</v>
      </c>
      <c r="K26">
        <f>-'S&amp;U'!$H$14*AVERAGE(Finance!J25:K25)</f>
        <v>0</v>
      </c>
      <c r="L26">
        <f>-'S&amp;U'!$H$14*AVERAGE(Finance!K25:L25)</f>
        <v>0</v>
      </c>
      <c r="M26">
        <f>-'S&amp;U'!$H$14*AVERAGE(Finance!L25:M25)</f>
        <v>0</v>
      </c>
      <c r="N26">
        <f>-'S&amp;U'!$H$14*AVERAGE(Finance!M25:N25)</f>
        <v>0</v>
      </c>
      <c r="O26">
        <f>-'S&amp;U'!$H$14*AVERAGE(Finance!N25:O25)</f>
        <v>0</v>
      </c>
      <c r="P26">
        <f>-'S&amp;U'!$H$14*AVERAGE(Finance!O25:P25)</f>
        <v>0</v>
      </c>
    </row>
    <row r="28" spans="1:16" ht="15" customHeight="1" x14ac:dyDescent="0.45">
      <c r="B28" s="16" t="s">
        <v>93</v>
      </c>
      <c r="C28">
        <f>'S&amp;U'!$C$14-Finance!C25</f>
        <v>100</v>
      </c>
      <c r="D28">
        <f>'S&amp;U'!$C$14-Finance!D25</f>
        <v>100</v>
      </c>
      <c r="E28">
        <f>'S&amp;U'!$C$14-Finance!E25</f>
        <v>100</v>
      </c>
      <c r="F28">
        <f>'S&amp;U'!$C$14-Finance!F25</f>
        <v>100</v>
      </c>
      <c r="G28">
        <f>'S&amp;U'!$C$14-Finance!G25</f>
        <v>100</v>
      </c>
      <c r="H28">
        <f>'S&amp;U'!$C$14-Finance!H25</f>
        <v>100</v>
      </c>
      <c r="I28">
        <f>'S&amp;U'!$C$14-Finance!I25</f>
        <v>100</v>
      </c>
      <c r="J28">
        <f>'S&amp;U'!$C$14-Finance!J25</f>
        <v>100</v>
      </c>
      <c r="K28">
        <f>'S&amp;U'!$C$14-Finance!K25</f>
        <v>100</v>
      </c>
      <c r="L28">
        <f>'S&amp;U'!$C$14-Finance!L25</f>
        <v>100</v>
      </c>
      <c r="M28">
        <f>'S&amp;U'!$C$14-Finance!M25</f>
        <v>100</v>
      </c>
      <c r="N28">
        <f>'S&amp;U'!$C$14-Finance!N25</f>
        <v>100</v>
      </c>
      <c r="O28">
        <f>'S&amp;U'!$C$14-Finance!O25</f>
        <v>100</v>
      </c>
      <c r="P28">
        <f>'S&amp;U'!$C$14-Finance!P25</f>
        <v>100</v>
      </c>
    </row>
    <row r="29" spans="1:16" ht="15" customHeight="1" x14ac:dyDescent="0.45">
      <c r="B29" s="16" t="s">
        <v>89</v>
      </c>
      <c r="D29">
        <f>'S&amp;U'!$I$14*-AVERAGE(Finance!C28:D28)</f>
        <v>-1</v>
      </c>
      <c r="E29">
        <f>'S&amp;U'!$I$14*-AVERAGE(Finance!D28:E28)</f>
        <v>-1</v>
      </c>
      <c r="F29">
        <f>'S&amp;U'!$I$14*-AVERAGE(Finance!E28:F28)</f>
        <v>-1</v>
      </c>
      <c r="G29">
        <f>'S&amp;U'!$I$14*-AVERAGE(Finance!F28:G28)</f>
        <v>-1</v>
      </c>
      <c r="H29">
        <f>'S&amp;U'!$I$14*-AVERAGE(Finance!G28:H28)</f>
        <v>-1</v>
      </c>
      <c r="I29">
        <f>'S&amp;U'!$I$14*-AVERAGE(Finance!H28:I28)</f>
        <v>-1</v>
      </c>
      <c r="J29">
        <f>'S&amp;U'!$I$14*-AVERAGE(Finance!I28:J28)</f>
        <v>-1</v>
      </c>
      <c r="K29">
        <f>'S&amp;U'!$I$14*-AVERAGE(Finance!J28:K28)</f>
        <v>-1</v>
      </c>
      <c r="L29">
        <f>'S&amp;U'!$I$14*-AVERAGE(Finance!K28:L28)</f>
        <v>-1</v>
      </c>
      <c r="M29">
        <f>'S&amp;U'!$I$14*-AVERAGE(Finance!L28:M28)</f>
        <v>-1</v>
      </c>
      <c r="N29">
        <f>'S&amp;U'!$I$14*-AVERAGE(Finance!M28:N28)</f>
        <v>-1</v>
      </c>
      <c r="O29">
        <f>'S&amp;U'!$I$14*-AVERAGE(Finance!N28:O28)</f>
        <v>-1</v>
      </c>
      <c r="P29">
        <f>'S&amp;U'!$I$14*-AVERAGE(Finance!O28:P28)</f>
        <v>-1</v>
      </c>
    </row>
    <row r="30" spans="1:16" ht="15" customHeight="1" x14ac:dyDescent="0.45">
      <c r="B30" s="16" t="s">
        <v>175</v>
      </c>
      <c r="D30">
        <f t="shared" ref="D30:P30" si="11">IF(D4&gt;$C$35,D26+D29,0)</f>
        <v>-1</v>
      </c>
      <c r="E30">
        <f t="shared" si="11"/>
        <v>-1</v>
      </c>
      <c r="F30">
        <f t="shared" si="11"/>
        <v>-1</v>
      </c>
      <c r="G30">
        <f t="shared" si="11"/>
        <v>-1</v>
      </c>
      <c r="H30">
        <f t="shared" si="11"/>
        <v>-1</v>
      </c>
      <c r="I30">
        <f t="shared" si="11"/>
        <v>-1</v>
      </c>
      <c r="J30">
        <f t="shared" si="11"/>
        <v>-1</v>
      </c>
      <c r="K30">
        <f t="shared" si="11"/>
        <v>-1</v>
      </c>
      <c r="L30">
        <f t="shared" si="11"/>
        <v>-1</v>
      </c>
      <c r="M30">
        <f t="shared" si="11"/>
        <v>-1</v>
      </c>
      <c r="N30">
        <f t="shared" si="11"/>
        <v>-1</v>
      </c>
      <c r="O30">
        <f t="shared" si="11"/>
        <v>-1</v>
      </c>
      <c r="P30">
        <f t="shared" si="11"/>
        <v>-1</v>
      </c>
    </row>
    <row r="32" spans="1:16" ht="15" customHeight="1" x14ac:dyDescent="0.45">
      <c r="B32" s="16" t="s">
        <v>179</v>
      </c>
      <c r="G32">
        <f>G17+G24</f>
        <v>150.23405456933094</v>
      </c>
      <c r="H32">
        <f t="shared" ref="H32:P32" si="12">H17+H24</f>
        <v>297.05704333593138</v>
      </c>
      <c r="I32">
        <f t="shared" si="12"/>
        <v>451.91437021355608</v>
      </c>
      <c r="J32">
        <f t="shared" si="12"/>
        <v>464.97903039662856</v>
      </c>
      <c r="K32">
        <f t="shared" si="12"/>
        <v>464.39121082292979</v>
      </c>
      <c r="L32">
        <f t="shared" si="12"/>
        <v>463.80504515173226</v>
      </c>
      <c r="M32">
        <f t="shared" si="12"/>
        <v>463.2206326171858</v>
      </c>
      <c r="N32">
        <f t="shared" si="12"/>
        <v>251.25483812699696</v>
      </c>
      <c r="O32">
        <f t="shared" si="12"/>
        <v>18.41252359605631</v>
      </c>
      <c r="P32">
        <f t="shared" si="12"/>
        <v>5.4616160168598542</v>
      </c>
    </row>
    <row r="34" spans="1:16" ht="15" customHeight="1" x14ac:dyDescent="0.45">
      <c r="A34" s="15" t="s">
        <v>176</v>
      </c>
    </row>
    <row r="35" spans="1:16" ht="15" customHeight="1" x14ac:dyDescent="0.45">
      <c r="B35" s="16" t="s">
        <v>194</v>
      </c>
      <c r="C35" s="69">
        <f>'S&amp;U'!J15</f>
        <v>0</v>
      </c>
    </row>
    <row r="36" spans="1:16" ht="15" customHeight="1" x14ac:dyDescent="0.45">
      <c r="B36" s="16" t="s">
        <v>88</v>
      </c>
      <c r="C36" s="61">
        <f>'S&amp;U'!H15</f>
        <v>0.04</v>
      </c>
    </row>
    <row r="37" spans="1:16" ht="15" customHeight="1" x14ac:dyDescent="0.45">
      <c r="B37" s="16" t="s">
        <v>89</v>
      </c>
      <c r="C37" s="61">
        <f>'S&amp;U'!I15</f>
        <v>0.01</v>
      </c>
    </row>
    <row r="38" spans="1:16" ht="15" customHeight="1" x14ac:dyDescent="0.45">
      <c r="C38" s="61"/>
    </row>
    <row r="39" spans="1:16" ht="15" customHeight="1" x14ac:dyDescent="0.45">
      <c r="B39" s="16" t="s">
        <v>57</v>
      </c>
      <c r="D39">
        <f>C43</f>
        <v>0</v>
      </c>
      <c r="E39">
        <f t="shared" ref="E39:G39" si="13">D43</f>
        <v>263.72082441879297</v>
      </c>
      <c r="F39">
        <f t="shared" si="13"/>
        <v>1114.6508369951489</v>
      </c>
      <c r="G39">
        <f t="shared" si="13"/>
        <v>1850</v>
      </c>
      <c r="H39">
        <f t="shared" ref="H39:P39" si="14">G43</f>
        <v>1699.785945430669</v>
      </c>
      <c r="I39">
        <f t="shared" si="14"/>
        <v>1402.7689020947375</v>
      </c>
      <c r="J39">
        <f t="shared" si="14"/>
        <v>950.86453188118139</v>
      </c>
      <c r="K39">
        <f t="shared" si="14"/>
        <v>485.88550148455283</v>
      </c>
      <c r="L39">
        <f t="shared" si="14"/>
        <v>21.49429066162304</v>
      </c>
      <c r="M39">
        <f t="shared" si="14"/>
        <v>0</v>
      </c>
      <c r="N39">
        <f t="shared" si="14"/>
        <v>0</v>
      </c>
      <c r="O39">
        <f t="shared" si="14"/>
        <v>0</v>
      </c>
      <c r="P39">
        <f t="shared" si="14"/>
        <v>0</v>
      </c>
    </row>
    <row r="40" spans="1:16" ht="15" customHeight="1" x14ac:dyDescent="0.45">
      <c r="B40" s="16" t="s">
        <v>90</v>
      </c>
      <c r="D40">
        <f>'S&amp;U'!D15</f>
        <v>263.72082441879297</v>
      </c>
      <c r="E40">
        <f>'S&amp;U'!E15</f>
        <v>850.93001257635592</v>
      </c>
      <c r="F40">
        <f>'S&amp;U'!F15</f>
        <v>735.34916300485111</v>
      </c>
      <c r="G40">
        <f>'S&amp;U'!G15</f>
        <v>0.02</v>
      </c>
      <c r="H40">
        <f>'S&amp;U'!H15</f>
        <v>0.04</v>
      </c>
      <c r="I40">
        <f>'S&amp;U'!I15</f>
        <v>0.01</v>
      </c>
      <c r="J40">
        <f>'S&amp;U'!J15</f>
        <v>0</v>
      </c>
      <c r="K40">
        <f>'S&amp;U'!K15</f>
        <v>0</v>
      </c>
      <c r="L40">
        <f>'S&amp;U'!L15</f>
        <v>0</v>
      </c>
      <c r="M40">
        <f>'S&amp;U'!M15</f>
        <v>0</v>
      </c>
      <c r="N40">
        <f>'S&amp;U'!N15</f>
        <v>0</v>
      </c>
      <c r="O40">
        <f>'S&amp;U'!O15</f>
        <v>0</v>
      </c>
      <c r="P40">
        <f>'S&amp;U'!P15</f>
        <v>0</v>
      </c>
    </row>
    <row r="41" spans="1:16" ht="15" customHeight="1" x14ac:dyDescent="0.45">
      <c r="B41" s="16" t="s">
        <v>91</v>
      </c>
      <c r="G41">
        <f>-MIN(G39,G32)</f>
        <v>-150.23405456933094</v>
      </c>
      <c r="H41">
        <f t="shared" ref="H41:P41" si="15">-MIN(H39,H32)</f>
        <v>-297.05704333593138</v>
      </c>
      <c r="I41">
        <f t="shared" si="15"/>
        <v>-451.91437021355608</v>
      </c>
      <c r="J41">
        <f t="shared" si="15"/>
        <v>-464.97903039662856</v>
      </c>
      <c r="K41">
        <f t="shared" si="15"/>
        <v>-464.39121082292979</v>
      </c>
      <c r="L41">
        <f t="shared" si="15"/>
        <v>-21.49429066162304</v>
      </c>
      <c r="M41">
        <f t="shared" si="15"/>
        <v>0</v>
      </c>
      <c r="N41">
        <f t="shared" si="15"/>
        <v>0</v>
      </c>
      <c r="O41">
        <f t="shared" si="15"/>
        <v>0</v>
      </c>
      <c r="P41">
        <f t="shared" si="15"/>
        <v>0</v>
      </c>
    </row>
    <row r="42" spans="1:16" ht="15" customHeight="1" x14ac:dyDescent="0.45">
      <c r="B42" s="16" t="s">
        <v>193</v>
      </c>
      <c r="D42" s="75">
        <f>IF(AND(D4&lt;=$C$35,switch=1),-Finance!D44-Finance!D47,0)</f>
        <v>0</v>
      </c>
      <c r="E42" s="75">
        <f>IF(AND(E4&lt;=$C$35,switch=1),-Finance!E44-Finance!E47,0)</f>
        <v>0</v>
      </c>
      <c r="F42" s="75">
        <f>IF(AND(F4&lt;=$C$35,switch=1),-Finance!F44-Finance!F47,0)</f>
        <v>0</v>
      </c>
      <c r="G42" s="75">
        <f>IF(AND(G4&lt;=$C$35,switch=1),-Finance!G44-Finance!G47,0)</f>
        <v>0</v>
      </c>
      <c r="H42" s="75">
        <f>IF(AND(H4&lt;=$C$35,switch=1),-Finance!H44-Finance!H47,0)</f>
        <v>0</v>
      </c>
      <c r="I42" s="75">
        <f>IF(AND(I4&lt;=$C$35,switch=1),-Finance!I44-Finance!I47,0)</f>
        <v>0</v>
      </c>
      <c r="J42" s="75">
        <f>IF(AND(J4&lt;=$C$35,switch=1),-Finance!J44-Finance!J47,0)</f>
        <v>0</v>
      </c>
      <c r="K42" s="75">
        <f>IF(AND(K4&lt;=$C$35,switch=1),-Finance!K44-Finance!K47,0)</f>
        <v>0</v>
      </c>
      <c r="L42" s="75">
        <f>IF(AND(L4&lt;=$C$35,switch=1),-Finance!L44-Finance!L47,0)</f>
        <v>0</v>
      </c>
      <c r="M42" s="75">
        <f>IF(AND(M4&lt;=$C$35,switch=1),-Finance!M44-Finance!M47,0)</f>
        <v>0</v>
      </c>
      <c r="N42" s="75">
        <f>IF(AND(N4&lt;=$C$35,switch=1),-Finance!N44-Finance!N47,0)</f>
        <v>0</v>
      </c>
      <c r="O42" s="75">
        <f>IF(AND(O4&lt;=$C$35,switch=1),-Finance!O44-Finance!O47,0)</f>
        <v>0</v>
      </c>
      <c r="P42" s="75">
        <f>IF(AND(P4&lt;=$C$35,switch=1),-Finance!P44-Finance!P47,0)</f>
        <v>0</v>
      </c>
    </row>
    <row r="43" spans="1:16" ht="15" customHeight="1" x14ac:dyDescent="0.45">
      <c r="B43" s="16" t="s">
        <v>59</v>
      </c>
      <c r="C43" s="63">
        <v>0</v>
      </c>
      <c r="D43">
        <f>SUM(D39:D42)</f>
        <v>263.72082441879297</v>
      </c>
      <c r="E43">
        <f t="shared" ref="E43:G43" si="16">SUM(E39:E42)</f>
        <v>1114.6508369951489</v>
      </c>
      <c r="F43">
        <f t="shared" si="16"/>
        <v>1850</v>
      </c>
      <c r="G43">
        <f t="shared" si="16"/>
        <v>1699.785945430669</v>
      </c>
      <c r="H43">
        <f t="shared" ref="H43" si="17">SUM(H39:H42)</f>
        <v>1402.7689020947375</v>
      </c>
      <c r="I43">
        <f t="shared" ref="I43" si="18">SUM(I39:I42)</f>
        <v>950.86453188118139</v>
      </c>
      <c r="J43">
        <f t="shared" ref="J43" si="19">SUM(J39:J42)</f>
        <v>485.88550148455283</v>
      </c>
      <c r="K43">
        <f t="shared" ref="K43" si="20">SUM(K39:K42)</f>
        <v>21.49429066162304</v>
      </c>
      <c r="L43">
        <f t="shared" ref="L43" si="21">SUM(L39:L42)</f>
        <v>0</v>
      </c>
      <c r="M43">
        <f t="shared" ref="M43" si="22">SUM(M39:M42)</f>
        <v>0</v>
      </c>
      <c r="N43">
        <f t="shared" ref="N43" si="23">SUM(N39:N42)</f>
        <v>0</v>
      </c>
      <c r="O43">
        <f t="shared" ref="O43" si="24">SUM(O39:O42)</f>
        <v>0</v>
      </c>
      <c r="P43">
        <f t="shared" ref="P43" si="25">SUM(P39:P42)</f>
        <v>0</v>
      </c>
    </row>
    <row r="44" spans="1:16" ht="15" customHeight="1" x14ac:dyDescent="0.45">
      <c r="B44" s="16" t="s">
        <v>92</v>
      </c>
      <c r="D44">
        <f>-$C$36*AVERAGE(C43:D43)</f>
        <v>-5.2744164883758593</v>
      </c>
      <c r="E44">
        <f t="shared" ref="E44:G44" si="26">-$C$36*AVERAGE(D43:E43)</f>
        <v>-27.567433228278837</v>
      </c>
      <c r="F44">
        <f t="shared" si="26"/>
        <v>-59.293016739902981</v>
      </c>
      <c r="G44">
        <f t="shared" si="26"/>
        <v>-70.995718908613384</v>
      </c>
      <c r="H44">
        <f t="shared" ref="H44" si="27">-$C$36*AVERAGE(G43:H43)</f>
        <v>-62.051096950508125</v>
      </c>
      <c r="I44">
        <f t="shared" ref="I44" si="28">-$C$36*AVERAGE(H43:I43)</f>
        <v>-47.072668679518372</v>
      </c>
      <c r="J44">
        <f t="shared" ref="J44" si="29">-$C$36*AVERAGE(I43:J43)</f>
        <v>-28.735000667314686</v>
      </c>
      <c r="K44">
        <f t="shared" ref="K44" si="30">-$C$36*AVERAGE(J43:K43)</f>
        <v>-10.147595842923518</v>
      </c>
      <c r="L44">
        <f t="shared" ref="L44" si="31">-$C$36*AVERAGE(K43:L43)</f>
        <v>-0.42988581323246083</v>
      </c>
      <c r="M44">
        <f t="shared" ref="M44" si="32">-$C$36*AVERAGE(L43:M43)</f>
        <v>0</v>
      </c>
      <c r="N44">
        <f t="shared" ref="N44" si="33">-$C$36*AVERAGE(M43:N43)</f>
        <v>0</v>
      </c>
      <c r="O44">
        <f t="shared" ref="O44" si="34">-$C$36*AVERAGE(N43:O43)</f>
        <v>0</v>
      </c>
      <c r="P44">
        <f t="shared" ref="P44" si="35">-$C$36*AVERAGE(O43:P43)</f>
        <v>0</v>
      </c>
    </row>
    <row r="46" spans="1:16" ht="15" customHeight="1" x14ac:dyDescent="0.45">
      <c r="B46" s="16" t="s">
        <v>93</v>
      </c>
      <c r="C46">
        <f>'S&amp;U'!$C$15-Finance!C43</f>
        <v>1850</v>
      </c>
      <c r="D46">
        <f>'S&amp;U'!$C$15-Finance!D43</f>
        <v>1586.279175581207</v>
      </c>
      <c r="E46">
        <f>'S&amp;U'!$C$15-Finance!E43</f>
        <v>735.34916300485111</v>
      </c>
      <c r="F46">
        <f>'S&amp;U'!$C$15-Finance!F43</f>
        <v>0</v>
      </c>
    </row>
    <row r="47" spans="1:16" ht="15" customHeight="1" x14ac:dyDescent="0.45">
      <c r="B47" s="16" t="s">
        <v>89</v>
      </c>
      <c r="D47">
        <f>-$C$37*AVERAGE(C46:D46)</f>
        <v>-17.181395877906034</v>
      </c>
      <c r="E47">
        <f t="shared" ref="E47:F47" si="36">-$C$37*AVERAGE(D46:E46)</f>
        <v>-11.608141692930289</v>
      </c>
      <c r="F47">
        <f t="shared" si="36"/>
        <v>-3.6767458150242556</v>
      </c>
    </row>
    <row r="48" spans="1:16" ht="15" customHeight="1" x14ac:dyDescent="0.45">
      <c r="B48" s="16" t="s">
        <v>185</v>
      </c>
      <c r="D48">
        <f>IF(AND(D4&gt;$C$35,switch=1),Finance!D44+Finance!D47,0)</f>
        <v>-22.455812366281894</v>
      </c>
      <c r="E48">
        <f>IF(AND(E4&gt;$C$35,switch=1),Finance!E44+Finance!E47,0)</f>
        <v>-39.175574921209126</v>
      </c>
      <c r="F48">
        <f>IF(AND(F4&gt;$C$35,switch=1),Finance!F44+Finance!F47,0)</f>
        <v>-62.969762554927236</v>
      </c>
      <c r="G48">
        <f>IF(AND(G4&gt;$C$35,switch=1),Finance!G44+Finance!G47,0)</f>
        <v>-70.995718908613384</v>
      </c>
      <c r="H48">
        <f>IF(AND(H4&gt;$C$35,switch=1),Finance!H44+Finance!H47,0)</f>
        <v>-62.051096950508125</v>
      </c>
      <c r="I48">
        <f>IF(AND(I4&gt;$C$35,switch=1),Finance!I44+Finance!I47,0)</f>
        <v>-47.072668679518372</v>
      </c>
      <c r="J48">
        <f>IF(AND(J4&gt;$C$35,switch=1),Finance!J44+Finance!J47,0)</f>
        <v>-28.735000667314686</v>
      </c>
      <c r="K48">
        <f>IF(AND(K4&gt;$C$35,switch=1),Finance!K44+Finance!K47,0)</f>
        <v>-10.147595842923518</v>
      </c>
      <c r="L48">
        <f>IF(AND(L4&gt;$C$35,switch=1),Finance!L44+Finance!L47,0)</f>
        <v>-0.42988581323246083</v>
      </c>
      <c r="M48">
        <f>IF(AND(M4&gt;$C$35,switch=1),Finance!M44+Finance!M47,0)</f>
        <v>0</v>
      </c>
      <c r="N48">
        <f>IF(AND(N4&gt;$C$35,switch=1),Finance!N44+Finance!N47,0)</f>
        <v>0</v>
      </c>
      <c r="O48">
        <f>IF(AND(O4&gt;$C$35,switch=1),Finance!O44+Finance!O47,0)</f>
        <v>0</v>
      </c>
      <c r="P48">
        <f>IF(AND(P4&gt;$C$35,switch=1),Finance!P44+Finance!P47,0)</f>
        <v>0</v>
      </c>
    </row>
    <row r="50" spans="1:16" ht="15" customHeight="1" x14ac:dyDescent="0.45">
      <c r="B50" s="16" t="s">
        <v>188</v>
      </c>
      <c r="G50">
        <f>-(H41+H48)</f>
        <v>359.10814028643949</v>
      </c>
      <c r="H50">
        <f t="shared" ref="H50:P50" si="37">-(I41+I48)</f>
        <v>498.98703889307444</v>
      </c>
      <c r="I50">
        <f t="shared" si="37"/>
        <v>493.71403106394325</v>
      </c>
      <c r="J50">
        <f t="shared" si="37"/>
        <v>474.53880666585331</v>
      </c>
      <c r="K50">
        <f t="shared" si="37"/>
        <v>21.9241764748555</v>
      </c>
      <c r="L50">
        <f t="shared" si="37"/>
        <v>0</v>
      </c>
      <c r="M50">
        <f t="shared" si="37"/>
        <v>0</v>
      </c>
      <c r="N50">
        <f t="shared" si="37"/>
        <v>0</v>
      </c>
      <c r="O50">
        <f t="shared" si="37"/>
        <v>0</v>
      </c>
      <c r="P50">
        <f t="shared" si="37"/>
        <v>0</v>
      </c>
    </row>
    <row r="52" spans="1:16" ht="15" customHeight="1" x14ac:dyDescent="0.45">
      <c r="B52" s="16" t="s">
        <v>187</v>
      </c>
      <c r="G52">
        <f>F55</f>
        <v>338.28571428571428</v>
      </c>
      <c r="H52">
        <f t="shared" ref="H52:P52" si="38">G55</f>
        <v>359.10814028643949</v>
      </c>
      <c r="I52">
        <f t="shared" si="38"/>
        <v>448.22525328721889</v>
      </c>
      <c r="J52">
        <f t="shared" si="38"/>
        <v>493.71403106394325</v>
      </c>
      <c r="K52">
        <f t="shared" si="38"/>
        <v>474.53880666585331</v>
      </c>
      <c r="L52">
        <f t="shared" si="38"/>
        <v>21.924176474855471</v>
      </c>
      <c r="M52">
        <f t="shared" si="38"/>
        <v>0</v>
      </c>
      <c r="N52">
        <f t="shared" si="38"/>
        <v>0</v>
      </c>
      <c r="O52">
        <f t="shared" si="38"/>
        <v>0</v>
      </c>
      <c r="P52">
        <f t="shared" si="38"/>
        <v>0</v>
      </c>
    </row>
    <row r="53" spans="1:16" ht="15" customHeight="1" x14ac:dyDescent="0.45">
      <c r="B53" s="16" t="s">
        <v>183</v>
      </c>
      <c r="G53">
        <f>G13+G16+G24+G41</f>
        <v>45.070216370799272</v>
      </c>
      <c r="H53">
        <f t="shared" ref="H53:P53" si="39">H13+H16+H24+H41</f>
        <v>89.117113000779398</v>
      </c>
      <c r="I53">
        <f t="shared" si="39"/>
        <v>135.57431106406688</v>
      </c>
      <c r="J53">
        <f t="shared" si="39"/>
        <v>139.49370911898859</v>
      </c>
      <c r="K53">
        <f t="shared" si="39"/>
        <v>139.31736324687893</v>
      </c>
      <c r="L53">
        <f t="shared" si="39"/>
        <v>581.45226803562889</v>
      </c>
      <c r="M53">
        <f t="shared" si="39"/>
        <v>602.18682240234159</v>
      </c>
      <c r="N53">
        <f t="shared" si="39"/>
        <v>326.63128956509604</v>
      </c>
      <c r="O53">
        <f t="shared" si="39"/>
        <v>23.936280674873206</v>
      </c>
      <c r="P53">
        <f t="shared" si="39"/>
        <v>7.1001008219178106</v>
      </c>
    </row>
    <row r="54" spans="1:16" ht="15" customHeight="1" x14ac:dyDescent="0.45">
      <c r="B54" s="16" t="s">
        <v>180</v>
      </c>
      <c r="G54">
        <f>-MAX(G52+G53-G50,0)</f>
        <v>-24.247790370074085</v>
      </c>
      <c r="H54">
        <f t="shared" ref="H54:P54" si="40">-MAX(H52+H53-H50,0)</f>
        <v>0</v>
      </c>
      <c r="I54">
        <f t="shared" si="40"/>
        <v>-90.085533287342514</v>
      </c>
      <c r="J54">
        <f t="shared" si="40"/>
        <v>-158.66893351707853</v>
      </c>
      <c r="K54">
        <f t="shared" si="40"/>
        <v>-591.93199343787671</v>
      </c>
      <c r="L54">
        <f t="shared" si="40"/>
        <v>-603.37644451048436</v>
      </c>
      <c r="M54">
        <f t="shared" si="40"/>
        <v>-602.18682240234159</v>
      </c>
      <c r="N54">
        <f t="shared" si="40"/>
        <v>-326.63128956509604</v>
      </c>
      <c r="O54">
        <f t="shared" si="40"/>
        <v>-23.936280674873206</v>
      </c>
      <c r="P54">
        <f t="shared" si="40"/>
        <v>-7.1001008219178106</v>
      </c>
    </row>
    <row r="55" spans="1:16" ht="15" customHeight="1" x14ac:dyDescent="0.45">
      <c r="B55" s="16" t="s">
        <v>189</v>
      </c>
      <c r="F55">
        <f>'S&amp;U'!F10</f>
        <v>338.28571428571428</v>
      </c>
      <c r="G55">
        <f>SUM(G52:G54)</f>
        <v>359.10814028643949</v>
      </c>
      <c r="H55">
        <f t="shared" ref="H55:P55" si="41">SUM(H52:H54)</f>
        <v>448.22525328721889</v>
      </c>
      <c r="I55">
        <f t="shared" si="41"/>
        <v>493.71403106394325</v>
      </c>
      <c r="J55">
        <f t="shared" si="41"/>
        <v>474.53880666585331</v>
      </c>
      <c r="K55">
        <f t="shared" si="41"/>
        <v>21.924176474855471</v>
      </c>
      <c r="L55">
        <f t="shared" si="41"/>
        <v>0</v>
      </c>
      <c r="M55">
        <f t="shared" si="41"/>
        <v>0</v>
      </c>
      <c r="N55">
        <f t="shared" si="41"/>
        <v>0</v>
      </c>
      <c r="O55">
        <f t="shared" si="41"/>
        <v>0</v>
      </c>
      <c r="P55">
        <f t="shared" si="41"/>
        <v>0</v>
      </c>
    </row>
    <row r="60" spans="1:16" ht="15" customHeight="1" x14ac:dyDescent="0.45">
      <c r="A60" s="15" t="s">
        <v>94</v>
      </c>
    </row>
    <row r="61" spans="1:16" ht="15" customHeight="1" x14ac:dyDescent="0.45">
      <c r="B61" s="16" t="s">
        <v>95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15" customHeight="1" x14ac:dyDescent="0.45">
      <c r="B62" s="16" t="s">
        <v>141</v>
      </c>
      <c r="E62" s="65"/>
      <c r="F62" s="65"/>
    </row>
    <row r="63" spans="1:16" ht="15" customHeight="1" x14ac:dyDescent="0.45">
      <c r="B63" s="16" t="s">
        <v>199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" customHeight="1" x14ac:dyDescent="0.45">
      <c r="B64" s="16" t="s">
        <v>100</v>
      </c>
    </row>
    <row r="65" spans="1:3" ht="15" customHeight="1" x14ac:dyDescent="0.45">
      <c r="B65" s="16" t="s">
        <v>101</v>
      </c>
      <c r="C65" s="61"/>
    </row>
    <row r="67" spans="1:3" ht="15" customHeight="1" x14ac:dyDescent="0.45">
      <c r="A67"/>
      <c r="B67"/>
    </row>
    <row r="68" spans="1:3" ht="15" customHeight="1" x14ac:dyDescent="0.45">
      <c r="A68"/>
      <c r="B68"/>
    </row>
    <row r="69" spans="1:3" ht="15" customHeight="1" x14ac:dyDescent="0.45">
      <c r="A69"/>
      <c r="B69"/>
    </row>
    <row r="70" spans="1:3" ht="15" customHeight="1" x14ac:dyDescent="0.45">
      <c r="A70"/>
      <c r="B70"/>
    </row>
    <row r="71" spans="1:3" ht="15" customHeight="1" x14ac:dyDescent="0.45">
      <c r="A71"/>
      <c r="B71"/>
    </row>
    <row r="72" spans="1:3" ht="15" customHeight="1" x14ac:dyDescent="0.45">
      <c r="A72"/>
      <c r="B72"/>
    </row>
    <row r="73" spans="1:3" ht="15" customHeight="1" x14ac:dyDescent="0.45">
      <c r="A73"/>
      <c r="B73"/>
    </row>
    <row r="74" spans="1:3" ht="15" customHeight="1" x14ac:dyDescent="0.45">
      <c r="A74"/>
      <c r="B74"/>
    </row>
    <row r="75" spans="1:3" ht="15" customHeight="1" x14ac:dyDescent="0.45">
      <c r="A75"/>
      <c r="B75"/>
    </row>
    <row r="76" spans="1:3" ht="15" customHeight="1" x14ac:dyDescent="0.45">
      <c r="A76"/>
      <c r="B76"/>
    </row>
    <row r="77" spans="1:3" ht="15" customHeight="1" x14ac:dyDescent="0.45">
      <c r="A77"/>
      <c r="B77"/>
    </row>
    <row r="78" spans="1:3" ht="15" customHeight="1" x14ac:dyDescent="0.45">
      <c r="A78"/>
      <c r="B78"/>
    </row>
    <row r="79" spans="1:3" ht="15" customHeight="1" x14ac:dyDescent="0.45">
      <c r="A79"/>
      <c r="B79"/>
    </row>
    <row r="80" spans="1:3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  <row r="107" spans="1:2" ht="15" customHeight="1" x14ac:dyDescent="0.45">
      <c r="A107"/>
      <c r="B107"/>
    </row>
    <row r="108" spans="1:2" ht="15" customHeight="1" x14ac:dyDescent="0.45">
      <c r="A108"/>
      <c r="B108"/>
    </row>
    <row r="109" spans="1:2" ht="15" customHeight="1" x14ac:dyDescent="0.45">
      <c r="A109"/>
      <c r="B109"/>
    </row>
    <row r="110" spans="1:2" ht="15" customHeight="1" x14ac:dyDescent="0.45">
      <c r="A110"/>
      <c r="B110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48</v>
      </c>
    </row>
    <row r="5" spans="1:16" ht="15" customHeight="1" x14ac:dyDescent="0.45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136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138</v>
      </c>
    </row>
    <row r="11" spans="1:16" ht="15" customHeight="1" x14ac:dyDescent="0.45">
      <c r="A11" s="60"/>
      <c r="B11" s="16" t="s">
        <v>57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927.52775381286483</v>
      </c>
      <c r="I11">
        <f t="shared" si="3"/>
        <v>1088.3564402468442</v>
      </c>
      <c r="J11">
        <f t="shared" si="3"/>
        <v>1332.5349869171746</v>
      </c>
      <c r="K11">
        <f t="shared" si="3"/>
        <v>1575.7783088547062</v>
      </c>
      <c r="L11">
        <f t="shared" si="3"/>
        <v>1818.0782925754713</v>
      </c>
      <c r="M11">
        <f t="shared" si="3"/>
        <v>2059.426337786464</v>
      </c>
      <c r="N11">
        <f t="shared" si="3"/>
        <v>2299.8133281770979</v>
      </c>
      <c r="O11">
        <f t="shared" si="3"/>
        <v>2416.7611974235638</v>
      </c>
      <c r="P11">
        <f t="shared" si="3"/>
        <v>2428.2351885870848</v>
      </c>
    </row>
    <row r="12" spans="1:16" ht="15" customHeight="1" x14ac:dyDescent="0.45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>IS!G27</f>
        <v>90.785053225780743</v>
      </c>
      <c r="H12">
        <f>IS!H27</f>
        <v>160.82868643397939</v>
      </c>
      <c r="I12">
        <f>IS!I27</f>
        <v>244.17854667033035</v>
      </c>
      <c r="J12">
        <f>IS!J27</f>
        <v>243.24332193753162</v>
      </c>
      <c r="K12">
        <f>IS!K27</f>
        <v>242.2999837207652</v>
      </c>
      <c r="L12">
        <f>IS!L27</f>
        <v>241.34804521099267</v>
      </c>
      <c r="M12">
        <f>IS!M27</f>
        <v>240.38699039063385</v>
      </c>
      <c r="N12">
        <f>IS!N27</f>
        <v>116.94786924646576</v>
      </c>
      <c r="O12">
        <f>IS!O27</f>
        <v>11.473991163521045</v>
      </c>
      <c r="P12">
        <f>IS!P27</f>
        <v>0</v>
      </c>
    </row>
    <row r="13" spans="1:16" ht="15" customHeight="1" x14ac:dyDescent="0.45">
      <c r="B13" s="16" t="s">
        <v>140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 x14ac:dyDescent="0.45">
      <c r="A14" s="60"/>
      <c r="B14" s="16" t="s">
        <v>141</v>
      </c>
    </row>
    <row r="15" spans="1:16" ht="15" customHeight="1" x14ac:dyDescent="0.45">
      <c r="B15" s="16" t="s">
        <v>142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927.52775381286483</v>
      </c>
      <c r="H15">
        <f t="shared" si="4"/>
        <v>1088.3564402468442</v>
      </c>
      <c r="I15">
        <f t="shared" si="4"/>
        <v>1332.5349869171746</v>
      </c>
      <c r="J15">
        <f t="shared" si="4"/>
        <v>1575.7783088547062</v>
      </c>
      <c r="K15">
        <f t="shared" si="4"/>
        <v>1818.0782925754713</v>
      </c>
      <c r="L15">
        <f t="shared" si="4"/>
        <v>2059.426337786464</v>
      </c>
      <c r="M15">
        <f t="shared" si="4"/>
        <v>2299.8133281770979</v>
      </c>
      <c r="N15">
        <f t="shared" si="4"/>
        <v>2416.7611974235638</v>
      </c>
      <c r="O15">
        <f t="shared" si="4"/>
        <v>2428.2351885870848</v>
      </c>
      <c r="P15">
        <f t="shared" si="4"/>
        <v>2428.2351885870848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36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169</v>
      </c>
    </row>
    <row r="5" spans="1:16" ht="15" customHeight="1" x14ac:dyDescent="0.45">
      <c r="B5" s="16" t="s">
        <v>31</v>
      </c>
      <c r="F5">
        <f>'S&amp;U'!F29</f>
        <v>59.6</v>
      </c>
    </row>
    <row r="6" spans="1:16" ht="15" customHeight="1" x14ac:dyDescent="0.45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32</v>
      </c>
      <c r="F8">
        <f>'S&amp;U'!F32</f>
        <v>172.84</v>
      </c>
    </row>
    <row r="9" spans="1:16" ht="15" customHeight="1" x14ac:dyDescent="0.45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28</v>
      </c>
    </row>
    <row r="12" spans="1:16" ht="15" customHeight="1" x14ac:dyDescent="0.45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61</v>
      </c>
      <c r="F18">
        <f>'S&amp;U'!C6</f>
        <v>2142</v>
      </c>
    </row>
    <row r="19" spans="1:16" ht="15" customHeight="1" x14ac:dyDescent="0.45">
      <c r="A19"/>
      <c r="B19" s="16" t="s">
        <v>62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56</v>
      </c>
      <c r="B21"/>
    </row>
    <row r="22" spans="1:16" ht="15" customHeight="1" x14ac:dyDescent="0.45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70</v>
      </c>
      <c r="F27">
        <f>SUM('S&amp;U'!D55:F55)</f>
        <v>209.09683223257133</v>
      </c>
    </row>
    <row r="28" spans="1:16" ht="15" customHeight="1" x14ac:dyDescent="0.45">
      <c r="B28" s="16" t="s">
        <v>71</v>
      </c>
      <c r="F28">
        <f>F27/-F15</f>
        <v>-2.3388907408565025</v>
      </c>
    </row>
    <row r="30" spans="1:16" ht="15" customHeight="1" x14ac:dyDescent="0.45">
      <c r="A30" s="15" t="s">
        <v>66</v>
      </c>
    </row>
    <row r="31" spans="1:16" ht="15" customHeight="1" x14ac:dyDescent="0.45">
      <c r="B31" s="16" t="s">
        <v>57</v>
      </c>
      <c r="D31">
        <f>C34</f>
        <v>0</v>
      </c>
      <c r="E31">
        <f>D34</f>
        <v>203</v>
      </c>
      <c r="F31">
        <f>E34</f>
        <v>206.03147195755889</v>
      </c>
      <c r="G31">
        <f>F34</f>
        <v>209.09683223257133</v>
      </c>
      <c r="H31">
        <f t="shared" ref="H31:P31" si="11">G34</f>
        <v>198.64199062094278</v>
      </c>
      <c r="I31">
        <f t="shared" si="11"/>
        <v>177.73230739768564</v>
      </c>
      <c r="J31">
        <f t="shared" si="11"/>
        <v>146.36778256279996</v>
      </c>
      <c r="K31">
        <f t="shared" si="11"/>
        <v>115.00325772791425</v>
      </c>
      <c r="L31">
        <f t="shared" si="11"/>
        <v>83.638732893028561</v>
      </c>
      <c r="M31">
        <f t="shared" si="11"/>
        <v>52.274208058142861</v>
      </c>
      <c r="N31">
        <f t="shared" si="11"/>
        <v>20.909683223257165</v>
      </c>
      <c r="O31">
        <f t="shared" si="11"/>
        <v>4.1819366446514579</v>
      </c>
      <c r="P31">
        <f t="shared" si="11"/>
        <v>3.1086244689504383E-14</v>
      </c>
    </row>
    <row r="32" spans="1:16" ht="15" customHeight="1" x14ac:dyDescent="0.45">
      <c r="B32" s="16" t="s">
        <v>72</v>
      </c>
      <c r="D32">
        <f>'S&amp;U'!D55</f>
        <v>203</v>
      </c>
      <c r="E32">
        <f>'S&amp;U'!E55</f>
        <v>3.0314719575589049</v>
      </c>
      <c r="F32">
        <f>'S&amp;U'!F55</f>
        <v>3.0653602750124387</v>
      </c>
    </row>
    <row r="33" spans="1:16" ht="15" customHeight="1" x14ac:dyDescent="0.45">
      <c r="B33" s="16" t="s">
        <v>73</v>
      </c>
      <c r="G33">
        <f>$F$28*G16</f>
        <v>-10.454841611628563</v>
      </c>
      <c r="H33">
        <f t="shared" ref="H33:O33" si="12">$F$28*H16</f>
        <v>-20.909683223257126</v>
      </c>
      <c r="I33">
        <f t="shared" si="12"/>
        <v>-31.364524834885689</v>
      </c>
      <c r="J33">
        <f t="shared" si="12"/>
        <v>-31.364524834885707</v>
      </c>
      <c r="K33">
        <f t="shared" si="12"/>
        <v>-31.364524834885689</v>
      </c>
      <c r="L33">
        <f t="shared" si="12"/>
        <v>-31.3645248348857</v>
      </c>
      <c r="M33">
        <f t="shared" si="12"/>
        <v>-31.364524834885696</v>
      </c>
      <c r="N33">
        <f t="shared" si="12"/>
        <v>-16.727746578605707</v>
      </c>
      <c r="O33">
        <f t="shared" si="12"/>
        <v>-4.1819366446514268</v>
      </c>
      <c r="P33">
        <f t="shared" ref="P33" si="13">$F$28*P16</f>
        <v>0</v>
      </c>
    </row>
    <row r="34" spans="1:16" ht="15" customHeight="1" x14ac:dyDescent="0.45">
      <c r="B34" s="16" t="s">
        <v>59</v>
      </c>
      <c r="C34" s="63">
        <v>0</v>
      </c>
      <c r="D34">
        <f>SUM(D31:D33)</f>
        <v>203</v>
      </c>
      <c r="E34">
        <f>SUM(E31:E33)</f>
        <v>206.03147195755889</v>
      </c>
      <c r="F34">
        <f>SUM(F31:F33)</f>
        <v>209.09683223257133</v>
      </c>
      <c r="G34">
        <f>SUM(G31:G33)</f>
        <v>198.64199062094278</v>
      </c>
      <c r="H34">
        <f t="shared" ref="H34:O34" si="14">SUM(H31:H33)</f>
        <v>177.73230739768564</v>
      </c>
      <c r="I34">
        <f t="shared" si="14"/>
        <v>146.36778256279996</v>
      </c>
      <c r="J34">
        <f t="shared" si="14"/>
        <v>115.00325772791425</v>
      </c>
      <c r="K34">
        <f t="shared" si="14"/>
        <v>83.638732893028561</v>
      </c>
      <c r="L34">
        <f t="shared" si="14"/>
        <v>52.274208058142861</v>
      </c>
      <c r="M34">
        <f t="shared" si="14"/>
        <v>20.909683223257165</v>
      </c>
      <c r="N34">
        <f t="shared" si="14"/>
        <v>4.1819366446514579</v>
      </c>
      <c r="O34">
        <f t="shared" si="14"/>
        <v>3.1086244689504383E-14</v>
      </c>
      <c r="P34">
        <f t="shared" ref="P34" si="15">SUM(P31:P33)</f>
        <v>3.1086244689504383E-14</v>
      </c>
    </row>
    <row r="36" spans="1:16" ht="15" customHeight="1" x14ac:dyDescent="0.45">
      <c r="A36" s="15" t="s">
        <v>74</v>
      </c>
    </row>
    <row r="37" spans="1:16" ht="15" customHeight="1" x14ac:dyDescent="0.45">
      <c r="B37" s="16" t="s">
        <v>77</v>
      </c>
      <c r="D37">
        <f>NPV('S&amp;U'!D66,'S&amp;U'!E67:O67)</f>
        <v>37.191199292648413</v>
      </c>
    </row>
    <row r="38" spans="1:16" ht="15" customHeight="1" x14ac:dyDescent="0.45">
      <c r="B38" s="16" t="s">
        <v>71</v>
      </c>
      <c r="D38">
        <f>D37/-$F$15</f>
        <v>-0.41600894063365113</v>
      </c>
    </row>
    <row r="40" spans="1:16" ht="15" customHeight="1" x14ac:dyDescent="0.45">
      <c r="B40" s="16" t="s">
        <v>81</v>
      </c>
    </row>
    <row r="41" spans="1:16" ht="15" customHeight="1" x14ac:dyDescent="0.45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80</v>
      </c>
    </row>
    <row r="46" spans="1:16" ht="15" customHeight="1" x14ac:dyDescent="0.45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I17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73</v>
      </c>
      <c r="G17">
        <f>Depletion!G33+Depletion!G42</f>
        <v>-12.314401576260984</v>
      </c>
      <c r="H17">
        <f>Depletion!H33+Depletion!H42</f>
        <v>-24.628803152521968</v>
      </c>
      <c r="I17">
        <f>Depletion!I33+Depletion!I42</f>
        <v>-36.943204728782952</v>
      </c>
      <c r="J17">
        <f>Depletion!J33+Depletion!J42</f>
        <v>-36.943204728782973</v>
      </c>
      <c r="K17">
        <f>Depletion!K33+Depletion!K42</f>
        <v>-36.943204728782952</v>
      </c>
      <c r="L17">
        <f>Depletion!L33+Depletion!L42</f>
        <v>-36.943204728782959</v>
      </c>
      <c r="M17">
        <f>Depletion!M33+Depletion!M42</f>
        <v>-36.943204728782959</v>
      </c>
      <c r="N17">
        <f>Depletion!N33+Depletion!N42</f>
        <v>-19.703042522017579</v>
      </c>
      <c r="O17">
        <f>Depletion!O33+Depletion!O42</f>
        <v>-4.9257606305043948</v>
      </c>
      <c r="P17">
        <f>Depletion!P33+Depletion!P42</f>
        <v>0</v>
      </c>
    </row>
    <row r="18" spans="1:16" ht="15" customHeight="1" x14ac:dyDescent="0.45">
      <c r="A18"/>
      <c r="B18" s="16" t="s">
        <v>173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111</v>
      </c>
      <c r="G19">
        <f>SUM(G14,G16:G18)</f>
        <v>115.98859842373912</v>
      </c>
      <c r="H19">
        <f t="shared" ref="H19:P19" si="5">SUM(H14,H16:H18)</f>
        <v>203.6935768474782</v>
      </c>
      <c r="I19">
        <f t="shared" si="5"/>
        <v>308.04036527121713</v>
      </c>
      <c r="J19">
        <f t="shared" si="5"/>
        <v>307.04036527121701</v>
      </c>
      <c r="K19">
        <f t="shared" si="5"/>
        <v>306.04036527121713</v>
      </c>
      <c r="L19">
        <f t="shared" si="5"/>
        <v>305.04036527121713</v>
      </c>
      <c r="M19">
        <f t="shared" si="5"/>
        <v>304.04036527121713</v>
      </c>
      <c r="N19">
        <f t="shared" si="5"/>
        <v>149.95486147798252</v>
      </c>
      <c r="O19">
        <f t="shared" si="5"/>
        <v>17.738715369495644</v>
      </c>
      <c r="P19">
        <f t="shared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161</v>
      </c>
    </row>
    <row r="22" spans="1:16" ht="15" customHeight="1" x14ac:dyDescent="0.45">
      <c r="A22"/>
      <c r="B22" s="16" t="s">
        <v>177</v>
      </c>
    </row>
    <row r="23" spans="1:16" ht="15" customHeight="1" x14ac:dyDescent="0.45">
      <c r="A23"/>
      <c r="B23" s="16" t="s">
        <v>112</v>
      </c>
      <c r="G23">
        <f>-Depletion!G47</f>
        <v>-2.5072818915131854</v>
      </c>
      <c r="H23">
        <f>-Depletion!H47</f>
        <v>-2.6577188050039764</v>
      </c>
      <c r="I23">
        <f>-Depletion!I47</f>
        <v>-2.817181933304215</v>
      </c>
      <c r="J23">
        <f>-Depletion!J47</f>
        <v>-2.9862128493024676</v>
      </c>
      <c r="K23">
        <f>-Depletion!K47</f>
        <v>-3.1653856202606159</v>
      </c>
      <c r="L23">
        <f>-Depletion!L47</f>
        <v>-3.3553087574762528</v>
      </c>
      <c r="M23">
        <f>-Depletion!M47</f>
        <v>-3.5566272829248278</v>
      </c>
      <c r="N23">
        <f>-Depletion!N47</f>
        <v>-3.7700249199003175</v>
      </c>
      <c r="O23">
        <f>-Depletion!O47</f>
        <v>-3.3962264150943366</v>
      </c>
      <c r="P23">
        <f>-Depletion!P47</f>
        <v>0</v>
      </c>
    </row>
    <row r="24" spans="1:16" ht="15" customHeight="1" x14ac:dyDescent="0.45">
      <c r="A24"/>
      <c r="B24" s="16" t="s">
        <v>113</v>
      </c>
      <c r="G24">
        <f>SUM(G19,G21:G23)</f>
        <v>113.48131653222593</v>
      </c>
      <c r="H24">
        <f t="shared" ref="H24:P24" si="6">SUM(H19,H21:H23)</f>
        <v>201.03585804247422</v>
      </c>
      <c r="I24">
        <f t="shared" si="6"/>
        <v>305.22318333791293</v>
      </c>
      <c r="J24">
        <f t="shared" si="6"/>
        <v>304.05415242191452</v>
      </c>
      <c r="K24">
        <f t="shared" si="6"/>
        <v>302.8749796509565</v>
      </c>
      <c r="L24">
        <f t="shared" si="6"/>
        <v>301.68505651374085</v>
      </c>
      <c r="M24">
        <f t="shared" si="6"/>
        <v>300.48373798829232</v>
      </c>
      <c r="N24">
        <f t="shared" si="6"/>
        <v>146.1848365580822</v>
      </c>
      <c r="O24">
        <f t="shared" si="6"/>
        <v>14.342488954401308</v>
      </c>
      <c r="P24">
        <f t="shared" si="6"/>
        <v>0</v>
      </c>
    </row>
    <row r="25" spans="1:16" ht="15" customHeight="1" x14ac:dyDescent="0.45">
      <c r="A25"/>
    </row>
    <row r="26" spans="1:16" ht="15" customHeight="1" x14ac:dyDescent="0.45">
      <c r="A26"/>
      <c r="B26" s="16" t="s">
        <v>114</v>
      </c>
      <c r="G26">
        <f>'S&amp;U'!G41*IS!G24</f>
        <v>-22.696263306445189</v>
      </c>
      <c r="H26">
        <f>'S&amp;U'!H41*IS!H24</f>
        <v>-40.207171608494846</v>
      </c>
      <c r="I26">
        <f>'S&amp;U'!I41*IS!I24</f>
        <v>-61.044636667582587</v>
      </c>
      <c r="J26">
        <f>'S&amp;U'!J41*IS!J24</f>
        <v>-60.810830484382905</v>
      </c>
      <c r="K26">
        <f>'S&amp;U'!K41*IS!K24</f>
        <v>-60.574995930191307</v>
      </c>
      <c r="L26">
        <f>'S&amp;U'!L41*IS!L24</f>
        <v>-60.337011302748174</v>
      </c>
      <c r="M26">
        <f>'S&amp;U'!M41*IS!M24</f>
        <v>-60.096747597658464</v>
      </c>
      <c r="N26">
        <f>'S&amp;U'!N41*IS!N24</f>
        <v>-29.236967311616439</v>
      </c>
      <c r="O26">
        <f>'S&amp;U'!O41*IS!O24</f>
        <v>-2.8684977908802618</v>
      </c>
      <c r="P26">
        <f>'S&amp;U'!P41*IS!P24</f>
        <v>0</v>
      </c>
    </row>
    <row r="27" spans="1:16" ht="15" customHeight="1" x14ac:dyDescent="0.45">
      <c r="A27"/>
      <c r="B27" s="16" t="s">
        <v>116</v>
      </c>
      <c r="G27">
        <f>G24+G26</f>
        <v>90.785053225780743</v>
      </c>
      <c r="H27">
        <f t="shared" ref="H27:P27" si="7">H24+H26</f>
        <v>160.82868643397939</v>
      </c>
      <c r="I27">
        <f t="shared" si="7"/>
        <v>244.17854667033035</v>
      </c>
      <c r="J27">
        <f t="shared" si="7"/>
        <v>243.24332193753162</v>
      </c>
      <c r="K27">
        <f t="shared" si="7"/>
        <v>242.2999837207652</v>
      </c>
      <c r="L27">
        <f t="shared" si="7"/>
        <v>241.34804521099267</v>
      </c>
      <c r="M27">
        <f t="shared" si="7"/>
        <v>240.38699039063385</v>
      </c>
      <c r="N27">
        <f t="shared" si="7"/>
        <v>116.94786924646576</v>
      </c>
      <c r="O27">
        <f t="shared" si="7"/>
        <v>11.473991163521045</v>
      </c>
      <c r="P27">
        <f t="shared" si="7"/>
        <v>0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E13" activePane="bottomRight" state="frozen"/>
      <selection activeCell="C3" sqref="C3"/>
      <selection pane="topRight" activeCell="C3" sqref="C3"/>
      <selection pane="bottomLeft" activeCell="C3" sqref="C3"/>
      <selection pane="bottomRight" activeCell="E26" sqref="E26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118</v>
      </c>
      <c r="D4">
        <f>CFS!D26</f>
        <v>0</v>
      </c>
      <c r="E4">
        <f>CFS!E26</f>
        <v>0</v>
      </c>
      <c r="F4">
        <f>CFS!F26</f>
        <v>338.28571428571422</v>
      </c>
      <c r="G4">
        <f>CFS!G26</f>
        <v>383.37593065651345</v>
      </c>
      <c r="H4">
        <f>CFS!H26</f>
        <v>472.53304365729275</v>
      </c>
      <c r="I4">
        <f>CFS!I26</f>
        <v>608.11735472135956</v>
      </c>
      <c r="J4">
        <f>CFS!J26</f>
        <v>747.61106384034804</v>
      </c>
      <c r="K4">
        <f>CFS!K26</f>
        <v>886.92842708722685</v>
      </c>
      <c r="L4">
        <f>CFS!L26</f>
        <v>1468.3806951228557</v>
      </c>
      <c r="M4">
        <f>CFS!M26</f>
        <v>2070.5675175251972</v>
      </c>
      <c r="N4">
        <f>CFS!N26</f>
        <v>2397.1988070902935</v>
      </c>
      <c r="O4">
        <f>CFS!O26</f>
        <v>2421.1350877651666</v>
      </c>
      <c r="P4">
        <f>CFS!P26</f>
        <v>2428.2351885870844</v>
      </c>
    </row>
    <row r="5" spans="1:16" ht="15" customHeight="1" x14ac:dyDescent="0.45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127</v>
      </c>
      <c r="D7">
        <f>SUM(D4:D6)</f>
        <v>0</v>
      </c>
      <c r="E7">
        <f t="shared" ref="E7:P7" si="2">SUM(E4:E6)</f>
        <v>0</v>
      </c>
      <c r="F7">
        <f t="shared" si="2"/>
        <v>340.24270058708407</v>
      </c>
      <c r="G7">
        <f t="shared" si="2"/>
        <v>414.47730051952715</v>
      </c>
      <c r="H7">
        <f t="shared" si="2"/>
        <v>531.51738338332007</v>
      </c>
      <c r="I7">
        <f t="shared" si="2"/>
        <v>696.5938643104007</v>
      </c>
      <c r="J7">
        <f t="shared" si="2"/>
        <v>836.08757342938918</v>
      </c>
      <c r="K7">
        <f t="shared" si="2"/>
        <v>975.40493667626799</v>
      </c>
      <c r="L7">
        <f t="shared" si="2"/>
        <v>1556.8572047118969</v>
      </c>
      <c r="M7">
        <f t="shared" si="2"/>
        <v>2159.0440271142384</v>
      </c>
      <c r="N7">
        <f t="shared" si="2"/>
        <v>2444.3862788711153</v>
      </c>
      <c r="O7">
        <f t="shared" si="2"/>
        <v>2432.9319557103722</v>
      </c>
      <c r="P7">
        <f t="shared" si="2"/>
        <v>2428.2351885870844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66</v>
      </c>
      <c r="D10">
        <f>Depletion!D34</f>
        <v>203</v>
      </c>
      <c r="E10">
        <f>Depletion!E34</f>
        <v>206.03147195755889</v>
      </c>
      <c r="F10">
        <f>Depletion!F34</f>
        <v>209.09683223257133</v>
      </c>
      <c r="G10">
        <f>Depletion!G34</f>
        <v>198.64199062094278</v>
      </c>
      <c r="H10">
        <f>Depletion!H34</f>
        <v>177.73230739768564</v>
      </c>
      <c r="I10">
        <f>Depletion!I34</f>
        <v>146.36778256279996</v>
      </c>
      <c r="J10">
        <f>Depletion!J34</f>
        <v>115.00325772791425</v>
      </c>
      <c r="K10">
        <f>Depletion!K34</f>
        <v>83.638732893028561</v>
      </c>
      <c r="L10">
        <f>Depletion!L34</f>
        <v>52.274208058142861</v>
      </c>
      <c r="M10">
        <f>Depletion!M34</f>
        <v>20.909683223257165</v>
      </c>
      <c r="N10">
        <f>Depletion!N34</f>
        <v>4.1819366446514579</v>
      </c>
      <c r="O10">
        <f>Depletion!O34</f>
        <v>3.1086244689504383E-14</v>
      </c>
      <c r="P10">
        <f>Depletion!P34</f>
        <v>3.1086244689504383E-14</v>
      </c>
    </row>
    <row r="11" spans="1:16" ht="15" customHeight="1" x14ac:dyDescent="0.45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131</v>
      </c>
      <c r="D12">
        <f>SUM(D7,D9:D11)</f>
        <v>420.19119929264843</v>
      </c>
      <c r="E12">
        <f t="shared" ref="E12:P12" si="3">SUM(E7,E9:E11)</f>
        <v>1658.2226712502074</v>
      </c>
      <c r="F12">
        <f t="shared" si="3"/>
        <v>2728.5307321123037</v>
      </c>
      <c r="G12">
        <f t="shared" si="3"/>
        <v>2683.3509304684858</v>
      </c>
      <c r="H12">
        <f t="shared" si="3"/>
        <v>2561.5622101797576</v>
      </c>
      <c r="I12">
        <f t="shared" si="3"/>
        <v>2368.395486378055</v>
      </c>
      <c r="J12">
        <f t="shared" si="3"/>
        <v>2149.6459907682606</v>
      </c>
      <c r="K12">
        <f t="shared" si="3"/>
        <v>1930.7201492863564</v>
      </c>
      <c r="L12">
        <f t="shared" si="3"/>
        <v>2153.9292125932025</v>
      </c>
      <c r="M12">
        <f t="shared" si="3"/>
        <v>2397.8728302667605</v>
      </c>
      <c r="N12">
        <f t="shared" si="3"/>
        <v>2492.1520395016205</v>
      </c>
      <c r="O12">
        <f t="shared" si="3"/>
        <v>2432.9319557103727</v>
      </c>
      <c r="P12">
        <f t="shared" si="3"/>
        <v>2428.2351885870848</v>
      </c>
    </row>
    <row r="13" spans="1:16" ht="15" customHeight="1" x14ac:dyDescent="0.45">
      <c r="A13"/>
    </row>
    <row r="14" spans="1:16" ht="15" customHeight="1" x14ac:dyDescent="0.45">
      <c r="A14"/>
      <c r="B14" s="16" t="s">
        <v>132</v>
      </c>
      <c r="D14">
        <f>Finance!D25</f>
        <v>0</v>
      </c>
      <c r="E14">
        <f>Finance!E25</f>
        <v>0</v>
      </c>
      <c r="F14">
        <f>Finance!F25</f>
        <v>0</v>
      </c>
      <c r="G14">
        <f>Finance!G25</f>
        <v>0</v>
      </c>
      <c r="H14">
        <f>Finance!H25</f>
        <v>0</v>
      </c>
      <c r="I14">
        <f>Finance!I25</f>
        <v>0</v>
      </c>
      <c r="J14">
        <f>Finance!J25</f>
        <v>0</v>
      </c>
      <c r="K14">
        <f>Finance!K25</f>
        <v>0</v>
      </c>
      <c r="L14">
        <f>Finance!L25</f>
        <v>0</v>
      </c>
      <c r="M14">
        <f>Finance!M25</f>
        <v>0</v>
      </c>
      <c r="N14">
        <f>Finance!N25</f>
        <v>0</v>
      </c>
      <c r="O14">
        <f>Finance!O25</f>
        <v>0</v>
      </c>
      <c r="P14">
        <f>Finance!P25</f>
        <v>0</v>
      </c>
    </row>
    <row r="15" spans="1:16" ht="15" customHeight="1" x14ac:dyDescent="0.45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si="4"/>
        <v>11.741917808219174</v>
      </c>
      <c r="H16">
        <f t="shared" si="4"/>
        <v>23.483835616438348</v>
      </c>
      <c r="I16">
        <f t="shared" si="4"/>
        <v>35.225753424657526</v>
      </c>
      <c r="J16">
        <f t="shared" si="4"/>
        <v>35.225753424657533</v>
      </c>
      <c r="K16">
        <f t="shared" si="4"/>
        <v>35.225753424657526</v>
      </c>
      <c r="L16">
        <f t="shared" si="4"/>
        <v>35.225753424657526</v>
      </c>
      <c r="M16">
        <f t="shared" si="4"/>
        <v>35.225753424657526</v>
      </c>
      <c r="N16">
        <f t="shared" si="4"/>
        <v>18.787068493150684</v>
      </c>
      <c r="O16">
        <f t="shared" si="4"/>
        <v>4.6967671232876702</v>
      </c>
      <c r="P16">
        <f t="shared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176</v>
      </c>
      <c r="D18">
        <f>Finance!D43</f>
        <v>263.72082441879297</v>
      </c>
      <c r="E18">
        <f>Finance!E43</f>
        <v>1114.6508369951489</v>
      </c>
      <c r="F18">
        <f>Finance!F43</f>
        <v>1850</v>
      </c>
      <c r="G18">
        <f>Finance!G43</f>
        <v>1699.785945430669</v>
      </c>
      <c r="H18">
        <f>Finance!H43</f>
        <v>1402.7689020947375</v>
      </c>
      <c r="I18">
        <f>Finance!I43</f>
        <v>950.86453188118139</v>
      </c>
      <c r="J18">
        <f>Finance!J43</f>
        <v>485.88550148455283</v>
      </c>
      <c r="K18">
        <f>Finance!K43</f>
        <v>21.49429066162304</v>
      </c>
      <c r="L18">
        <f>Finance!L43</f>
        <v>0</v>
      </c>
      <c r="M18">
        <f>Finance!M43</f>
        <v>0</v>
      </c>
      <c r="N18">
        <f>Finance!N43</f>
        <v>0</v>
      </c>
      <c r="O18">
        <f>Finance!O43</f>
        <v>0</v>
      </c>
      <c r="P18">
        <f>Finance!P43</f>
        <v>0</v>
      </c>
    </row>
    <row r="19" spans="1:16" ht="15" customHeight="1" x14ac:dyDescent="0.45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135</v>
      </c>
      <c r="D20">
        <f>SUM(D16,D18:D19)</f>
        <v>300.91202371144141</v>
      </c>
      <c r="E20">
        <f t="shared" ref="E20:P20" si="5">SUM(E16,E18:E19)</f>
        <v>1154.0735082453562</v>
      </c>
      <c r="F20">
        <f t="shared" si="5"/>
        <v>1891.7880315252198</v>
      </c>
      <c r="G20">
        <f t="shared" si="5"/>
        <v>1755.8231766556212</v>
      </c>
      <c r="H20">
        <f t="shared" si="5"/>
        <v>1473.205769932913</v>
      </c>
      <c r="I20">
        <f t="shared" si="5"/>
        <v>1035.8604994608802</v>
      </c>
      <c r="J20">
        <f t="shared" si="5"/>
        <v>573.86768191355395</v>
      </c>
      <c r="K20">
        <f t="shared" si="5"/>
        <v>112.64185671088478</v>
      </c>
      <c r="L20">
        <f t="shared" si="5"/>
        <v>94.502874806737992</v>
      </c>
      <c r="M20">
        <f t="shared" si="5"/>
        <v>98.059502089662828</v>
      </c>
      <c r="N20">
        <f t="shared" si="5"/>
        <v>75.390842078056295</v>
      </c>
      <c r="O20">
        <f t="shared" si="5"/>
        <v>4.6967671232876702</v>
      </c>
      <c r="P20">
        <f t="shared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138</v>
      </c>
      <c r="D22">
        <f>Calcs!D15</f>
        <v>119.27917558120706</v>
      </c>
      <c r="E22">
        <f>Calcs!E15</f>
        <v>504.14916300485106</v>
      </c>
      <c r="F22">
        <f>Calcs!F15</f>
        <v>836.74270058708407</v>
      </c>
      <c r="G22">
        <f>Calcs!G15</f>
        <v>927.52775381286483</v>
      </c>
      <c r="H22">
        <f>Calcs!H15</f>
        <v>1088.3564402468442</v>
      </c>
      <c r="I22">
        <f>Calcs!I15</f>
        <v>1332.5349869171746</v>
      </c>
      <c r="J22">
        <f>Calcs!J15</f>
        <v>1575.7783088547062</v>
      </c>
      <c r="K22">
        <f>Calcs!K15</f>
        <v>1818.0782925754713</v>
      </c>
      <c r="L22">
        <f>Calcs!L15</f>
        <v>2059.426337786464</v>
      </c>
      <c r="M22">
        <f>Calcs!M15</f>
        <v>2299.8133281770979</v>
      </c>
      <c r="N22">
        <f>Calcs!N15</f>
        <v>2416.7611974235638</v>
      </c>
      <c r="O22">
        <f>Calcs!O15</f>
        <v>2428.2351885870848</v>
      </c>
      <c r="P22">
        <f>Calcs!P15</f>
        <v>2428.2351885870848</v>
      </c>
    </row>
    <row r="23" spans="1:16" ht="15" customHeight="1" x14ac:dyDescent="0.45">
      <c r="A23"/>
      <c r="B23" s="16" t="s">
        <v>145</v>
      </c>
      <c r="D23">
        <f>D20+D22</f>
        <v>420.19119929264843</v>
      </c>
      <c r="E23">
        <f t="shared" ref="E23:P23" si="6">E20+E22</f>
        <v>1658.2226712502072</v>
      </c>
      <c r="F23">
        <f t="shared" si="6"/>
        <v>2728.5307321123037</v>
      </c>
      <c r="G23">
        <f t="shared" si="6"/>
        <v>2683.3509304684858</v>
      </c>
      <c r="H23">
        <f t="shared" si="6"/>
        <v>2561.5622101797571</v>
      </c>
      <c r="I23">
        <f t="shared" si="6"/>
        <v>2368.3954863780546</v>
      </c>
      <c r="J23">
        <f t="shared" si="6"/>
        <v>2149.6459907682602</v>
      </c>
      <c r="K23">
        <f t="shared" si="6"/>
        <v>1930.720149286356</v>
      </c>
      <c r="L23">
        <f t="shared" si="6"/>
        <v>2153.929212593202</v>
      </c>
      <c r="M23">
        <f t="shared" si="6"/>
        <v>2397.8728302667605</v>
      </c>
      <c r="N23">
        <f t="shared" si="6"/>
        <v>2492.15203950162</v>
      </c>
      <c r="O23">
        <f t="shared" si="6"/>
        <v>2432.9319557103727</v>
      </c>
      <c r="P23">
        <f t="shared" si="6"/>
        <v>2428.2351885870848</v>
      </c>
    </row>
    <row r="24" spans="1:16" ht="15" customHeight="1" x14ac:dyDescent="0.45">
      <c r="B24"/>
    </row>
    <row r="25" spans="1:16" ht="15" customHeight="1" x14ac:dyDescent="0.45">
      <c r="A25"/>
      <c r="B25" s="16" t="s">
        <v>146</v>
      </c>
      <c r="C25" s="66"/>
      <c r="D25" s="66" t="str">
        <f>IF(ROUND(D12,2)=ROUND(D23,2),"OK",D12-D23)</f>
        <v>OK</v>
      </c>
      <c r="E25" s="66" t="str">
        <f t="shared" ref="E25:P25" si="7">IF(ROUND(E12,2)=ROUND(E23,2),"OK",E12-E23)</f>
        <v>OK</v>
      </c>
      <c r="F25" s="66" t="str">
        <f t="shared" si="7"/>
        <v>OK</v>
      </c>
      <c r="G25" s="66" t="str">
        <f t="shared" si="7"/>
        <v>OK</v>
      </c>
      <c r="H25" s="66" t="str">
        <f t="shared" si="7"/>
        <v>OK</v>
      </c>
      <c r="I25" s="66" t="str">
        <f t="shared" si="7"/>
        <v>OK</v>
      </c>
      <c r="J25" s="66" t="str">
        <f t="shared" si="7"/>
        <v>OK</v>
      </c>
      <c r="K25" s="66" t="str">
        <f t="shared" si="7"/>
        <v>OK</v>
      </c>
      <c r="L25" s="66" t="str">
        <f t="shared" si="7"/>
        <v>OK</v>
      </c>
      <c r="M25" s="66" t="str">
        <f t="shared" si="7"/>
        <v>OK</v>
      </c>
      <c r="N25" s="66" t="str">
        <f t="shared" si="7"/>
        <v>OK</v>
      </c>
      <c r="O25" s="66" t="str">
        <f t="shared" si="7"/>
        <v>OK</v>
      </c>
      <c r="P25" s="66" t="str">
        <f t="shared" si="7"/>
        <v>OK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5F7DDB-0A7C-41CE-BB4F-3053FA442D29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EA83E795-2C4B-490D-9A1E-33D2943EE4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52E0A7-75F3-499F-8582-2D05B7BAFD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Sophie Harrup</cp:lastModifiedBy>
  <cp:lastPrinted>2018-11-06T19:46:38Z</cp:lastPrinted>
  <dcterms:created xsi:type="dcterms:W3CDTF">2016-02-03T14:06:14Z</dcterms:created>
  <dcterms:modified xsi:type="dcterms:W3CDTF">2025-08-12T13:26:28Z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