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chris\Google Drive\REIT\Materials sets\7 Comprehensive REIT Valuation Model - NAV\"/>
    </mc:Choice>
  </mc:AlternateContent>
  <xr:revisionPtr revIDLastSave="0" documentId="8_{63C45F2E-851A-4F30-B0C7-4CE13A6021A3}" xr6:coauthVersionLast="44" xr6:coauthVersionMax="44" xr10:uidLastSave="{00000000-0000-0000-0000-000000000000}"/>
  <bookViews>
    <workbookView xWindow="590" yWindow="0" windowWidth="18080" windowHeight="10160" xr2:uid="{00000000-000D-0000-FFFF-FFFF00000000}"/>
  </bookViews>
  <sheets>
    <sheet name="Welcome" sheetId="1" r:id="rId1"/>
    <sheet name="Info" sheetId="6" r:id="rId2"/>
    <sheet name="Calculations" sheetId="2" r:id="rId3"/>
    <sheet name="Financing" sheetId="9" r:id="rId4"/>
    <sheet name="OpModel" sheetId="8" r:id="rId5"/>
    <sheet name="NAV" sheetId="10" r:id="rId6"/>
    <sheet name="DCF" sheetId="11" state="hidden" r:id="rId7"/>
  </sheets>
  <definedNames>
    <definedName name="basic_shares">NAV!$C$9</definedName>
    <definedName name="Debt_Fund">Financing!$C$5</definedName>
    <definedName name="diluted_shares">DCF!$C$10</definedName>
    <definedName name="Equity_Fund">Financing!$C$6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Ke">DCF!$C$17</definedName>
    <definedName name="Reserve_rate">NAV!$C$12</definedName>
    <definedName name="Share_Price">NAV!$C$8</definedName>
    <definedName name="Switch">Info!$N$10</definedName>
    <definedName name="TermMult">DCF!$C$31</definedName>
    <definedName name="Tg">DCF!$I$31</definedName>
    <definedName name="wacc">DCF!$C$21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2" i="10" l="1"/>
  <c r="K20" i="2" l="1"/>
  <c r="K19" i="2"/>
  <c r="J19" i="2"/>
  <c r="I19" i="2"/>
  <c r="H19" i="2"/>
  <c r="G19" i="2"/>
  <c r="K18" i="2"/>
  <c r="J18" i="2"/>
  <c r="I18" i="2"/>
  <c r="H18" i="2"/>
  <c r="G18" i="2"/>
  <c r="K17" i="2"/>
  <c r="J17" i="2"/>
  <c r="I17" i="2"/>
  <c r="H17" i="2"/>
  <c r="G17" i="2"/>
  <c r="K16" i="2"/>
  <c r="J16" i="2"/>
  <c r="I16" i="2"/>
  <c r="H16" i="2"/>
  <c r="G16" i="2"/>
  <c r="K15" i="2"/>
  <c r="J15" i="2"/>
  <c r="I15" i="2"/>
  <c r="H15" i="2"/>
  <c r="G15" i="2"/>
  <c r="K14" i="2"/>
  <c r="J14" i="2"/>
  <c r="J20" i="2" s="1"/>
  <c r="I14" i="2"/>
  <c r="I20" i="2" s="1"/>
  <c r="H14" i="2"/>
  <c r="H20" i="2" s="1"/>
  <c r="G14" i="2"/>
  <c r="G20" i="2" s="1"/>
  <c r="C21" i="11"/>
  <c r="K143" i="2" l="1"/>
  <c r="J143" i="2"/>
  <c r="I143" i="2"/>
  <c r="H143" i="2"/>
  <c r="G143" i="2"/>
  <c r="K10" i="2"/>
  <c r="J10" i="2"/>
  <c r="I10" i="2"/>
  <c r="H10" i="2"/>
  <c r="G10" i="2"/>
  <c r="K8" i="2"/>
  <c r="J8" i="2"/>
  <c r="I8" i="2"/>
  <c r="H8" i="2"/>
  <c r="G8" i="2"/>
  <c r="K7" i="2"/>
  <c r="J7" i="2"/>
  <c r="I7" i="2"/>
  <c r="H7" i="2"/>
  <c r="G7" i="2"/>
  <c r="K6" i="2"/>
  <c r="J6" i="2"/>
  <c r="I6" i="2"/>
  <c r="H6" i="2"/>
  <c r="G6" i="2"/>
  <c r="K5" i="2"/>
  <c r="J5" i="2"/>
  <c r="I5" i="2"/>
  <c r="H5" i="2"/>
  <c r="G5" i="2"/>
  <c r="H20" i="10" l="1"/>
  <c r="H24" i="10" s="1"/>
  <c r="H21" i="10"/>
  <c r="H22" i="10"/>
  <c r="H23" i="10"/>
  <c r="H27" i="10"/>
  <c r="H31" i="10" s="1"/>
  <c r="H28" i="10"/>
  <c r="H29" i="10"/>
  <c r="H30" i="10"/>
  <c r="B57" i="10" l="1"/>
  <c r="B56" i="10"/>
  <c r="B58" i="10" l="1"/>
  <c r="B55" i="10"/>
  <c r="H9" i="10" l="1"/>
  <c r="J8" i="10"/>
  <c r="J7" i="10"/>
  <c r="J6" i="10"/>
  <c r="J9" i="10" s="1"/>
  <c r="C10" i="10" s="1"/>
  <c r="C10" i="11" s="1"/>
  <c r="J17" i="11" l="1"/>
  <c r="J16" i="11"/>
  <c r="E134" i="2" l="1"/>
  <c r="H32" i="8"/>
  <c r="I32" i="8" s="1"/>
  <c r="J32" i="8" s="1"/>
  <c r="K32" i="8" s="1"/>
  <c r="G32" i="8"/>
  <c r="E100" i="8"/>
  <c r="F100" i="8"/>
  <c r="D100" i="8"/>
  <c r="E49" i="2"/>
  <c r="F49" i="2"/>
  <c r="D49" i="2"/>
  <c r="H58" i="8"/>
  <c r="I58" i="8"/>
  <c r="J58" i="8"/>
  <c r="K58" i="8"/>
  <c r="G58" i="8"/>
  <c r="H42" i="8"/>
  <c r="I42" i="8" s="1"/>
  <c r="J42" i="8" s="1"/>
  <c r="K42" i="8" s="1"/>
  <c r="G42" i="8"/>
  <c r="E42" i="8"/>
  <c r="F42" i="8"/>
  <c r="D42" i="8"/>
  <c r="F60" i="8"/>
  <c r="F62" i="8" s="1"/>
  <c r="F63" i="8" s="1"/>
  <c r="D60" i="8"/>
  <c r="D62" i="8" s="1"/>
  <c r="D63" i="8" s="1"/>
  <c r="E60" i="8"/>
  <c r="E62" i="8" s="1"/>
  <c r="E63" i="8" s="1"/>
  <c r="C28" i="8" l="1"/>
  <c r="C7" i="10" l="1"/>
  <c r="C107" i="11"/>
  <c r="C106" i="11"/>
  <c r="C104" i="11"/>
  <c r="C103" i="11" s="1"/>
  <c r="C98" i="11"/>
  <c r="C97" i="11"/>
  <c r="C95" i="11"/>
  <c r="C94" i="11" s="1"/>
  <c r="D93" i="11"/>
  <c r="E93" i="11"/>
  <c r="G93" i="11"/>
  <c r="H93" i="11"/>
  <c r="G102" i="11"/>
  <c r="H102" i="11" s="1"/>
  <c r="E102" i="11"/>
  <c r="D102" i="11" s="1"/>
  <c r="C8" i="11"/>
  <c r="C5" i="10"/>
  <c r="B10" i="10"/>
  <c r="B5" i="10"/>
  <c r="B7" i="10"/>
  <c r="B8" i="10"/>
  <c r="B9" i="10"/>
  <c r="B4" i="10"/>
  <c r="F50" i="11"/>
  <c r="C17" i="11"/>
  <c r="C4" i="11"/>
  <c r="C4" i="10" s="1"/>
  <c r="C43" i="11"/>
  <c r="I43" i="11" s="1"/>
  <c r="J15" i="11"/>
  <c r="C42" i="11" s="1"/>
  <c r="I42" i="11" s="1"/>
  <c r="J14" i="11"/>
  <c r="C9" i="11"/>
  <c r="A1" i="11"/>
  <c r="A1" i="10"/>
  <c r="E116" i="8"/>
  <c r="F116" i="8"/>
  <c r="E117" i="8"/>
  <c r="F117" i="8"/>
  <c r="E119" i="8"/>
  <c r="F119" i="8"/>
  <c r="D117" i="8"/>
  <c r="D116" i="8"/>
  <c r="D119" i="8"/>
  <c r="E54" i="8"/>
  <c r="H24" i="2"/>
  <c r="I24" i="2"/>
  <c r="I78" i="8" s="1"/>
  <c r="I65" i="11" s="1"/>
  <c r="J24" i="2"/>
  <c r="K24" i="2"/>
  <c r="K78" i="8" s="1"/>
  <c r="K65" i="11" s="1"/>
  <c r="H58" i="2"/>
  <c r="I58" i="2"/>
  <c r="J58" i="2"/>
  <c r="K58" i="2"/>
  <c r="H29" i="8"/>
  <c r="I29" i="8"/>
  <c r="J29" i="8"/>
  <c r="K29" i="8"/>
  <c r="H72" i="8"/>
  <c r="I72" i="8"/>
  <c r="J72" i="8"/>
  <c r="K72" i="8"/>
  <c r="H78" i="8"/>
  <c r="H65" i="11" s="1"/>
  <c r="J78" i="8"/>
  <c r="J65" i="11" s="1"/>
  <c r="H82" i="8"/>
  <c r="H69" i="11" s="1"/>
  <c r="I82" i="8"/>
  <c r="I69" i="11" s="1"/>
  <c r="J82" i="8"/>
  <c r="J69" i="11" s="1"/>
  <c r="K82" i="8"/>
  <c r="K69" i="11" s="1"/>
  <c r="H15" i="9"/>
  <c r="I15" i="9"/>
  <c r="J15" i="9"/>
  <c r="K15" i="9"/>
  <c r="H24" i="9"/>
  <c r="I24" i="9"/>
  <c r="J24" i="9"/>
  <c r="K24" i="9"/>
  <c r="G15" i="9"/>
  <c r="G24" i="9"/>
  <c r="F26" i="9"/>
  <c r="G23" i="9" s="1"/>
  <c r="D36" i="8"/>
  <c r="P75" i="11" l="1"/>
  <c r="P76" i="11" s="1"/>
  <c r="H75" i="11"/>
  <c r="H76" i="11" s="1"/>
  <c r="G86" i="11"/>
  <c r="G87" i="11" s="1"/>
  <c r="O86" i="11"/>
  <c r="O87" i="11" s="1"/>
  <c r="J75" i="11"/>
  <c r="J76" i="11" s="1"/>
  <c r="I86" i="11"/>
  <c r="I87" i="11" s="1"/>
  <c r="O75" i="11"/>
  <c r="O76" i="11" s="1"/>
  <c r="N86" i="11"/>
  <c r="N87" i="11" s="1"/>
  <c r="M86" i="11"/>
  <c r="M87" i="11" s="1"/>
  <c r="N75" i="11"/>
  <c r="N76" i="11" s="1"/>
  <c r="M75" i="11"/>
  <c r="M76" i="11" s="1"/>
  <c r="L86" i="11"/>
  <c r="L87" i="11" s="1"/>
  <c r="L75" i="11"/>
  <c r="L76" i="11" s="1"/>
  <c r="K86" i="11"/>
  <c r="K87" i="11" s="1"/>
  <c r="J86" i="11"/>
  <c r="J87" i="11" s="1"/>
  <c r="K75" i="11"/>
  <c r="K76" i="11" s="1"/>
  <c r="G75" i="11"/>
  <c r="G76" i="11" s="1"/>
  <c r="I75" i="11"/>
  <c r="I76" i="11" s="1"/>
  <c r="P86" i="11"/>
  <c r="P87" i="11" s="1"/>
  <c r="H86" i="11"/>
  <c r="H87" i="11" s="1"/>
  <c r="J12" i="11" l="1"/>
  <c r="A1" i="9" l="1"/>
  <c r="G82" i="8"/>
  <c r="G69" i="11" s="1"/>
  <c r="B79" i="8"/>
  <c r="B80" i="8"/>
  <c r="B81" i="8"/>
  <c r="B78" i="8"/>
  <c r="B70" i="8"/>
  <c r="E64" i="2"/>
  <c r="F64" i="2"/>
  <c r="D64" i="2"/>
  <c r="E65" i="2"/>
  <c r="F65" i="2"/>
  <c r="G61" i="2" s="1"/>
  <c r="D65" i="2"/>
  <c r="G58" i="2"/>
  <c r="E54" i="2"/>
  <c r="F54" i="2"/>
  <c r="D54" i="2"/>
  <c r="B53" i="2"/>
  <c r="G24" i="2"/>
  <c r="G78" i="8" s="1"/>
  <c r="G65" i="11" s="1"/>
  <c r="E39" i="8"/>
  <c r="F39" i="8"/>
  <c r="D39" i="8"/>
  <c r="E30" i="2"/>
  <c r="F30" i="2"/>
  <c r="G23" i="2" s="1"/>
  <c r="D30" i="2"/>
  <c r="H47" i="2"/>
  <c r="I47" i="2"/>
  <c r="J47" i="2"/>
  <c r="K47" i="2"/>
  <c r="H89" i="8"/>
  <c r="F47" i="2"/>
  <c r="E47" i="2"/>
  <c r="D47" i="2"/>
  <c r="G47" i="2"/>
  <c r="G29" i="8"/>
  <c r="D39" i="2"/>
  <c r="E39" i="2"/>
  <c r="E153" i="2"/>
  <c r="E152" i="2"/>
  <c r="E99" i="2"/>
  <c r="D24" i="8"/>
  <c r="G16" i="8"/>
  <c r="E41" i="8"/>
  <c r="F41" i="8"/>
  <c r="D41" i="8"/>
  <c r="E40" i="8"/>
  <c r="F40" i="8"/>
  <c r="D40" i="8"/>
  <c r="D38" i="8"/>
  <c r="E38" i="8"/>
  <c r="F38" i="8"/>
  <c r="E37" i="8"/>
  <c r="F37" i="8"/>
  <c r="D37" i="8"/>
  <c r="D7" i="8"/>
  <c r="F30" i="8"/>
  <c r="F55" i="2" s="1"/>
  <c r="E30" i="8"/>
  <c r="E55" i="2" s="1"/>
  <c r="D30" i="8"/>
  <c r="D55" i="2" s="1"/>
  <c r="D51" i="8"/>
  <c r="D118" i="8" s="1"/>
  <c r="D56" i="8"/>
  <c r="F48" i="8"/>
  <c r="E48" i="8"/>
  <c r="F56" i="8"/>
  <c r="E56" i="8"/>
  <c r="G21" i="8"/>
  <c r="E6" i="8"/>
  <c r="F6" i="8"/>
  <c r="D6" i="8"/>
  <c r="F5" i="8"/>
  <c r="E5" i="8"/>
  <c r="E24" i="8"/>
  <c r="F24" i="8"/>
  <c r="E17" i="8"/>
  <c r="E9" i="8" s="1"/>
  <c r="D17" i="8"/>
  <c r="D8" i="8" s="1"/>
  <c r="F17" i="8"/>
  <c r="F8" i="8" s="1"/>
  <c r="A1" i="8"/>
  <c r="G54" i="2" l="1"/>
  <c r="G59" i="11"/>
  <c r="G29" i="2"/>
  <c r="G13" i="9"/>
  <c r="J13" i="11"/>
  <c r="H16" i="8"/>
  <c r="E36" i="8"/>
  <c r="I16" i="8"/>
  <c r="D65" i="8"/>
  <c r="F93" i="8"/>
  <c r="F36" i="8"/>
  <c r="F29" i="9"/>
  <c r="G70" i="8"/>
  <c r="G72" i="8"/>
  <c r="G89" i="8"/>
  <c r="G46" i="2"/>
  <c r="G49" i="2" s="1"/>
  <c r="I89" i="8"/>
  <c r="F7" i="8"/>
  <c r="E7" i="8"/>
  <c r="F51" i="8"/>
  <c r="E51" i="8"/>
  <c r="E118" i="8" s="1"/>
  <c r="D9" i="8"/>
  <c r="E8" i="8"/>
  <c r="F9" i="8"/>
  <c r="D25" i="8"/>
  <c r="F25" i="8"/>
  <c r="E25" i="8"/>
  <c r="E36" i="2"/>
  <c r="F36" i="2"/>
  <c r="D36" i="2"/>
  <c r="F39" i="2"/>
  <c r="F40" i="2" s="1"/>
  <c r="E40" i="2"/>
  <c r="D40" i="2"/>
  <c r="G33" i="2"/>
  <c r="G35" i="2" s="1"/>
  <c r="G39" i="2" s="1"/>
  <c r="F34" i="2"/>
  <c r="E34" i="2"/>
  <c r="E38" i="2"/>
  <c r="F38" i="2"/>
  <c r="D38" i="2"/>
  <c r="F102" i="2"/>
  <c r="E102" i="2"/>
  <c r="F146" i="2"/>
  <c r="H101" i="2"/>
  <c r="H104" i="2" s="1"/>
  <c r="I101" i="2"/>
  <c r="I104" i="2" s="1"/>
  <c r="J101" i="2"/>
  <c r="J104" i="2" s="1"/>
  <c r="K101" i="2"/>
  <c r="K104" i="2" s="1"/>
  <c r="G101" i="2"/>
  <c r="G104" i="2" s="1"/>
  <c r="H153" i="2"/>
  <c r="I153" i="2"/>
  <c r="J153" i="2"/>
  <c r="K153" i="2"/>
  <c r="G153" i="2"/>
  <c r="H158" i="2"/>
  <c r="H162" i="2" s="1"/>
  <c r="I158" i="2"/>
  <c r="I162" i="2" s="1"/>
  <c r="J158" i="2"/>
  <c r="J162" i="2" s="1"/>
  <c r="K158" i="2"/>
  <c r="K162" i="2" s="1"/>
  <c r="G158" i="2"/>
  <c r="G162" i="2" s="1"/>
  <c r="F155" i="2"/>
  <c r="D155" i="2"/>
  <c r="D154" i="2"/>
  <c r="E146" i="2"/>
  <c r="D146" i="2"/>
  <c r="F135" i="2"/>
  <c r="F134" i="2"/>
  <c r="K140" i="2"/>
  <c r="J139" i="2"/>
  <c r="I138" i="2"/>
  <c r="H137" i="2"/>
  <c r="G136" i="2"/>
  <c r="D133" i="2"/>
  <c r="E123" i="2"/>
  <c r="F123" i="2"/>
  <c r="D123" i="2"/>
  <c r="K117" i="2"/>
  <c r="J116" i="2"/>
  <c r="K116" i="2" s="1"/>
  <c r="I115" i="2"/>
  <c r="H114" i="2"/>
  <c r="G113" i="2"/>
  <c r="D110" i="2"/>
  <c r="F154" i="2"/>
  <c r="E97" i="2"/>
  <c r="F97" i="2"/>
  <c r="D97" i="2"/>
  <c r="F72" i="2"/>
  <c r="G72" i="2" s="1"/>
  <c r="E72" i="2"/>
  <c r="E73" i="2" s="1"/>
  <c r="D72" i="2"/>
  <c r="G93" i="2"/>
  <c r="F94" i="2"/>
  <c r="E94" i="2"/>
  <c r="F83" i="2"/>
  <c r="F84" i="2" s="1"/>
  <c r="E83" i="2"/>
  <c r="E84" i="2" s="1"/>
  <c r="D83" i="2"/>
  <c r="F70" i="2"/>
  <c r="G70" i="2" s="1"/>
  <c r="G81" i="2" s="1"/>
  <c r="G71" i="2"/>
  <c r="G82" i="2" s="1"/>
  <c r="D89" i="2"/>
  <c r="E89" i="2"/>
  <c r="F89" i="2"/>
  <c r="E88" i="2"/>
  <c r="D81" i="2"/>
  <c r="D88" i="2" s="1"/>
  <c r="E77" i="2"/>
  <c r="F77" i="2"/>
  <c r="E76" i="2"/>
  <c r="D141" i="2" l="1"/>
  <c r="E133" i="2"/>
  <c r="E110" i="2"/>
  <c r="F110" i="2" s="1"/>
  <c r="H46" i="2"/>
  <c r="H49" i="2" s="1"/>
  <c r="H61" i="8" s="1"/>
  <c r="G61" i="8"/>
  <c r="J155" i="2"/>
  <c r="J28" i="2" s="1"/>
  <c r="J30" i="8"/>
  <c r="K155" i="2"/>
  <c r="K28" i="2" s="1"/>
  <c r="K30" i="8"/>
  <c r="I155" i="2"/>
  <c r="I28" i="2" s="1"/>
  <c r="I30" i="8"/>
  <c r="H155" i="2"/>
  <c r="H28" i="2" s="1"/>
  <c r="H30" i="8"/>
  <c r="F96" i="8"/>
  <c r="C41" i="11"/>
  <c r="I41" i="11" s="1"/>
  <c r="J18" i="11"/>
  <c r="F65" i="8"/>
  <c r="F118" i="8"/>
  <c r="E31" i="8"/>
  <c r="E33" i="8" s="1"/>
  <c r="E53" i="2" s="1"/>
  <c r="E56" i="2" s="1"/>
  <c r="E104" i="8" s="1"/>
  <c r="E96" i="8"/>
  <c r="D107" i="8"/>
  <c r="D31" i="8"/>
  <c r="D33" i="8" s="1"/>
  <c r="D53" i="2" s="1"/>
  <c r="D56" i="2" s="1"/>
  <c r="D104" i="8" s="1"/>
  <c r="D96" i="8"/>
  <c r="F31" i="8"/>
  <c r="F33" i="8" s="1"/>
  <c r="F53" i="2" s="1"/>
  <c r="F56" i="2" s="1"/>
  <c r="E107" i="8"/>
  <c r="E65" i="8"/>
  <c r="J16" i="8"/>
  <c r="I46" i="2"/>
  <c r="I49" i="2" s="1"/>
  <c r="I61" i="8" s="1"/>
  <c r="G155" i="2"/>
  <c r="G28" i="2" s="1"/>
  <c r="G30" i="8"/>
  <c r="I114" i="2"/>
  <c r="J114" i="2" s="1"/>
  <c r="J115" i="2"/>
  <c r="K115" i="2" s="1"/>
  <c r="H113" i="2"/>
  <c r="I137" i="2"/>
  <c r="J137" i="2" s="1"/>
  <c r="K137" i="2" s="1"/>
  <c r="J138" i="2"/>
  <c r="K138" i="2" s="1"/>
  <c r="K139" i="2"/>
  <c r="K144" i="2" s="1"/>
  <c r="K150" i="2" s="1"/>
  <c r="K9" i="2" s="1"/>
  <c r="K11" i="2" s="1"/>
  <c r="H136" i="2"/>
  <c r="I136" i="2" s="1"/>
  <c r="H93" i="2"/>
  <c r="G37" i="2"/>
  <c r="H33" i="2"/>
  <c r="H35" i="2" s="1"/>
  <c r="H39" i="2" s="1"/>
  <c r="E155" i="2"/>
  <c r="G134" i="2"/>
  <c r="F73" i="2"/>
  <c r="F85" i="2" s="1"/>
  <c r="F88" i="2"/>
  <c r="E85" i="2"/>
  <c r="F76" i="2"/>
  <c r="G135" i="2"/>
  <c r="H135" i="2" s="1"/>
  <c r="D118" i="2"/>
  <c r="H71" i="2"/>
  <c r="I71" i="2" s="1"/>
  <c r="J71" i="2" s="1"/>
  <c r="K71" i="2" s="1"/>
  <c r="K82" i="2" s="1"/>
  <c r="G96" i="2"/>
  <c r="E111" i="2"/>
  <c r="E154" i="2"/>
  <c r="F112" i="2"/>
  <c r="E90" i="2"/>
  <c r="H72" i="2"/>
  <c r="H83" i="2" s="1"/>
  <c r="G83" i="2"/>
  <c r="D84" i="2"/>
  <c r="F78" i="2"/>
  <c r="E78" i="2"/>
  <c r="F90" i="2"/>
  <c r="D73" i="2"/>
  <c r="D90" i="2"/>
  <c r="H70" i="2"/>
  <c r="G73" i="2"/>
  <c r="A1" i="2"/>
  <c r="E105" i="8" l="1"/>
  <c r="E122" i="8" s="1"/>
  <c r="E125" i="8" s="1"/>
  <c r="E121" i="8"/>
  <c r="E124" i="8" s="1"/>
  <c r="D105" i="8"/>
  <c r="D122" i="8" s="1"/>
  <c r="D125" i="8" s="1"/>
  <c r="D121" i="8"/>
  <c r="D124" i="8" s="1"/>
  <c r="I55" i="2"/>
  <c r="I71" i="8"/>
  <c r="K55" i="2"/>
  <c r="K71" i="8"/>
  <c r="I144" i="2"/>
  <c r="I150" i="2" s="1"/>
  <c r="J55" i="2"/>
  <c r="J71" i="8"/>
  <c r="G84" i="2"/>
  <c r="H55" i="2"/>
  <c r="H71" i="8"/>
  <c r="G42" i="2"/>
  <c r="G43" i="2" s="1"/>
  <c r="G47" i="8" s="1"/>
  <c r="H33" i="10"/>
  <c r="H35" i="10" s="1"/>
  <c r="F102" i="8"/>
  <c r="F101" i="8"/>
  <c r="E112" i="8"/>
  <c r="E114" i="8"/>
  <c r="E113" i="8"/>
  <c r="F112" i="8"/>
  <c r="F97" i="8"/>
  <c r="F98" i="8"/>
  <c r="F114" i="8"/>
  <c r="F113" i="8"/>
  <c r="F58" i="2"/>
  <c r="F43" i="8" s="1"/>
  <c r="F104" i="8"/>
  <c r="D58" i="2"/>
  <c r="D43" i="8" s="1"/>
  <c r="E58" i="2"/>
  <c r="E43" i="8" s="1"/>
  <c r="E102" i="8"/>
  <c r="E101" i="8"/>
  <c r="E98" i="8"/>
  <c r="E97" i="8"/>
  <c r="D113" i="8"/>
  <c r="D112" i="8"/>
  <c r="D114" i="8"/>
  <c r="K16" i="8"/>
  <c r="K89" i="8"/>
  <c r="J89" i="8"/>
  <c r="J46" i="2"/>
  <c r="J49" i="2" s="1"/>
  <c r="J61" i="8" s="1"/>
  <c r="G55" i="2"/>
  <c r="G71" i="8"/>
  <c r="J144" i="2"/>
  <c r="J150" i="2" s="1"/>
  <c r="J9" i="2" s="1"/>
  <c r="J11" i="2" s="1"/>
  <c r="F111" i="2"/>
  <c r="G111" i="2" s="1"/>
  <c r="K114" i="2"/>
  <c r="K120" i="2"/>
  <c r="K121" i="2" s="1"/>
  <c r="K125" i="2" s="1"/>
  <c r="J120" i="2"/>
  <c r="J121" i="2" s="1"/>
  <c r="J125" i="2" s="1"/>
  <c r="I113" i="2"/>
  <c r="J113" i="2" s="1"/>
  <c r="J136" i="2"/>
  <c r="K136" i="2" s="1"/>
  <c r="H144" i="2"/>
  <c r="H150" i="2" s="1"/>
  <c r="H9" i="2" s="1"/>
  <c r="H11" i="2" s="1"/>
  <c r="G144" i="2"/>
  <c r="G150" i="2" s="1"/>
  <c r="G9" i="2" s="1"/>
  <c r="G11" i="2" s="1"/>
  <c r="G112" i="2"/>
  <c r="I93" i="2"/>
  <c r="H96" i="2"/>
  <c r="H37" i="2"/>
  <c r="H42" i="2" s="1"/>
  <c r="H28" i="8" s="1"/>
  <c r="H73" i="8" s="1"/>
  <c r="I33" i="2"/>
  <c r="I37" i="2" s="1"/>
  <c r="I135" i="2"/>
  <c r="J135" i="2" s="1"/>
  <c r="K135" i="2" s="1"/>
  <c r="I72" i="2"/>
  <c r="I83" i="2" s="1"/>
  <c r="H134" i="2"/>
  <c r="I82" i="2"/>
  <c r="E118" i="2"/>
  <c r="G110" i="2"/>
  <c r="H82" i="2"/>
  <c r="J82" i="2"/>
  <c r="G85" i="2"/>
  <c r="D85" i="2"/>
  <c r="I70" i="2"/>
  <c r="H81" i="2"/>
  <c r="H73" i="2"/>
  <c r="A7" i="1"/>
  <c r="I9" i="2" l="1"/>
  <c r="I11" i="2" s="1"/>
  <c r="F105" i="8"/>
  <c r="F122" i="8" s="1"/>
  <c r="F125" i="8" s="1"/>
  <c r="F121" i="8"/>
  <c r="F124" i="8" s="1"/>
  <c r="G28" i="8"/>
  <c r="G73" i="8" s="1"/>
  <c r="K46" i="2"/>
  <c r="K49" i="2" s="1"/>
  <c r="K61" i="8" s="1"/>
  <c r="F118" i="2"/>
  <c r="H111" i="2"/>
  <c r="I111" i="2" s="1"/>
  <c r="J111" i="2" s="1"/>
  <c r="K111" i="2" s="1"/>
  <c r="K113" i="2"/>
  <c r="G120" i="2"/>
  <c r="G121" i="2" s="1"/>
  <c r="G125" i="2" s="1"/>
  <c r="I120" i="2"/>
  <c r="I121" i="2" s="1"/>
  <c r="I125" i="2" s="1"/>
  <c r="H112" i="2"/>
  <c r="I112" i="2" s="1"/>
  <c r="J112" i="2" s="1"/>
  <c r="K112" i="2" s="1"/>
  <c r="J93" i="2"/>
  <c r="I96" i="2"/>
  <c r="I35" i="2"/>
  <c r="I39" i="2" s="1"/>
  <c r="I42" i="2" s="1"/>
  <c r="I28" i="8" s="1"/>
  <c r="I73" i="8" s="1"/>
  <c r="H43" i="2"/>
  <c r="H47" i="8" s="1"/>
  <c r="J33" i="2"/>
  <c r="K33" i="2" s="1"/>
  <c r="H84" i="2"/>
  <c r="H85" i="2" s="1"/>
  <c r="J72" i="2"/>
  <c r="K72" i="2" s="1"/>
  <c r="K83" i="2" s="1"/>
  <c r="I134" i="2"/>
  <c r="G118" i="2"/>
  <c r="G25" i="2" s="1"/>
  <c r="G79" i="8" s="1"/>
  <c r="H110" i="2"/>
  <c r="J70" i="2"/>
  <c r="I81" i="2"/>
  <c r="I84" i="2" s="1"/>
  <c r="I73" i="2"/>
  <c r="A1" i="6"/>
  <c r="G19" i="8" l="1"/>
  <c r="H120" i="2"/>
  <c r="H121" i="2" s="1"/>
  <c r="H125" i="2" s="1"/>
  <c r="K93" i="2"/>
  <c r="J96" i="2"/>
  <c r="J35" i="2"/>
  <c r="J39" i="2" s="1"/>
  <c r="J37" i="2"/>
  <c r="K37" i="2"/>
  <c r="K35" i="2"/>
  <c r="K39" i="2" s="1"/>
  <c r="I43" i="2"/>
  <c r="I47" i="8" s="1"/>
  <c r="J83" i="2"/>
  <c r="J134" i="2"/>
  <c r="H118" i="2"/>
  <c r="H25" i="2" s="1"/>
  <c r="H79" i="8" s="1"/>
  <c r="I110" i="2"/>
  <c r="I85" i="2"/>
  <c r="K70" i="2"/>
  <c r="J81" i="2"/>
  <c r="J73" i="2"/>
  <c r="I19" i="8" l="1"/>
  <c r="G15" i="8"/>
  <c r="G50" i="11" s="1"/>
  <c r="G70" i="11" s="1"/>
  <c r="I15" i="8"/>
  <c r="H15" i="8"/>
  <c r="H19" i="8"/>
  <c r="K96" i="2"/>
  <c r="J15" i="8"/>
  <c r="J42" i="2"/>
  <c r="K42" i="2"/>
  <c r="K28" i="8" s="1"/>
  <c r="K73" i="8" s="1"/>
  <c r="J84" i="2"/>
  <c r="J85" i="2" s="1"/>
  <c r="K134" i="2"/>
  <c r="J110" i="2"/>
  <c r="J118" i="2" s="1"/>
  <c r="J25" i="2" s="1"/>
  <c r="J79" i="8" s="1"/>
  <c r="I118" i="2"/>
  <c r="I25" i="2" s="1"/>
  <c r="I79" i="8" s="1"/>
  <c r="K81" i="2"/>
  <c r="K84" i="2" s="1"/>
  <c r="K73" i="2"/>
  <c r="G54" i="8" l="1"/>
  <c r="G22" i="8"/>
  <c r="G14" i="9"/>
  <c r="G27" i="2"/>
  <c r="G81" i="8" s="1"/>
  <c r="G60" i="11"/>
  <c r="G20" i="8"/>
  <c r="G66" i="11"/>
  <c r="G49" i="8"/>
  <c r="G51" i="11"/>
  <c r="G50" i="8"/>
  <c r="G17" i="8"/>
  <c r="G55" i="8"/>
  <c r="I14" i="9"/>
  <c r="I55" i="8"/>
  <c r="I50" i="8"/>
  <c r="I49" i="8"/>
  <c r="I27" i="2"/>
  <c r="I81" i="8" s="1"/>
  <c r="I63" i="11" s="1"/>
  <c r="I54" i="8"/>
  <c r="I20" i="8"/>
  <c r="I50" i="11"/>
  <c r="I22" i="8"/>
  <c r="I17" i="8"/>
  <c r="J27" i="2"/>
  <c r="J81" i="8" s="1"/>
  <c r="J63" i="11" s="1"/>
  <c r="J55" i="8"/>
  <c r="J50" i="8"/>
  <c r="J14" i="9"/>
  <c r="J22" i="8"/>
  <c r="J50" i="11"/>
  <c r="J20" i="8"/>
  <c r="J54" i="8"/>
  <c r="J49" i="8"/>
  <c r="J17" i="8"/>
  <c r="H49" i="8"/>
  <c r="H55" i="8"/>
  <c r="H14" i="9"/>
  <c r="H50" i="11"/>
  <c r="H54" i="8"/>
  <c r="H50" i="8"/>
  <c r="H27" i="2"/>
  <c r="H81" i="8" s="1"/>
  <c r="H22" i="8"/>
  <c r="H20" i="8"/>
  <c r="H17" i="8"/>
  <c r="J43" i="2"/>
  <c r="J47" i="8" s="1"/>
  <c r="J28" i="8"/>
  <c r="J73" i="8" s="1"/>
  <c r="J19" i="8"/>
  <c r="K19" i="8"/>
  <c r="K15" i="8"/>
  <c r="K43" i="2"/>
  <c r="K47" i="8" s="1"/>
  <c r="K110" i="2"/>
  <c r="K118" i="2" s="1"/>
  <c r="K25" i="2" s="1"/>
  <c r="K79" i="8" s="1"/>
  <c r="K85" i="2"/>
  <c r="G74" i="8" l="1"/>
  <c r="G61" i="11" s="1"/>
  <c r="G62" i="11" s="1"/>
  <c r="H23" i="8"/>
  <c r="H100" i="8"/>
  <c r="G23" i="8"/>
  <c r="G24" i="8" s="1"/>
  <c r="G25" i="8" s="1"/>
  <c r="G100" i="8"/>
  <c r="J23" i="8"/>
  <c r="J100" i="8"/>
  <c r="J64" i="11"/>
  <c r="I64" i="11"/>
  <c r="H74" i="8"/>
  <c r="H61" i="11" s="1"/>
  <c r="H62" i="11" s="1"/>
  <c r="I23" i="8"/>
  <c r="I100" i="8"/>
  <c r="K27" i="2"/>
  <c r="K81" i="8" s="1"/>
  <c r="K63" i="11" s="1"/>
  <c r="K20" i="8"/>
  <c r="K50" i="11"/>
  <c r="K22" i="8"/>
  <c r="K54" i="8"/>
  <c r="K49" i="8"/>
  <c r="K14" i="9"/>
  <c r="K55" i="8"/>
  <c r="K50" i="8"/>
  <c r="K17" i="8"/>
  <c r="I74" i="8"/>
  <c r="I61" i="11" s="1"/>
  <c r="I62" i="11" s="1"/>
  <c r="J74" i="8"/>
  <c r="J61" i="11" s="1"/>
  <c r="J62" i="11" s="1"/>
  <c r="J66" i="11"/>
  <c r="J51" i="11"/>
  <c r="J70" i="11"/>
  <c r="I66" i="11"/>
  <c r="I51" i="11"/>
  <c r="I70" i="11"/>
  <c r="H63" i="11"/>
  <c r="H64" i="11" s="1"/>
  <c r="H70" i="11"/>
  <c r="H66" i="11"/>
  <c r="H51" i="11"/>
  <c r="G63" i="11"/>
  <c r="K23" i="8" l="1"/>
  <c r="K100" i="8"/>
  <c r="G53" i="11"/>
  <c r="G54" i="11" s="1"/>
  <c r="K74" i="8"/>
  <c r="K61" i="11" s="1"/>
  <c r="K62" i="11" s="1"/>
  <c r="K66" i="11"/>
  <c r="K51" i="11"/>
  <c r="L50" i="11"/>
  <c r="K70" i="11"/>
  <c r="K64" i="11"/>
  <c r="G96" i="8"/>
  <c r="F107" i="8"/>
  <c r="G64" i="11"/>
  <c r="G56" i="11" l="1"/>
  <c r="G80" i="11" s="1"/>
  <c r="L63" i="11"/>
  <c r="L59" i="11"/>
  <c r="L65" i="11"/>
  <c r="L69" i="11"/>
  <c r="L83" i="11" s="1"/>
  <c r="L89" i="11" s="1"/>
  <c r="L67" i="11"/>
  <c r="L53" i="11"/>
  <c r="L56" i="11" s="1"/>
  <c r="M50" i="11"/>
  <c r="L61" i="11"/>
  <c r="G98" i="8"/>
  <c r="G97" i="8"/>
  <c r="G102" i="8"/>
  <c r="G101" i="8"/>
  <c r="G57" i="11" l="1"/>
  <c r="L57" i="11"/>
  <c r="L71" i="11"/>
  <c r="L78" i="11" s="1"/>
  <c r="L80" i="11"/>
  <c r="M67" i="11"/>
  <c r="M53" i="11"/>
  <c r="M56" i="11" s="1"/>
  <c r="N50" i="11"/>
  <c r="M59" i="11"/>
  <c r="M61" i="11"/>
  <c r="M65" i="11"/>
  <c r="M63" i="11"/>
  <c r="M69" i="11"/>
  <c r="M83" i="11" s="1"/>
  <c r="M89" i="11" s="1"/>
  <c r="H102" i="8"/>
  <c r="M57" i="11" l="1"/>
  <c r="M71" i="11"/>
  <c r="M80" i="11"/>
  <c r="M81" i="11" s="1"/>
  <c r="N65" i="11"/>
  <c r="N67" i="11"/>
  <c r="N69" i="11"/>
  <c r="N83" i="11" s="1"/>
  <c r="N89" i="11" s="1"/>
  <c r="O50" i="11"/>
  <c r="N53" i="11"/>
  <c r="N56" i="11" s="1"/>
  <c r="N61" i="11"/>
  <c r="N63" i="11"/>
  <c r="N59" i="11"/>
  <c r="H101" i="8"/>
  <c r="O65" i="11" l="1"/>
  <c r="O61" i="11"/>
  <c r="O59" i="11"/>
  <c r="P50" i="11"/>
  <c r="O53" i="11"/>
  <c r="O56" i="11" s="1"/>
  <c r="O63" i="11"/>
  <c r="O67" i="11"/>
  <c r="O69" i="11"/>
  <c r="O83" i="11" s="1"/>
  <c r="O89" i="11" s="1"/>
  <c r="N57" i="11"/>
  <c r="N80" i="11"/>
  <c r="N81" i="11" s="1"/>
  <c r="N71" i="11"/>
  <c r="M78" i="11"/>
  <c r="M72" i="11"/>
  <c r="O57" i="11" l="1"/>
  <c r="O80" i="11"/>
  <c r="O81" i="11" s="1"/>
  <c r="O71" i="11"/>
  <c r="P65" i="11"/>
  <c r="P61" i="11"/>
  <c r="P67" i="11"/>
  <c r="P59" i="11"/>
  <c r="P63" i="11"/>
  <c r="P69" i="11"/>
  <c r="P53" i="11"/>
  <c r="P56" i="11" s="1"/>
  <c r="N78" i="11"/>
  <c r="N72" i="11"/>
  <c r="I101" i="8"/>
  <c r="P83" i="11" l="1"/>
  <c r="P89" i="11" s="1"/>
  <c r="O72" i="11"/>
  <c r="O78" i="11"/>
  <c r="P57" i="11"/>
  <c r="P80" i="11"/>
  <c r="P71" i="11"/>
  <c r="I102" i="8"/>
  <c r="C25" i="11" l="1"/>
  <c r="P78" i="11"/>
  <c r="P72" i="11"/>
  <c r="I32" i="11"/>
  <c r="C32" i="11"/>
  <c r="P81" i="11"/>
  <c r="I33" i="11" l="1"/>
  <c r="I35" i="11"/>
  <c r="C35" i="11"/>
  <c r="C33" i="11"/>
  <c r="J102" i="8"/>
  <c r="J101" i="8" l="1"/>
  <c r="K102" i="8" l="1"/>
  <c r="K101" i="8" l="1"/>
  <c r="G27" i="8" l="1"/>
  <c r="H27" i="8"/>
  <c r="J27" i="8"/>
  <c r="I27" i="8"/>
  <c r="K27" i="8"/>
  <c r="K26" i="8"/>
  <c r="H26" i="8"/>
  <c r="J26" i="8"/>
  <c r="G26" i="8"/>
  <c r="G114" i="8" s="1"/>
  <c r="I26" i="8"/>
  <c r="G31" i="8" l="1"/>
  <c r="G33" i="8" s="1"/>
  <c r="G53" i="2" l="1"/>
  <c r="G56" i="2" s="1"/>
  <c r="G69" i="8"/>
  <c r="G75" i="8" s="1"/>
  <c r="G62" i="2"/>
  <c r="G57" i="2" l="1"/>
  <c r="G104" i="8"/>
  <c r="G105" i="8" l="1"/>
  <c r="G122" i="8" s="1"/>
  <c r="G125" i="8" s="1"/>
  <c r="G121" i="8"/>
  <c r="G124" i="8" s="1"/>
  <c r="G88" i="8"/>
  <c r="G64" i="2"/>
  <c r="G109" i="8"/>
  <c r="G110" i="8" s="1"/>
  <c r="F133" i="2"/>
  <c r="E141" i="2"/>
  <c r="G133" i="2" l="1"/>
  <c r="G141" i="2" s="1"/>
  <c r="G26" i="2" s="1"/>
  <c r="F141" i="2"/>
  <c r="H133" i="2" l="1"/>
  <c r="I133" i="2" s="1"/>
  <c r="I141" i="2" s="1"/>
  <c r="I26" i="2" s="1"/>
  <c r="I80" i="8" s="1"/>
  <c r="G30" i="2"/>
  <c r="G80" i="8"/>
  <c r="I83" i="8" l="1"/>
  <c r="I67" i="11"/>
  <c r="I68" i="11" s="1"/>
  <c r="H141" i="2"/>
  <c r="H26" i="2" s="1"/>
  <c r="H80" i="8" s="1"/>
  <c r="J133" i="2"/>
  <c r="J141" i="2" s="1"/>
  <c r="J26" i="2" s="1"/>
  <c r="J80" i="8" s="1"/>
  <c r="G83" i="8"/>
  <c r="G16" i="9" s="1"/>
  <c r="G67" i="11"/>
  <c r="G46" i="8"/>
  <c r="H23" i="2"/>
  <c r="G71" i="11" l="1"/>
  <c r="G78" i="11" s="1"/>
  <c r="G68" i="11"/>
  <c r="H21" i="8"/>
  <c r="H83" i="8"/>
  <c r="H67" i="11"/>
  <c r="H68" i="11" s="1"/>
  <c r="J83" i="8"/>
  <c r="J67" i="11"/>
  <c r="J68" i="11" s="1"/>
  <c r="G17" i="9"/>
  <c r="K133" i="2"/>
  <c r="K141" i="2" s="1"/>
  <c r="K26" i="2" s="1"/>
  <c r="K80" i="8" s="1"/>
  <c r="H59" i="11" l="1"/>
  <c r="H60" i="11" s="1"/>
  <c r="H24" i="8"/>
  <c r="H54" i="2"/>
  <c r="H70" i="8"/>
  <c r="H29" i="2"/>
  <c r="H30" i="2" s="1"/>
  <c r="K83" i="8"/>
  <c r="K67" i="11"/>
  <c r="K68" i="11" s="1"/>
  <c r="G18" i="9"/>
  <c r="G20" i="9"/>
  <c r="G63" i="2" s="1"/>
  <c r="G19" i="9"/>
  <c r="G25" i="9" s="1"/>
  <c r="G26" i="9" l="1"/>
  <c r="G27" i="9" s="1"/>
  <c r="H46" i="8"/>
  <c r="I23" i="2"/>
  <c r="G65" i="2"/>
  <c r="G87" i="8"/>
  <c r="G83" i="11" s="1"/>
  <c r="H53" i="11"/>
  <c r="H25" i="8"/>
  <c r="G84" i="11" l="1"/>
  <c r="G89" i="11"/>
  <c r="G53" i="8"/>
  <c r="G119" i="8" s="1"/>
  <c r="H23" i="9"/>
  <c r="H56" i="11"/>
  <c r="H54" i="11"/>
  <c r="G60" i="8"/>
  <c r="G62" i="8" s="1"/>
  <c r="H61" i="2"/>
  <c r="H31" i="8"/>
  <c r="H33" i="8" s="1"/>
  <c r="H96" i="8"/>
  <c r="G107" i="8"/>
  <c r="I21" i="8"/>
  <c r="G112" i="8" l="1"/>
  <c r="G56" i="8"/>
  <c r="G63" i="8" s="1"/>
  <c r="G86" i="8"/>
  <c r="G90" i="8" s="1"/>
  <c r="G92" i="8" s="1"/>
  <c r="G93" i="8" s="1"/>
  <c r="G48" i="8" s="1"/>
  <c r="G117" i="8"/>
  <c r="I59" i="11"/>
  <c r="I60" i="11" s="1"/>
  <c r="I24" i="8"/>
  <c r="I54" i="2"/>
  <c r="I70" i="8"/>
  <c r="I29" i="2"/>
  <c r="I30" i="2" s="1"/>
  <c r="H98" i="8"/>
  <c r="H114" i="8"/>
  <c r="H97" i="8"/>
  <c r="H62" i="2"/>
  <c r="H53" i="2"/>
  <c r="H56" i="2" s="1"/>
  <c r="H69" i="8"/>
  <c r="H75" i="8" s="1"/>
  <c r="G116" i="8"/>
  <c r="H80" i="11"/>
  <c r="H81" i="11" s="1"/>
  <c r="H71" i="11"/>
  <c r="H57" i="11"/>
  <c r="H57" i="2" l="1"/>
  <c r="H104" i="8"/>
  <c r="H72" i="11"/>
  <c r="H78" i="11"/>
  <c r="I53" i="11"/>
  <c r="I25" i="8"/>
  <c r="I46" i="8"/>
  <c r="J23" i="2"/>
  <c r="H13" i="9"/>
  <c r="G29" i="9"/>
  <c r="G51" i="8"/>
  <c r="G113" i="8"/>
  <c r="I31" i="8" l="1"/>
  <c r="I33" i="8" s="1"/>
  <c r="I96" i="8"/>
  <c r="H107" i="8"/>
  <c r="G30" i="9"/>
  <c r="H105" i="8"/>
  <c r="H122" i="8" s="1"/>
  <c r="H125" i="8" s="1"/>
  <c r="H121" i="8"/>
  <c r="H124" i="8" s="1"/>
  <c r="I56" i="11"/>
  <c r="I54" i="11"/>
  <c r="H109" i="8"/>
  <c r="H110" i="8" s="1"/>
  <c r="H64" i="2"/>
  <c r="H88" i="8"/>
  <c r="H16" i="9" s="1"/>
  <c r="G65" i="8"/>
  <c r="G118" i="8"/>
  <c r="J21" i="8"/>
  <c r="H17" i="9" l="1"/>
  <c r="J29" i="2"/>
  <c r="J30" i="2" s="1"/>
  <c r="J59" i="11"/>
  <c r="J60" i="11" s="1"/>
  <c r="J24" i="8"/>
  <c r="J54" i="2"/>
  <c r="J70" i="8"/>
  <c r="I98" i="8"/>
  <c r="I114" i="8"/>
  <c r="I97" i="8"/>
  <c r="I80" i="11"/>
  <c r="I81" i="11" s="1"/>
  <c r="I71" i="11"/>
  <c r="I57" i="11"/>
  <c r="I53" i="2"/>
  <c r="I56" i="2" s="1"/>
  <c r="I69" i="8"/>
  <c r="I75" i="8" s="1"/>
  <c r="I62" i="2"/>
  <c r="H19" i="9" l="1"/>
  <c r="H25" i="9" s="1"/>
  <c r="H26" i="9" s="1"/>
  <c r="H20" i="9"/>
  <c r="H63" i="2" s="1"/>
  <c r="H87" i="8" s="1"/>
  <c r="H83" i="11" s="1"/>
  <c r="H18" i="9"/>
  <c r="J25" i="8"/>
  <c r="J53" i="11"/>
  <c r="K23" i="2"/>
  <c r="J46" i="8"/>
  <c r="I72" i="11"/>
  <c r="I78" i="11"/>
  <c r="I57" i="2"/>
  <c r="I104" i="8"/>
  <c r="H27" i="9" l="1"/>
  <c r="H84" i="11"/>
  <c r="H89" i="11"/>
  <c r="H53" i="8"/>
  <c r="H119" i="8" s="1"/>
  <c r="I23" i="9"/>
  <c r="H65" i="2"/>
  <c r="H60" i="8" s="1"/>
  <c r="H62" i="8" s="1"/>
  <c r="K21" i="8"/>
  <c r="I88" i="8"/>
  <c r="I16" i="9" s="1"/>
  <c r="I109" i="8"/>
  <c r="I110" i="8" s="1"/>
  <c r="I64" i="2"/>
  <c r="I105" i="8"/>
  <c r="I122" i="8" s="1"/>
  <c r="I125" i="8" s="1"/>
  <c r="I121" i="8"/>
  <c r="I124" i="8" s="1"/>
  <c r="H86" i="8"/>
  <c r="H90" i="8" s="1"/>
  <c r="H92" i="8" s="1"/>
  <c r="H93" i="8" s="1"/>
  <c r="H56" i="8"/>
  <c r="J56" i="11"/>
  <c r="J54" i="11"/>
  <c r="I107" i="8"/>
  <c r="J31" i="8"/>
  <c r="J33" i="8" s="1"/>
  <c r="J96" i="8"/>
  <c r="H112" i="8" l="1"/>
  <c r="I61" i="2"/>
  <c r="H63" i="8"/>
  <c r="H48" i="8"/>
  <c r="H117" i="8"/>
  <c r="H116" i="8"/>
  <c r="J80" i="11"/>
  <c r="J81" i="11" s="1"/>
  <c r="J71" i="11"/>
  <c r="J57" i="11"/>
  <c r="J97" i="8"/>
  <c r="J98" i="8"/>
  <c r="J114" i="8"/>
  <c r="J53" i="2"/>
  <c r="J56" i="2" s="1"/>
  <c r="J69" i="8"/>
  <c r="J75" i="8" s="1"/>
  <c r="J62" i="2"/>
  <c r="K29" i="2"/>
  <c r="K30" i="2" s="1"/>
  <c r="K46" i="8" s="1"/>
  <c r="K59" i="11"/>
  <c r="K60" i="11" s="1"/>
  <c r="K24" i="8"/>
  <c r="K54" i="2"/>
  <c r="K70" i="8"/>
  <c r="J78" i="11" l="1"/>
  <c r="J72" i="11"/>
  <c r="K25" i="8"/>
  <c r="K53" i="11"/>
  <c r="J104" i="8"/>
  <c r="J57" i="2"/>
  <c r="K107" i="8"/>
  <c r="I13" i="9"/>
  <c r="I17" i="9" s="1"/>
  <c r="H29" i="9"/>
  <c r="H51" i="8"/>
  <c r="H113" i="8"/>
  <c r="J107" i="8" l="1"/>
  <c r="K31" i="8"/>
  <c r="K33" i="8" s="1"/>
  <c r="K96" i="8"/>
  <c r="J88" i="8"/>
  <c r="J16" i="9" s="1"/>
  <c r="J109" i="8"/>
  <c r="J110" i="8" s="1"/>
  <c r="J64" i="2"/>
  <c r="J105" i="8"/>
  <c r="J122" i="8" s="1"/>
  <c r="J125" i="8" s="1"/>
  <c r="J121" i="8"/>
  <c r="J124" i="8" s="1"/>
  <c r="H65" i="8"/>
  <c r="H118" i="8"/>
  <c r="I19" i="9"/>
  <c r="I25" i="9" s="1"/>
  <c r="I18" i="9"/>
  <c r="I20" i="9"/>
  <c r="I63" i="2" s="1"/>
  <c r="K54" i="11"/>
  <c r="K56" i="11"/>
  <c r="H30" i="9"/>
  <c r="I26" i="9" l="1"/>
  <c r="K57" i="11"/>
  <c r="K80" i="11"/>
  <c r="K71" i="11"/>
  <c r="K114" i="8"/>
  <c r="K97" i="8"/>
  <c r="K98" i="8"/>
  <c r="K53" i="2"/>
  <c r="K56" i="2" s="1"/>
  <c r="K69" i="8"/>
  <c r="K75" i="8" s="1"/>
  <c r="K62" i="2"/>
  <c r="I87" i="8"/>
  <c r="I83" i="11" s="1"/>
  <c r="I65" i="2"/>
  <c r="I27" i="9" l="1"/>
  <c r="I84" i="11"/>
  <c r="I89" i="11"/>
  <c r="I53" i="8"/>
  <c r="I56" i="8" s="1"/>
  <c r="J23" i="9"/>
  <c r="J61" i="2"/>
  <c r="I60" i="8"/>
  <c r="I62" i="8" s="1"/>
  <c r="K104" i="8"/>
  <c r="K57" i="2"/>
  <c r="K78" i="11"/>
  <c r="C36" i="11" s="1"/>
  <c r="K72" i="11"/>
  <c r="L72" i="11"/>
  <c r="K81" i="11"/>
  <c r="L81" i="11"/>
  <c r="I86" i="8" l="1"/>
  <c r="I90" i="8" s="1"/>
  <c r="I92" i="8" s="1"/>
  <c r="I93" i="8" s="1"/>
  <c r="I48" i="8" s="1"/>
  <c r="I112" i="8"/>
  <c r="I119" i="8"/>
  <c r="I63" i="8"/>
  <c r="K88" i="8"/>
  <c r="K16" i="9" s="1"/>
  <c r="K109" i="8"/>
  <c r="K110" i="8" s="1"/>
  <c r="K64" i="2"/>
  <c r="K121" i="8"/>
  <c r="K124" i="8" s="1"/>
  <c r="K105" i="8"/>
  <c r="K122" i="8" s="1"/>
  <c r="K125" i="8" s="1"/>
  <c r="I116" i="8"/>
  <c r="I117" i="8"/>
  <c r="I36" i="11"/>
  <c r="I37" i="11" s="1"/>
  <c r="C37" i="11"/>
  <c r="C39" i="11" l="1"/>
  <c r="C44" i="11"/>
  <c r="I39" i="11"/>
  <c r="I44" i="11"/>
  <c r="J13" i="9"/>
  <c r="J17" i="9" s="1"/>
  <c r="I29" i="9"/>
  <c r="I51" i="8"/>
  <c r="I113" i="8"/>
  <c r="I30" i="9" l="1"/>
  <c r="I65" i="8"/>
  <c r="I118" i="8"/>
  <c r="J19" i="9"/>
  <c r="J25" i="9" s="1"/>
  <c r="J18" i="9"/>
  <c r="J20" i="9"/>
  <c r="J63" i="2" s="1"/>
  <c r="J26" i="9" l="1"/>
  <c r="J87" i="8"/>
  <c r="J83" i="11" s="1"/>
  <c r="J65" i="2"/>
  <c r="J27" i="9" l="1"/>
  <c r="J84" i="11"/>
  <c r="J89" i="11"/>
  <c r="J53" i="8"/>
  <c r="J86" i="8" s="1"/>
  <c r="J90" i="8" s="1"/>
  <c r="J92" i="8" s="1"/>
  <c r="J93" i="8" s="1"/>
  <c r="K23" i="9"/>
  <c r="K61" i="2"/>
  <c r="J60" i="8"/>
  <c r="J62" i="8" s="1"/>
  <c r="J56" i="8" l="1"/>
  <c r="J63" i="8" s="1"/>
  <c r="J119" i="8"/>
  <c r="J112" i="8"/>
  <c r="J117" i="8"/>
  <c r="J116" i="8"/>
  <c r="J48" i="8"/>
  <c r="K13" i="9" l="1"/>
  <c r="K17" i="9" s="1"/>
  <c r="J29" i="9"/>
  <c r="J51" i="8"/>
  <c r="J113" i="8"/>
  <c r="J30" i="9" l="1"/>
  <c r="J65" i="8"/>
  <c r="J118" i="8"/>
  <c r="K20" i="9"/>
  <c r="K63" i="2" s="1"/>
  <c r="K19" i="9"/>
  <c r="K25" i="9" s="1"/>
  <c r="K18" i="9"/>
  <c r="K26" i="9" l="1"/>
  <c r="K27" i="9" s="1"/>
  <c r="K87" i="8"/>
  <c r="K83" i="11" s="1"/>
  <c r="K65" i="2"/>
  <c r="K60" i="8" s="1"/>
  <c r="K62" i="8" s="1"/>
  <c r="K84" i="11" l="1"/>
  <c r="K89" i="11"/>
  <c r="C24" i="11" s="1"/>
  <c r="C26" i="11" s="1"/>
  <c r="C27" i="11" s="1"/>
  <c r="K53" i="8"/>
  <c r="K86" i="8" s="1"/>
  <c r="K90" i="8" s="1"/>
  <c r="K92" i="8" s="1"/>
  <c r="K93" i="8" s="1"/>
  <c r="K48" i="8" s="1"/>
  <c r="K113" i="8" s="1"/>
  <c r="K112" i="8" l="1"/>
  <c r="K116" i="8"/>
  <c r="K119" i="8"/>
  <c r="K117" i="8"/>
  <c r="K56" i="8"/>
  <c r="K63" i="8" s="1"/>
  <c r="K29" i="9"/>
  <c r="K30" i="9" s="1"/>
  <c r="K51" i="8"/>
  <c r="I46" i="11"/>
  <c r="C46" i="11"/>
  <c r="I47" i="11" l="1"/>
  <c r="C102" i="11"/>
  <c r="C93" i="11"/>
  <c r="C47" i="11"/>
  <c r="K65" i="8"/>
  <c r="K118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G28" authorId="0" shapeId="0" xr:uid="{56D5E70B-8D87-47DE-93F8-0B862BFB045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Book value</t>
        </r>
      </text>
    </comment>
    <comment ref="G49" authorId="0" shapeId="0" xr:uid="{E74B807E-21C3-4A1F-8348-7D2EC2D1164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Technically, the NCI will also increase by the percentage of acquisitons that are not-controlled.  But this can get complicated so we will not consider this in the model.</t>
        </r>
      </text>
    </comment>
    <comment ref="B123" authorId="0" shapeId="0" xr:uid="{F1392E2A-7716-4CF5-AF8B-FF9E151C2542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Basically the cap rate of the new assets</t>
        </r>
      </text>
    </comment>
    <comment ref="B124" authorId="0" shapeId="0" xr:uid="{3AD1140E-087A-4C7C-A7B9-FC9DA30C0D55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Assume an NOI margin here so we can back into the projected revenues from new deliveries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G82" authorId="0" shapeId="0" xr:uid="{A19379E0-1FCB-42DD-80B4-42A4E476A4D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Should use the actual disposal value, not the BV.  Just remember to back out the accounting gain or loss on CFS</t>
        </r>
      </text>
    </comment>
    <comment ref="B107" authorId="0" shapeId="0" xr:uid="{5F3DA667-466B-4AA7-AA4E-73453D4E703B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This should tecnically be the gross RE assets but as we did not model gross RE assets, we are using the net.  Cap rate will be slightly higher (underestimated).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C12" authorId="0" shapeId="0" xr:uid="{030500D0-1403-4875-9433-968F2E6AF5AE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The total replacement reserve should be more or less equal to capex on rentals for a given year</t>
        </r>
      </text>
    </comment>
    <comment ref="G20" authorId="0" shapeId="0" xr:uid="{6C975F4D-2C90-4B77-9102-01B4079AD4E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CBRE research report, available online if you register for free</t>
        </r>
      </text>
    </comment>
    <comment ref="D33" authorId="0" shapeId="0" xr:uid="{86FC25D3-B724-494F-A2B8-48CEA455B66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Total co-invested assets, not just ARMCO's share, so we will need to adjust at end</t>
        </r>
      </text>
    </comment>
    <comment ref="B42" authorId="0" shapeId="0" xr:uid="{00FB94C3-55C0-41B2-B50F-51E54D218EB0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Just be sure there are no goodwill or similar intangibles here as those would be not be included</t>
        </r>
      </text>
    </comment>
    <comment ref="H51" authorId="0" shapeId="0" xr:uid="{804C9966-6298-4A30-8200-945FA0FC5D9F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This would be disclosed in the financials</t>
        </r>
      </text>
    </comment>
    <comment ref="H57" authorId="0" shapeId="0" xr:uid="{048B6FA5-4FFC-4235-95E8-99D908BFABA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Be careful.  If you are including the Redeembale NCIs here, that means they are not being converted and should not be included in diluted shares.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C13" authorId="0" shapeId="0" xr:uid="{EF11CEEE-8304-449A-89D7-A1B2EEAE0C6A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Current 10-year Treasury rate</t>
        </r>
      </text>
    </comment>
    <comment ref="C14" authorId="0" shapeId="0" xr:uid="{6D11CF21-22D5-46ED-BF8D-CC46F30A7B19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An assumption</t>
        </r>
      </text>
    </comment>
    <comment ref="C16" authorId="0" shapeId="0" xr:uid="{0AF9395C-EDF7-4F96-AFA8-E20BB2E1949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Unlevered beta, relevered at target cap structure</t>
        </r>
      </text>
    </comment>
    <comment ref="C20" authorId="0" shapeId="0" xr:uid="{B776B054-9EE7-4910-88B2-99CC3A8E53A8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We do not take the after tax cost of debt as we do in other industries as there is little or no tax shield with a REIT.</t>
        </r>
      </text>
    </comment>
    <comment ref="C30" authorId="0" shapeId="0" xr:uid="{28A8BBE0-708A-4D43-BF8E-57708B853EA7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CS REIT Industry report</t>
        </r>
      </text>
    </comment>
    <comment ref="L84" authorId="0" shapeId="0" xr:uid="{264EBA0E-C5B7-47E4-A029-6EB44C507117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Since were are now out beyond the model's projection period we need an assumption for how much new equity will be issued</t>
        </r>
      </text>
    </comment>
  </commentList>
</comments>
</file>

<file path=xl/sharedStrings.xml><?xml version="1.0" encoding="utf-8"?>
<sst xmlns="http://schemas.openxmlformats.org/spreadsheetml/2006/main" count="503" uniqueCount="379">
  <si>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</si>
  <si>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</si>
  <si>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</si>
  <si>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</si>
  <si>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</si>
  <si>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</si>
  <si>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</si>
  <si>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</si>
  <si>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</si>
  <si>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</si>
  <si>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</si>
  <si>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</si>
  <si>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</si>
  <si>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</si>
  <si>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</si>
  <si>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</si>
  <si>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</si>
  <si>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www.fe.training</t>
  </si>
  <si>
    <t>Southern California</t>
  </si>
  <si>
    <t>Northern California</t>
  </si>
  <si>
    <t>Seattle and Portland area</t>
  </si>
  <si>
    <t>Hist.</t>
  </si>
  <si>
    <t>Proj.</t>
  </si>
  <si>
    <t>Year -2</t>
  </si>
  <si>
    <t>Year -1</t>
  </si>
  <si>
    <t>Year 0</t>
  </si>
  <si>
    <t>Year 1</t>
  </si>
  <si>
    <t>Year 2</t>
  </si>
  <si>
    <t>Year 3</t>
  </si>
  <si>
    <t>Year 4</t>
  </si>
  <si>
    <t>Year 5</t>
  </si>
  <si>
    <t>Total Revenue</t>
  </si>
  <si>
    <t>Revenue:</t>
  </si>
  <si>
    <t>Revenue growth rates:</t>
  </si>
  <si>
    <t>Net Operating Income:</t>
  </si>
  <si>
    <t>Net Operating Margin:</t>
  </si>
  <si>
    <t>Total net operating income</t>
  </si>
  <si>
    <t>Total NOI Margin</t>
  </si>
  <si>
    <t>Other Stabilized Communities</t>
  </si>
  <si>
    <t>Revenue</t>
  </si>
  <si>
    <t>Operating income</t>
  </si>
  <si>
    <t>Growth rate</t>
  </si>
  <si>
    <t>Operating margin</t>
  </si>
  <si>
    <t>Acquisitions of Properties</t>
  </si>
  <si>
    <t>Cap rate on acquired properties</t>
  </si>
  <si>
    <t>Incremental NOI</t>
  </si>
  <si>
    <t>Average # of Redevelopment Years</t>
  </si>
  <si>
    <t>Redevelopment Starts (Capitalized Spending)</t>
  </si>
  <si>
    <t>Redevelopment Properties</t>
  </si>
  <si>
    <t>Year 6</t>
  </si>
  <si>
    <t>Year 7</t>
  </si>
  <si>
    <t>Year 8</t>
  </si>
  <si>
    <t>Cost of Completed Redevelopments:</t>
  </si>
  <si>
    <t>Pre-Stabilized Yield on Completed Redevelopments:</t>
  </si>
  <si>
    <t>Yield on Co-invested assets</t>
  </si>
  <si>
    <t>Total annual development spending</t>
  </si>
  <si>
    <t>NOI margin</t>
  </si>
  <si>
    <t>Total annual redevelopment spending</t>
  </si>
  <si>
    <t>Annual Redevelopment Spending Starts</t>
  </si>
  <si>
    <t>Annual Development Spending Starts</t>
  </si>
  <si>
    <t>Cost of Completed Deliveries (of new homes)</t>
  </si>
  <si>
    <t>Pre-Stabilized Yield on Cost of Completed Deliveries</t>
  </si>
  <si>
    <t>NOI Margin</t>
  </si>
  <si>
    <t>NOI from Completed Redevelopments</t>
  </si>
  <si>
    <t>NOI from Completed Deliveries</t>
  </si>
  <si>
    <t>Revenues from deliveries pre-stabilization</t>
  </si>
  <si>
    <t>Revenue from Completed Deliveries pre-stabilization</t>
  </si>
  <si>
    <t>Incremental annual revenue</t>
  </si>
  <si>
    <t>Equity (co-invested) net operating income</t>
  </si>
  <si>
    <t>Equity co-investment rental and RE assets</t>
  </si>
  <si>
    <t>Equity co-investment non-operating expenses</t>
  </si>
  <si>
    <t>Equity co-investment revenues</t>
  </si>
  <si>
    <t>% of revenues</t>
  </si>
  <si>
    <t>Equity co-investment on balance sheet</t>
  </si>
  <si>
    <t>Asset Dispositions</t>
  </si>
  <si>
    <t>Gain / (Loss) % Asset Proceeds</t>
  </si>
  <si>
    <t>Book Value of Dispositions</t>
  </si>
  <si>
    <t>Weighted Average Initial Year Market Cap Rate</t>
  </si>
  <si>
    <t>Incremental Annual NOI Reduction</t>
  </si>
  <si>
    <t>Incremental Annual Revenue Reduction</t>
  </si>
  <si>
    <t>Development Properties</t>
  </si>
  <si>
    <t>Average # of Development Years</t>
  </si>
  <si>
    <t>Gain / (Loss) on Sale of Real Estate Assets</t>
  </si>
  <si>
    <t>Equity Co-Investments</t>
  </si>
  <si>
    <t>% growth</t>
  </si>
  <si>
    <t>Equity (co-invested) investment net income</t>
  </si>
  <si>
    <t>Company Name:</t>
  </si>
  <si>
    <t>Ticker:</t>
  </si>
  <si>
    <t>Valuation Date:</t>
  </si>
  <si>
    <t>Share Price as of Valuation Date:</t>
  </si>
  <si>
    <t>Basic Shares Outstanding:</t>
  </si>
  <si>
    <t>Future Funding Requirements  % Debt</t>
  </si>
  <si>
    <t>Future Funding Requirements % Equity</t>
  </si>
  <si>
    <t>Revenues</t>
  </si>
  <si>
    <t>Expenses</t>
  </si>
  <si>
    <t>Rental and other property</t>
  </si>
  <si>
    <t>Management and other fees from affiliates</t>
  </si>
  <si>
    <t>Total</t>
  </si>
  <si>
    <t>Earnings from operations</t>
  </si>
  <si>
    <t>Interest expense</t>
  </si>
  <si>
    <t>Interest and other income</t>
  </si>
  <si>
    <t>Equity income from co-investments</t>
  </si>
  <si>
    <t>Loss on early retirement of debt</t>
  </si>
  <si>
    <t>Net income</t>
  </si>
  <si>
    <t>Net income attributable to noncontrolling interest</t>
  </si>
  <si>
    <t>Net income attributable to controlling interest</t>
  </si>
  <si>
    <t>Corporate-level property management expenses</t>
  </si>
  <si>
    <t>Depreciation and amortization</t>
  </si>
  <si>
    <t>General and administrative</t>
  </si>
  <si>
    <t>Income Statement</t>
  </si>
  <si>
    <t>ARMCO</t>
  </si>
  <si>
    <t>Income Statement Assumptions</t>
  </si>
  <si>
    <t>Depreciation % previous year net fixed assets</t>
  </si>
  <si>
    <t>Other</t>
  </si>
  <si>
    <t>General &amp; administrative % total revenue</t>
  </si>
  <si>
    <t>Corporate-level property mgmt expenses % rental revenue</t>
  </si>
  <si>
    <t>Management Fees % growth</t>
  </si>
  <si>
    <t>Other Items % total revenue</t>
  </si>
  <si>
    <t>Balance Sheet Assumptions</t>
  </si>
  <si>
    <t>Net Real Estate Assets</t>
  </si>
  <si>
    <t>Loss on Early Retirement of Debt $</t>
  </si>
  <si>
    <t>Co-investments</t>
  </si>
  <si>
    <t>Prepaid expenses and other assets</t>
  </si>
  <si>
    <t>Total assets</t>
  </si>
  <si>
    <t>Cash and cash equivalents</t>
  </si>
  <si>
    <t>Notes and other receivables</t>
  </si>
  <si>
    <t>Other liabilities</t>
  </si>
  <si>
    <t>Total liabilities</t>
  </si>
  <si>
    <t>Redeemable noncontrolling interest</t>
  </si>
  <si>
    <t>Balance Sheet</t>
  </si>
  <si>
    <t>Total debt</t>
  </si>
  <si>
    <t>Current liabilities</t>
  </si>
  <si>
    <t>Total Equity</t>
  </si>
  <si>
    <t>Total Liabilities &amp; Equity</t>
  </si>
  <si>
    <t>Less: Net income attributable to noncontrolling interest</t>
  </si>
  <si>
    <t>Gain on other real estate transactions</t>
  </si>
  <si>
    <t>Net income attributable to NCI</t>
  </si>
  <si>
    <t>Notes and other receivables as % of rental revenue</t>
  </si>
  <si>
    <t>Prepaid expenses and other as % of rental revenue</t>
  </si>
  <si>
    <t>Current liabilities % of rental revenue</t>
  </si>
  <si>
    <t>Other liabilities % of rental revenue</t>
  </si>
  <si>
    <t>Revenue from Redevelopment Properties</t>
  </si>
  <si>
    <t>Property Revenue</t>
  </si>
  <si>
    <t>Property Expenses</t>
  </si>
  <si>
    <t>Less: Lost Revenue from Disposed Properties</t>
  </si>
  <si>
    <t xml:space="preserve"> Established Communities</t>
  </si>
  <si>
    <t xml:space="preserve"> Other Stabilized Communities</t>
  </si>
  <si>
    <t xml:space="preserve"> Expenses from Acquired Properties</t>
  </si>
  <si>
    <t xml:space="preserve"> Expenses from Redevelopment Properties</t>
  </si>
  <si>
    <t xml:space="preserve"> Expenses from Development Properties</t>
  </si>
  <si>
    <t>Total Property-Level Expenses</t>
  </si>
  <si>
    <t>Total Property Revenue</t>
  </si>
  <si>
    <t>Revenue from Development Properties</t>
  </si>
  <si>
    <t>Revenue from Acquired Properties</t>
  </si>
  <si>
    <t>Established Communities</t>
  </si>
  <si>
    <t>Established Communities Data and Assumptions</t>
  </si>
  <si>
    <t>Property operating expenses (incl. RE taxes)</t>
  </si>
  <si>
    <t>Beginning balance</t>
  </si>
  <si>
    <t>Distributions</t>
  </si>
  <si>
    <t>Ending balance</t>
  </si>
  <si>
    <t>Ending Net Real Estate Assets</t>
  </si>
  <si>
    <t>Beginning Net Real Estate Assets</t>
  </si>
  <si>
    <t>Depreciation</t>
  </si>
  <si>
    <t>Capital expenditures % of rental revenue</t>
  </si>
  <si>
    <t>Less: Depreciation</t>
  </si>
  <si>
    <t>Less: Disposals</t>
  </si>
  <si>
    <t>Acquistions</t>
  </si>
  <si>
    <t>Developments</t>
  </si>
  <si>
    <t>Redevelopment</t>
  </si>
  <si>
    <t>Capital expenditure on rentals</t>
  </si>
  <si>
    <t>Dividends</t>
  </si>
  <si>
    <t>Equity Calculation</t>
  </si>
  <si>
    <t>Funds from Operations:</t>
  </si>
  <si>
    <t>Total FFO</t>
  </si>
  <si>
    <t>Total dividends paid</t>
  </si>
  <si>
    <t>Dividends as % of FFO</t>
  </si>
  <si>
    <t>Beginning</t>
  </si>
  <si>
    <t>Increase in common stock</t>
  </si>
  <si>
    <t>Dividends paid</t>
  </si>
  <si>
    <t>Ending</t>
  </si>
  <si>
    <t>Net income attributable to parent</t>
  </si>
  <si>
    <t>Cash Flow Statement</t>
  </si>
  <si>
    <t>Income from Equity Co-Investments</t>
  </si>
  <si>
    <t>Changes in operating assets and liabilities</t>
  </si>
  <si>
    <t>Net operating cash flow</t>
  </si>
  <si>
    <t>Cash flow from operations</t>
  </si>
  <si>
    <t>Cash flow from investing</t>
  </si>
  <si>
    <t>Disposals of real estate</t>
  </si>
  <si>
    <t>(Gain) Loss on disposal of assets</t>
  </si>
  <si>
    <t>Total cash flow from investing</t>
  </si>
  <si>
    <t>Cash flow from financing</t>
  </si>
  <si>
    <t>Issuance of equity</t>
  </si>
  <si>
    <t>Dividends paid to common</t>
  </si>
  <si>
    <t>Distributions paid to NCI</t>
  </si>
  <si>
    <t>Net cash flow</t>
  </si>
  <si>
    <t>Total cash flow from financing</t>
  </si>
  <si>
    <t>Ending cash</t>
  </si>
  <si>
    <t>Balance check:</t>
  </si>
  <si>
    <t>Beginning cash Available for Debt</t>
  </si>
  <si>
    <t>Less: Minimum cash required</t>
  </si>
  <si>
    <t>Cash Flow Available for Debt</t>
  </si>
  <si>
    <t>Cash Available for Debt (Needs to Be Funded)</t>
  </si>
  <si>
    <t>Amount to be applied to existing debt</t>
  </si>
  <si>
    <t>Portion to be raised with debt</t>
  </si>
  <si>
    <t>Portion to be raised in equity</t>
  </si>
  <si>
    <t>Debt</t>
  </si>
  <si>
    <t>(Maturities)</t>
  </si>
  <si>
    <t>Issuance/(Accelerated repayment)</t>
  </si>
  <si>
    <t>Minimum cash balance required % of rental revenues</t>
  </si>
  <si>
    <t>Debt And Equity Schedule</t>
  </si>
  <si>
    <t>Mandatory repayments</t>
  </si>
  <si>
    <t>LT Debt interest rate</t>
  </si>
  <si>
    <t>Interest</t>
  </si>
  <si>
    <t>Less: Mandated repayments</t>
  </si>
  <si>
    <t>Cash</t>
  </si>
  <si>
    <t>Financing Assumptions</t>
  </si>
  <si>
    <t>Cash interest rate</t>
  </si>
  <si>
    <t>Apartment Realty Management Co (ARMCO)</t>
  </si>
  <si>
    <t>Ratios and Metrics</t>
  </si>
  <si>
    <t>EBITDA</t>
  </si>
  <si>
    <t>EBITDA Growth</t>
  </si>
  <si>
    <t>EBITDA Margin</t>
  </si>
  <si>
    <t>Net Operating Income (NOI)</t>
  </si>
  <si>
    <t>NOI Growth</t>
  </si>
  <si>
    <t>Dividends per Share</t>
  </si>
  <si>
    <t>Debt / EBITDA</t>
  </si>
  <si>
    <t>Net Debt / EBITDA</t>
  </si>
  <si>
    <t>EBITDA / Interest</t>
  </si>
  <si>
    <t>Total Debt / Total Assets</t>
  </si>
  <si>
    <t>P / FFO</t>
  </si>
  <si>
    <t>P/AFFO</t>
  </si>
  <si>
    <t>FFO yield</t>
  </si>
  <si>
    <t>AFFO Yield</t>
  </si>
  <si>
    <t>FFO</t>
  </si>
  <si>
    <t>AFFO</t>
  </si>
  <si>
    <t>NOI margin'</t>
  </si>
  <si>
    <t>Forward Cap Rate Based on Net RE Assets</t>
  </si>
  <si>
    <t>Total Debt / Total RE Assets</t>
  </si>
  <si>
    <t>Total Debt / Total Book Equity</t>
  </si>
  <si>
    <t>Total Debt / Total Book Capital</t>
  </si>
  <si>
    <t>Dividend Yield (as % of share price)</t>
  </si>
  <si>
    <t xml:space="preserve"> Less:Expenses from Disposed Properties</t>
  </si>
  <si>
    <t>NAV</t>
  </si>
  <si>
    <t>Exercise</t>
  </si>
  <si>
    <t>Dilutive Securities:</t>
  </si>
  <si>
    <t>Number:</t>
  </si>
  <si>
    <t>Price:</t>
  </si>
  <si>
    <t>Dilution:</t>
  </si>
  <si>
    <t>Options A:</t>
  </si>
  <si>
    <t>Performance Awards:</t>
  </si>
  <si>
    <t>RSUs:</t>
  </si>
  <si>
    <t>Total:</t>
  </si>
  <si>
    <t>Current Equity Value:</t>
  </si>
  <si>
    <t>(-) Cash &amp; Cash-Equivalents:</t>
  </si>
  <si>
    <t>(-) Equity Investments &amp; Non-Core Assets:</t>
  </si>
  <si>
    <t>(+) Total Debt:</t>
  </si>
  <si>
    <t>(+) Noncontrolling Interests:</t>
  </si>
  <si>
    <t>Current Enterprise Value:</t>
  </si>
  <si>
    <t>000s</t>
  </si>
  <si>
    <t>Fully Diluted Shares</t>
  </si>
  <si>
    <t>Total Shares Outstanding:</t>
  </si>
  <si>
    <t>Median EV / EBITDA Year 1 of Comps</t>
  </si>
  <si>
    <t>Implied Terminal FCF Growth Rate</t>
  </si>
  <si>
    <t>PV of Terminal Value</t>
  </si>
  <si>
    <t>Sum of PV of Free Cash Flows</t>
  </si>
  <si>
    <t xml:space="preserve">Implied Enterprise Value </t>
  </si>
  <si>
    <t xml:space="preserve">% of Implied EV from Terminal Value </t>
  </si>
  <si>
    <t xml:space="preserve">(+) Cash &amp; Cash-Equivalents </t>
  </si>
  <si>
    <t xml:space="preserve">(-) Total Debt </t>
  </si>
  <si>
    <t xml:space="preserve">(-) Noncontrolling Interests </t>
  </si>
  <si>
    <t xml:space="preserve">Implied Equity Value </t>
  </si>
  <si>
    <t xml:space="preserve">Implied Share Price from DCF </t>
  </si>
  <si>
    <t xml:space="preserve">Premium / (Discount) to Current </t>
  </si>
  <si>
    <t>Cost of Capital</t>
  </si>
  <si>
    <t xml:space="preserve">Expected Long-Term GDP Growth </t>
  </si>
  <si>
    <t xml:space="preserve">Implied Terminal EBITDA Multiple </t>
  </si>
  <si>
    <t>Free Cash Flows</t>
  </si>
  <si>
    <t xml:space="preserve">Revenue </t>
  </si>
  <si>
    <t xml:space="preserve">Revenue Growth Rate </t>
  </si>
  <si>
    <t xml:space="preserve">(-) Normalized Operating Expenses </t>
  </si>
  <si>
    <t xml:space="preserve">% Revenue </t>
  </si>
  <si>
    <t xml:space="preserve">Operating Income (EBIT) </t>
  </si>
  <si>
    <t xml:space="preserve">Operating Margin </t>
  </si>
  <si>
    <t xml:space="preserve">Growth Rate </t>
  </si>
  <si>
    <t xml:space="preserve">(+) Depreciation &amp; Amortization </t>
  </si>
  <si>
    <t xml:space="preserve">(+/-) Change in Working Capital </t>
  </si>
  <si>
    <t xml:space="preserve">(-) Recurring Maintenance CapEx </t>
  </si>
  <si>
    <t xml:space="preserve">(-) Acquisitions, Net of Cash Acquired </t>
  </si>
  <si>
    <t xml:space="preserve">(-) Developments &amp; Redevelopments </t>
  </si>
  <si>
    <t xml:space="preserve">(-) Proceeds from Asset Dispositions </t>
  </si>
  <si>
    <t xml:space="preserve">Unlevered Free Cash Flow </t>
  </si>
  <si>
    <t xml:space="preserve">Discount Period </t>
  </si>
  <si>
    <t xml:space="preserve">WACC </t>
  </si>
  <si>
    <t xml:space="preserve">WACC - Cumulative Discount Factor </t>
  </si>
  <si>
    <t xml:space="preserve">PV of Unlevered FCF </t>
  </si>
  <si>
    <t xml:space="preserve">EBITDA </t>
  </si>
  <si>
    <t xml:space="preserve">Stock Issuances </t>
  </si>
  <si>
    <t xml:space="preserve">% Total Capital Costs </t>
  </si>
  <si>
    <t xml:space="preserve">Cost of Equity </t>
  </si>
  <si>
    <t xml:space="preserve">Cost of Equity - Cumulative Discount Factor </t>
  </si>
  <si>
    <t xml:space="preserve">PV of Future Stock Issuances </t>
  </si>
  <si>
    <t>Year 9</t>
  </si>
  <si>
    <t>Year 10</t>
  </si>
  <si>
    <t>Adjustments for Non-Cash Charges :</t>
  </si>
  <si>
    <t>Terminal EBITDA  Multiple</t>
  </si>
  <si>
    <t>Terminal Value</t>
  </si>
  <si>
    <t xml:space="preserve">Terminal FCF Growth Rate </t>
  </si>
  <si>
    <t xml:space="preserve">Terminal Value </t>
  </si>
  <si>
    <t>Assets</t>
  </si>
  <si>
    <t>Established communities</t>
  </si>
  <si>
    <t>Other business segments</t>
  </si>
  <si>
    <t>Acquired properties</t>
  </si>
  <si>
    <t>Developed properties</t>
  </si>
  <si>
    <t>Redeveloped properties</t>
  </si>
  <si>
    <t>Disposed properties</t>
  </si>
  <si>
    <t>Equity co-investments</t>
  </si>
  <si>
    <t>Nominal</t>
  </si>
  <si>
    <t>Repl. Reserve</t>
  </si>
  <si>
    <t>Economic</t>
  </si>
  <si>
    <t xml:space="preserve">Implied </t>
  </si>
  <si>
    <t>Forward NOI:</t>
  </si>
  <si>
    <t>Deduction:</t>
  </si>
  <si>
    <t>Cap Rate:</t>
  </si>
  <si>
    <t>Value:</t>
  </si>
  <si>
    <t>Replacement reserves % of NOI</t>
  </si>
  <si>
    <t>Other established</t>
  </si>
  <si>
    <t>ARMCOs ownership stake, average of all properties</t>
  </si>
  <si>
    <t>Total value, established assets</t>
  </si>
  <si>
    <t>Total value, other business segments</t>
  </si>
  <si>
    <t>Other Assets</t>
  </si>
  <si>
    <t>Total market value of assets</t>
  </si>
  <si>
    <t>Liabilities</t>
  </si>
  <si>
    <t>Market value adjustment</t>
  </si>
  <si>
    <t>Total debt of equity investments</t>
  </si>
  <si>
    <t>Market value of debt</t>
  </si>
  <si>
    <t>Total debt of equity investment</t>
  </si>
  <si>
    <t>Total market value of liabilities</t>
  </si>
  <si>
    <t>Net Asset Value</t>
  </si>
  <si>
    <t>Diluted shares</t>
  </si>
  <si>
    <t>NAV per share</t>
  </si>
  <si>
    <t>Current share</t>
  </si>
  <si>
    <t>Premium (Discount) to current share price</t>
  </si>
  <si>
    <t>Noncontrolling interest</t>
  </si>
  <si>
    <t>WACC</t>
  </si>
  <si>
    <t>Sensitivities on Multiple Method</t>
  </si>
  <si>
    <t>EBITDA Exit</t>
  </si>
  <si>
    <t>Sensitivities on Perpetual Growth Method</t>
  </si>
  <si>
    <t>Long term growth rate</t>
  </si>
  <si>
    <t>NAV model</t>
  </si>
  <si>
    <t>Calculations</t>
  </si>
  <si>
    <t>Financing</t>
  </si>
  <si>
    <t>OpModel</t>
  </si>
  <si>
    <t>Segment info, details and analysis of individual accounts</t>
  </si>
  <si>
    <t>Debt and equity funding, Interest calculations for debt and cash</t>
  </si>
  <si>
    <t>Income Statement, Balance Sheet, Cash Flows, Ratios</t>
  </si>
  <si>
    <t>Net Asset Valuation</t>
  </si>
  <si>
    <t>Fully detailed operating model</t>
  </si>
  <si>
    <t>Estimated number of Future Shares to Be Issued</t>
  </si>
  <si>
    <t>PV of Terminal Value of Stock Issuances</t>
  </si>
  <si>
    <t>PV of Future Stock Issuances</t>
  </si>
  <si>
    <t>Discount Rate (WACC)</t>
  </si>
  <si>
    <t>Planned Debt-to-Total-Capital Ratio</t>
  </si>
  <si>
    <t>Cost of Debt</t>
  </si>
  <si>
    <t>Cost of Equity</t>
  </si>
  <si>
    <t>Equity Risk Premium</t>
  </si>
  <si>
    <t>Risk-Free Rate</t>
  </si>
  <si>
    <t>Median Levered Beta from Comps</t>
  </si>
  <si>
    <t>Total stockholders equity</t>
  </si>
  <si>
    <t>Redeemable NCI</t>
  </si>
  <si>
    <t>Net income attributable to NCI % growth</t>
  </si>
  <si>
    <t>Terminal Value Multiples Method</t>
  </si>
  <si>
    <t>Terminal Value Perpetuity Method</t>
  </si>
  <si>
    <t>Management fees, etc.</t>
  </si>
  <si>
    <t>(+) Redeemable Noncontrolling Interests:</t>
  </si>
  <si>
    <t>+/- Losses/Gains on Property Sales</t>
  </si>
  <si>
    <t>Shares Outstanding</t>
  </si>
  <si>
    <t>Forward (Year 1) NOI:</t>
  </si>
  <si>
    <t>REIT Operating and Valuation Model</t>
  </si>
  <si>
    <t>Change in debt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</si>
</sst>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  <numFmt numFmtId="172" formatCode="0.00%_);\(0.00%\)"/>
    <numFmt numFmtId="173" formatCode="_(* #,##0_);_(* \(#,##0\);_(* &quot;-&quot;??_);_(@_)"/>
    <numFmt numFmtId="174" formatCode="#,##0.000"/>
    <numFmt numFmtId="175" formatCode="#,##0.00_);\(#,##0.00\);0.00_);@_)"/>
    <numFmt numFmtId="176" formatCode="#,##0.000_);\(#,##0.000\);0.000_);@_)"/>
    <numFmt numFmtId="177" formatCode="0.0%_);\(0.0%\);\-_);@_)"/>
  </numFmts>
  <fonts count="41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  <scheme val="minor"/>
    </font>
    <font>
      <sz val="11"/>
      <color theme="1"/>
      <name val="Century Gothic"/>
      <family val="2"/>
    </font>
    <font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rgb="FF70AD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  <border>
      <left style="thin">
        <color rgb="FFBBDEFB"/>
      </left>
      <right style="thin">
        <color rgb="FFBBDEFB"/>
      </right>
      <top style="thin">
        <color rgb="FFBBDEFB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  <xf numFmtId="169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173" fontId="29" fillId="0" borderId="0" applyFont="0" applyFill="0" applyBorder="0" applyAlignment="0" applyProtection="0"/>
    <xf numFmtId="177" fontId="38" fillId="0" borderId="0" applyFont="0" applyFill="0" applyBorder="0" applyAlignment="0" applyProtection="0"/>
  </cellStyleXfs>
  <cellXfs count="166">
    <xf numFmtId="170" fontId="0" fillId="0" borderId="0" xfId="0"/>
    <xf numFmtId="170" fontId="27" fillId="2" borderId="0" xfId="52" applyNumberFormat="1">
      <alignment horizontal="center"/>
    </xf>
    <xf numFmtId="170" fontId="2" fillId="5" borderId="0" xfId="50" applyNumberFormat="1" applyFont="1" applyAlignment="1"/>
    <xf numFmtId="170" fontId="2" fillId="5" borderId="0" xfId="50" applyNumberFormat="1" applyFont="1" applyAlignment="1">
      <alignment horizontal="left" vertical="top"/>
    </xf>
    <xf numFmtId="170" fontId="2" fillId="4" borderId="0" xfId="0" applyFont="1" applyFill="1" applyBorder="1"/>
    <xf numFmtId="167" fontId="31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25" fillId="2" borderId="0" xfId="0" applyFont="1" applyFill="1" applyBorder="1" applyAlignment="1">
      <alignment vertical="center"/>
    </xf>
    <xf numFmtId="166" fontId="28" fillId="3" borderId="0" xfId="51">
      <alignment horizontal="center"/>
    </xf>
    <xf numFmtId="167" fontId="27" fillId="2" borderId="0" xfId="52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0" fillId="0" borderId="0" xfId="0" applyNumberFormat="1"/>
    <xf numFmtId="170" fontId="0" fillId="0" borderId="0" xfId="0"/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center" vertical="top"/>
    </xf>
    <xf numFmtId="170" fontId="0" fillId="0" borderId="0" xfId="0" applyFill="1"/>
    <xf numFmtId="170" fontId="0" fillId="0" borderId="0" xfId="0" applyFill="1" applyBorder="1"/>
    <xf numFmtId="170" fontId="25" fillId="0" borderId="0" xfId="0" applyFont="1" applyFill="1" applyBorder="1" applyAlignment="1"/>
    <xf numFmtId="167" fontId="30" fillId="0" borderId="0" xfId="56" applyFill="1" applyBorder="1" applyAlignment="1">
      <alignment vertical="top"/>
    </xf>
    <xf numFmtId="167" fontId="2" fillId="5" borderId="0" xfId="50" applyNumberFormat="1" applyFont="1" applyBorder="1" applyAlignment="1">
      <alignment horizontal="left" vertical="top"/>
    </xf>
    <xf numFmtId="167" fontId="3" fillId="5" borderId="0" xfId="50" applyNumberFormat="1" applyFont="1" applyBorder="1" applyAlignment="1">
      <alignment horizontal="center" vertical="top"/>
    </xf>
    <xf numFmtId="167" fontId="2" fillId="5" borderId="0" xfId="50" applyNumberFormat="1" applyFont="1" applyBorder="1" applyAlignment="1"/>
    <xf numFmtId="167" fontId="5" fillId="5" borderId="0" xfId="50" applyNumberFormat="1" applyFont="1" applyBorder="1" applyAlignment="1">
      <alignment vertical="center" wrapText="1"/>
    </xf>
    <xf numFmtId="167" fontId="2" fillId="5" borderId="0" xfId="50" applyNumberFormat="1" applyFont="1" applyAlignment="1">
      <alignment vertical="top"/>
    </xf>
    <xf numFmtId="167" fontId="3" fillId="5" borderId="0" xfId="50" applyNumberFormat="1" applyFont="1" applyAlignment="1">
      <alignment horizontal="center" vertical="top"/>
    </xf>
    <xf numFmtId="167" fontId="2" fillId="5" borderId="0" xfId="50" applyNumberFormat="1" applyFont="1" applyAlignment="1"/>
    <xf numFmtId="167" fontId="5" fillId="5" borderId="0" xfId="50" applyNumberFormat="1" applyFont="1" applyAlignment="1">
      <alignment vertical="center" wrapText="1"/>
    </xf>
    <xf numFmtId="167" fontId="7" fillId="5" borderId="0" xfId="50" applyNumberFormat="1" applyFont="1" applyAlignment="1">
      <alignment vertical="center" wrapText="1"/>
    </xf>
    <xf numFmtId="167" fontId="30" fillId="37" borderId="10" xfId="58" applyNumberFormat="1">
      <protection locked="0"/>
    </xf>
    <xf numFmtId="167" fontId="2" fillId="0" borderId="0" xfId="50" applyNumberFormat="1" applyFont="1" applyFill="1" applyAlignment="1"/>
    <xf numFmtId="170" fontId="2" fillId="0" borderId="0" xfId="0" applyFont="1" applyFill="1" applyBorder="1" applyAlignment="1"/>
    <xf numFmtId="170" fontId="0" fillId="5" borderId="0" xfId="50" applyNumberFormat="1" applyFont="1" applyAlignment="1"/>
    <xf numFmtId="170" fontId="2" fillId="5" borderId="0" xfId="50" applyNumberFormat="1" applyFont="1" applyAlignment="1">
      <alignment vertical="top"/>
    </xf>
    <xf numFmtId="170" fontId="4" fillId="5" borderId="0" xfId="50" applyNumberFormat="1" applyFont="1" applyAlignment="1">
      <alignment vertical="center"/>
    </xf>
    <xf numFmtId="170" fontId="0" fillId="5" borderId="0" xfId="50" applyNumberFormat="1" applyFont="1" applyAlignment="1"/>
    <xf numFmtId="170" fontId="3" fillId="5" borderId="0" xfId="50" applyNumberFormat="1" applyFont="1" applyAlignment="1">
      <alignment horizontal="center" vertical="top"/>
    </xf>
    <xf numFmtId="170" fontId="2" fillId="5" borderId="11" xfId="50" applyNumberFormat="1" applyFont="1" applyBorder="1" applyAlignment="1">
      <alignment vertical="top"/>
    </xf>
    <xf numFmtId="170" fontId="3" fillId="5" borderId="11" xfId="50" applyNumberFormat="1" applyFont="1" applyBorder="1" applyAlignment="1">
      <alignment horizontal="center" vertical="top"/>
    </xf>
    <xf numFmtId="170" fontId="2" fillId="5" borderId="11" xfId="50" applyNumberFormat="1" applyFont="1" applyBorder="1" applyAlignment="1"/>
    <xf numFmtId="170" fontId="5" fillId="5" borderId="11" xfId="50" applyNumberFormat="1" applyFont="1" applyBorder="1" applyAlignment="1">
      <alignment vertical="center" wrapText="1"/>
    </xf>
    <xf numFmtId="170" fontId="2" fillId="5" borderId="0" xfId="50" applyNumberFormat="1" applyFont="1" applyAlignment="1">
      <alignment vertical="top" wrapText="1"/>
    </xf>
    <xf numFmtId="170" fontId="3" fillId="5" borderId="0" xfId="50" applyNumberFormat="1" applyFont="1" applyAlignment="1">
      <alignment vertical="top"/>
    </xf>
    <xf numFmtId="170" fontId="0" fillId="0" borderId="0" xfId="0"/>
    <xf numFmtId="170" fontId="0" fillId="0" borderId="0" xfId="0"/>
    <xf numFmtId="170" fontId="0" fillId="0" borderId="0" xfId="0"/>
    <xf numFmtId="170" fontId="0" fillId="0" borderId="12" xfId="0" applyBorder="1"/>
    <xf numFmtId="10" fontId="0" fillId="0" borderId="0" xfId="0" applyNumberFormat="1" applyBorder="1"/>
    <xf numFmtId="169" fontId="30" fillId="37" borderId="10" xfId="58" applyNumberFormat="1">
      <protection locked="0"/>
    </xf>
    <xf numFmtId="170" fontId="0" fillId="0" borderId="0" xfId="0" applyAlignment="1">
      <alignment horizontal="left" indent="1"/>
    </xf>
    <xf numFmtId="170" fontId="0" fillId="0" borderId="0" xfId="0" applyAlignment="1">
      <alignment horizontal="left"/>
    </xf>
    <xf numFmtId="170" fontId="30" fillId="37" borderId="10" xfId="58" applyNumberFormat="1">
      <protection locked="0"/>
    </xf>
    <xf numFmtId="169" fontId="0" fillId="0" borderId="0" xfId="0" applyNumberFormat="1"/>
    <xf numFmtId="169" fontId="0" fillId="0" borderId="0" xfId="59" applyFont="1"/>
    <xf numFmtId="170" fontId="0" fillId="0" borderId="12" xfId="0" applyBorder="1" applyAlignment="1">
      <alignment horizontal="left"/>
    </xf>
    <xf numFmtId="170" fontId="30" fillId="0" borderId="0" xfId="56" applyNumberFormat="1" applyFill="1"/>
    <xf numFmtId="169" fontId="30" fillId="37" borderId="10" xfId="59" applyFont="1" applyFill="1" applyBorder="1" applyProtection="1">
      <protection locked="0"/>
    </xf>
    <xf numFmtId="169" fontId="30" fillId="0" borderId="0" xfId="56" applyNumberFormat="1" applyFill="1"/>
    <xf numFmtId="172" fontId="0" fillId="0" borderId="0" xfId="59" applyNumberFormat="1" applyFont="1"/>
    <xf numFmtId="170" fontId="35" fillId="0" borderId="0" xfId="0" applyFont="1" applyAlignment="1">
      <alignment horizontal="left"/>
    </xf>
    <xf numFmtId="170" fontId="35" fillId="0" borderId="0" xfId="0" applyFont="1"/>
    <xf numFmtId="170" fontId="29" fillId="0" borderId="0" xfId="0" applyFont="1"/>
    <xf numFmtId="167" fontId="4" fillId="0" borderId="0" xfId="0" applyNumberFormat="1" applyFont="1"/>
    <xf numFmtId="170" fontId="29" fillId="0" borderId="0" xfId="0" applyFont="1" applyAlignment="1">
      <alignment horizontal="left" indent="1"/>
    </xf>
    <xf numFmtId="170" fontId="4" fillId="0" borderId="0" xfId="0" applyNumberFormat="1" applyFont="1" applyFill="1"/>
    <xf numFmtId="170" fontId="29" fillId="0" borderId="12" xfId="0" applyFont="1" applyBorder="1"/>
    <xf numFmtId="170" fontId="29" fillId="0" borderId="0" xfId="0" applyFont="1" applyAlignment="1">
      <alignment horizontal="left"/>
    </xf>
    <xf numFmtId="170" fontId="29" fillId="0" borderId="12" xfId="0" applyFont="1" applyBorder="1" applyAlignment="1">
      <alignment horizontal="left"/>
    </xf>
    <xf numFmtId="170" fontId="29" fillId="0" borderId="0" xfId="0" applyFont="1" applyFill="1" applyBorder="1" applyAlignment="1">
      <alignment horizontal="left" indent="1"/>
    </xf>
    <xf numFmtId="44" fontId="0" fillId="0" borderId="0" xfId="60" applyFont="1"/>
    <xf numFmtId="44" fontId="30" fillId="0" borderId="0" xfId="56" applyNumberFormat="1" applyFill="1"/>
    <xf numFmtId="170" fontId="0" fillId="0" borderId="0" xfId="0" applyFont="1"/>
    <xf numFmtId="170" fontId="0" fillId="0" borderId="0" xfId="0" applyBorder="1"/>
    <xf numFmtId="170" fontId="0" fillId="0" borderId="12" xfId="0" applyFill="1" applyBorder="1"/>
    <xf numFmtId="173" fontId="0" fillId="0" borderId="0" xfId="61" applyFont="1"/>
    <xf numFmtId="173" fontId="0" fillId="0" borderId="12" xfId="61" applyFont="1" applyBorder="1"/>
    <xf numFmtId="173" fontId="30" fillId="0" borderId="0" xfId="56" applyNumberFormat="1" applyFill="1"/>
    <xf numFmtId="170" fontId="0" fillId="0" borderId="12" xfId="0" applyBorder="1" applyAlignment="1">
      <alignment horizontal="left" indent="1"/>
    </xf>
    <xf numFmtId="170" fontId="0" fillId="0" borderId="12" xfId="0" applyBorder="1" applyAlignment="1">
      <alignment horizontal="left" indent="2"/>
    </xf>
    <xf numFmtId="173" fontId="29" fillId="0" borderId="12" xfId="56" applyNumberFormat="1" applyFont="1" applyFill="1" applyBorder="1"/>
    <xf numFmtId="173" fontId="30" fillId="37" borderId="10" xfId="61" applyFont="1" applyFill="1" applyBorder="1" applyProtection="1">
      <protection locked="0"/>
    </xf>
    <xf numFmtId="173" fontId="30" fillId="37" borderId="10" xfId="58" applyNumberFormat="1">
      <protection locked="0"/>
    </xf>
    <xf numFmtId="173" fontId="0" fillId="0" borderId="12" xfId="61" applyFont="1" applyBorder="1" applyAlignment="1">
      <alignment horizontal="left" indent="1"/>
    </xf>
    <xf numFmtId="173" fontId="30" fillId="0" borderId="0" xfId="61" applyFont="1" applyFill="1"/>
    <xf numFmtId="173" fontId="30" fillId="0" borderId="0" xfId="61" quotePrefix="1" applyFont="1" applyFill="1"/>
    <xf numFmtId="173" fontId="29" fillId="0" borderId="10" xfId="61" applyFont="1" applyFill="1" applyBorder="1" applyProtection="1">
      <protection locked="0"/>
    </xf>
    <xf numFmtId="170" fontId="0" fillId="0" borderId="0" xfId="0" quotePrefix="1" applyAlignment="1">
      <alignment horizontal="left" indent="1"/>
    </xf>
    <xf numFmtId="170" fontId="0" fillId="0" borderId="0" xfId="0" applyBorder="1" applyAlignment="1">
      <alignment horizontal="left"/>
    </xf>
    <xf numFmtId="169" fontId="30" fillId="37" borderId="0" xfId="59" applyFont="1" applyFill="1" applyBorder="1" applyProtection="1">
      <protection locked="0"/>
    </xf>
    <xf numFmtId="173" fontId="0" fillId="0" borderId="0" xfId="61" applyFont="1" applyFill="1"/>
    <xf numFmtId="171" fontId="0" fillId="0" borderId="0" xfId="54" applyFont="1"/>
    <xf numFmtId="173" fontId="29" fillId="0" borderId="12" xfId="61" applyFont="1" applyFill="1" applyBorder="1"/>
    <xf numFmtId="166" fontId="0" fillId="0" borderId="0" xfId="53" applyFont="1"/>
    <xf numFmtId="175" fontId="0" fillId="0" borderId="0" xfId="0" applyNumberFormat="1"/>
    <xf numFmtId="43" fontId="30" fillId="37" borderId="10" xfId="61" applyNumberFormat="1" applyFont="1" applyFill="1" applyBorder="1" applyProtection="1">
      <protection locked="0"/>
    </xf>
    <xf numFmtId="170" fontId="0" fillId="4" borderId="0" xfId="0" applyFill="1"/>
    <xf numFmtId="170" fontId="0" fillId="4" borderId="12" xfId="0" applyFill="1" applyBorder="1"/>
    <xf numFmtId="176" fontId="0" fillId="4" borderId="0" xfId="0" applyNumberFormat="1" applyFill="1"/>
    <xf numFmtId="44" fontId="0" fillId="4" borderId="0" xfId="60" applyFont="1" applyFill="1"/>
    <xf numFmtId="174" fontId="36" fillId="4" borderId="0" xfId="0" applyNumberFormat="1" applyFont="1" applyFill="1"/>
    <xf numFmtId="176" fontId="0" fillId="4" borderId="12" xfId="0" applyNumberFormat="1" applyFill="1" applyBorder="1"/>
    <xf numFmtId="44" fontId="0" fillId="4" borderId="12" xfId="60" applyFont="1" applyFill="1" applyBorder="1"/>
    <xf numFmtId="174" fontId="37" fillId="4" borderId="12" xfId="0" applyNumberFormat="1" applyFont="1" applyFill="1" applyBorder="1"/>
    <xf numFmtId="172" fontId="30" fillId="37" borderId="10" xfId="59" applyNumberFormat="1" applyFont="1" applyFill="1" applyBorder="1" applyProtection="1">
      <protection locked="0"/>
    </xf>
    <xf numFmtId="169" fontId="30" fillId="37" borderId="13" xfId="58" applyNumberFormat="1" applyBorder="1">
      <protection locked="0"/>
    </xf>
    <xf numFmtId="170" fontId="29" fillId="0" borderId="10" xfId="58" applyNumberFormat="1" applyFont="1" applyFill="1">
      <protection locked="0"/>
    </xf>
    <xf numFmtId="169" fontId="0" fillId="0" borderId="0" xfId="0" applyNumberFormat="1"/>
    <xf numFmtId="170" fontId="27" fillId="2" borderId="0" xfId="52" applyNumberFormat="1" applyAlignment="1">
      <alignment horizontal="left"/>
    </xf>
    <xf numFmtId="170" fontId="27" fillId="2" borderId="0" xfId="52" applyNumberFormat="1" applyAlignment="1">
      <alignment horizontal="right"/>
    </xf>
    <xf numFmtId="170" fontId="0" fillId="0" borderId="0" xfId="0" applyAlignment="1">
      <alignment horizontal="left" indent="2"/>
    </xf>
    <xf numFmtId="167" fontId="35" fillId="0" borderId="0" xfId="0" applyNumberFormat="1" applyFont="1"/>
    <xf numFmtId="172" fontId="30" fillId="37" borderId="10" xfId="58" applyNumberFormat="1">
      <protection locked="0"/>
    </xf>
    <xf numFmtId="172" fontId="30" fillId="37" borderId="13" xfId="58" applyNumberFormat="1" applyBorder="1">
      <protection locked="0"/>
    </xf>
    <xf numFmtId="170" fontId="0" fillId="0" borderId="0" xfId="0" applyBorder="1" applyAlignment="1">
      <alignment horizontal="left" indent="1"/>
    </xf>
    <xf numFmtId="170" fontId="8" fillId="3" borderId="0" xfId="49" applyNumberFormat="1" applyAlignment="1"/>
    <xf numFmtId="173" fontId="8" fillId="3" borderId="0" xfId="49" applyNumberFormat="1" applyAlignment="1"/>
    <xf numFmtId="166" fontId="8" fillId="3" borderId="0" xfId="49" applyNumberFormat="1" applyAlignment="1">
      <alignment horizontal="left"/>
    </xf>
    <xf numFmtId="166" fontId="8" fillId="3" borderId="0" xfId="49" applyNumberFormat="1" applyAlignment="1">
      <alignment horizontal="center"/>
    </xf>
    <xf numFmtId="170" fontId="8" fillId="3" borderId="0" xfId="49" applyNumberFormat="1" applyAlignment="1">
      <alignment horizontal="left"/>
    </xf>
    <xf numFmtId="170" fontId="8" fillId="3" borderId="0" xfId="49" applyNumberFormat="1" applyAlignment="1">
      <alignment horizontal="center"/>
    </xf>
    <xf numFmtId="166" fontId="30" fillId="0" borderId="0" xfId="56" applyNumberFormat="1" applyFill="1"/>
    <xf numFmtId="169" fontId="27" fillId="2" borderId="0" xfId="52" applyNumberFormat="1">
      <alignment horizontal="center"/>
    </xf>
    <xf numFmtId="170" fontId="35" fillId="4" borderId="0" xfId="0" applyFont="1" applyFill="1"/>
    <xf numFmtId="170" fontId="35" fillId="4" borderId="0" xfId="0" applyFont="1" applyFill="1" applyAlignment="1">
      <alignment horizontal="right"/>
    </xf>
    <xf numFmtId="170" fontId="39" fillId="2" borderId="0" xfId="52" applyNumberFormat="1" applyFont="1">
      <alignment horizontal="center"/>
    </xf>
    <xf numFmtId="169" fontId="27" fillId="2" borderId="0" xfId="59" applyFont="1" applyFill="1" applyAlignment="1">
      <alignment horizontal="center"/>
    </xf>
    <xf numFmtId="44" fontId="35" fillId="4" borderId="0" xfId="60" applyFont="1" applyFill="1"/>
    <xf numFmtId="170" fontId="0" fillId="0" borderId="0" xfId="0"/>
    <xf numFmtId="170" fontId="0" fillId="0" borderId="0" xfId="0"/>
    <xf numFmtId="43" fontId="0" fillId="0" borderId="0" xfId="61" applyNumberFormat="1" applyFont="1"/>
    <xf numFmtId="169" fontId="0" fillId="0" borderId="0" xfId="59" applyFont="1" applyFill="1"/>
    <xf numFmtId="44" fontId="27" fillId="38" borderId="0" xfId="60" applyFont="1" applyFill="1"/>
    <xf numFmtId="44" fontId="40" fillId="38" borderId="0" xfId="60" applyFont="1" applyFill="1"/>
    <xf numFmtId="173" fontId="0" fillId="0" borderId="0" xfId="61" applyFont="1" applyFill="1" applyAlignment="1"/>
    <xf numFmtId="170" fontId="0" fillId="0" borderId="0" xfId="0"/>
    <xf numFmtId="170" fontId="0" fillId="4" borderId="14" xfId="0" applyFill="1" applyBorder="1"/>
    <xf numFmtId="173" fontId="0" fillId="4" borderId="15" xfId="61" applyFont="1" applyFill="1" applyBorder="1"/>
    <xf numFmtId="170" fontId="0" fillId="4" borderId="16" xfId="0" applyFill="1" applyBorder="1"/>
    <xf numFmtId="170" fontId="0" fillId="4" borderId="0" xfId="0" applyFill="1" applyBorder="1"/>
    <xf numFmtId="173" fontId="0" fillId="4" borderId="17" xfId="61" applyFont="1" applyFill="1" applyBorder="1"/>
    <xf numFmtId="170" fontId="0" fillId="4" borderId="18" xfId="0" applyFill="1" applyBorder="1"/>
    <xf numFmtId="170" fontId="0" fillId="4" borderId="19" xfId="0" applyFill="1" applyBorder="1"/>
    <xf numFmtId="173" fontId="0" fillId="4" borderId="20" xfId="61" applyFont="1" applyFill="1" applyBorder="1"/>
    <xf numFmtId="170" fontId="0" fillId="0" borderId="0" xfId="0"/>
    <xf numFmtId="176" fontId="30" fillId="4" borderId="0" xfId="56" applyNumberFormat="1" applyFill="1"/>
    <xf numFmtId="170" fontId="0" fillId="0" borderId="0" xfId="0"/>
    <xf numFmtId="173" fontId="0" fillId="0" borderId="0" xfId="61" applyFont="1" applyBorder="1"/>
    <xf numFmtId="173" fontId="30" fillId="0" borderId="0" xfId="56" applyNumberFormat="1" applyFill="1" applyBorder="1"/>
    <xf numFmtId="173" fontId="29" fillId="0" borderId="0" xfId="61" applyFont="1" applyFill="1" applyBorder="1"/>
    <xf numFmtId="170" fontId="0" fillId="0" borderId="19" xfId="0" applyFill="1" applyBorder="1"/>
    <xf numFmtId="173" fontId="0" fillId="0" borderId="19" xfId="61" applyFont="1" applyBorder="1"/>
    <xf numFmtId="173" fontId="29" fillId="0" borderId="10" xfId="61" applyBorder="1" applyProtection="1">
      <protection locked="0"/>
    </xf>
    <xf numFmtId="167" fontId="31" fillId="2" borderId="0" xfId="48" applyNumberFormat="1" applyFill="1" applyAlignment="1">
      <alignment horizontal="center"/>
    </xf>
    <xf numFmtId="170" fontId="0" fillId="0" borderId="0" xfId="0"/>
    <xf numFmtId="167" fontId="2" fillId="5" borderId="0" xfId="50" applyNumberFormat="1" applyFont="1" applyBorder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Border="1" applyAlignment="1">
      <alignment horizontal="center" vertical="center" wrapText="1"/>
    </xf>
    <xf numFmtId="167" fontId="32" fillId="5" borderId="0" xfId="57" applyNumberFormat="1" applyFill="1" applyBorder="1" applyAlignment="1">
      <alignment horizontal="center" vertical="center" wrapText="1"/>
    </xf>
    <xf numFmtId="170" fontId="4" fillId="5" borderId="0" xfId="50" applyNumberFormat="1" applyFont="1" applyAlignment="1">
      <alignment horizontal="left" vertical="center"/>
    </xf>
    <xf numFmtId="170" fontId="0" fillId="5" borderId="0" xfId="50" applyNumberFormat="1" applyFont="1" applyAlignment="1">
      <alignment horizontal="left"/>
    </xf>
    <xf numFmtId="170" fontId="0" fillId="5" borderId="0" xfId="50" applyNumberFormat="1" applyFont="1" applyAlignment="1"/>
    <xf numFmtId="166" fontId="0" fillId="5" borderId="0" xfId="50" applyNumberFormat="1" applyFont="1" applyAlignment="1">
      <alignment horizontal="left"/>
    </xf>
  </cellXfs>
  <cellStyles count="63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0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2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3" xr:uid="{00000000-0005-0000-0000-000023000000}"/>
    <cellStyle name="Date Heading" xfId="51" xr:uid="{00000000-0005-0000-0000-000024000000}"/>
    <cellStyle name="Explanatory Text" xfId="22" builtinId="53" hidden="1"/>
    <cellStyle name="Good" xfId="12" builtinId="26" hidden="1"/>
    <cellStyle name="Hard Coded Number" xfId="56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7" builtinId="8"/>
    <cellStyle name="Input" xfId="15" builtinId="20" hidden="1"/>
    <cellStyle name="Input" xfId="58" builtinId="20" customBuiltin="1"/>
    <cellStyle name="Linked Cell" xfId="18" builtinId="24" hidden="1"/>
    <cellStyle name="Multiple" xfId="54" xr:uid="{00000000-0005-0000-0000-000032000000}"/>
    <cellStyle name="Neutral" xfId="14" builtinId="28" hidden="1"/>
    <cellStyle name="New Normal" xfId="61" xr:uid="{AFA9D219-D50A-456D-BA9B-27A9F3AAB29B}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5" builtinId="5" customBuiltin="1"/>
    <cellStyle name="Percent +/-" xfId="59" xr:uid="{88987EF0-FE3D-4008-9B07-7CB8EAE68C4D}"/>
    <cellStyle name="Percent 1" xfId="62" xr:uid="{C47D7D83-957F-41A3-A5A3-23E5B89B8D5F}"/>
    <cellStyle name="Primary Title" xfId="48" xr:uid="{00000000-0005-0000-0000-00003A000000}"/>
    <cellStyle name="Secondary Title" xfId="49" xr:uid="{00000000-0005-0000-0000-00003C000000}"/>
    <cellStyle name="Share Px" xfId="60" xr:uid="{B213DD3F-AD66-4A69-83C7-F90F28AD3FE2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70AD47"/>
      <color rgb="FF085393"/>
      <color rgb="FF163260"/>
      <color rgb="FFDBEEFD"/>
      <color rgb="FFBBDEFB"/>
      <color rgb="FFF0F8FE"/>
      <color rgb="FF0000FF"/>
      <color rgb="FFEBF1FB"/>
      <color rgb="FFD3E0F5"/>
      <color rgb="FFC9D9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17</xdr:col>
      <xdr:colOff>700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tabSelected="1" zoomScaleNormal="100" workbookViewId="0">
      <selection sqref="A1:N1"/>
    </sheetView>
  </sheetViews>
  <sheetFormatPr defaultColWidth="9.08984375" defaultRowHeight="14.5" x14ac:dyDescent="0.35"/>
  <cols>
    <col min="1" max="1" width="9.81640625" style="20" customWidth="1"/>
    <col min="2" max="13" width="9.26953125" style="20" customWidth="1"/>
    <col min="14" max="14" width="9.81640625" style="20" customWidth="1"/>
    <col min="15" max="26" width="9.08984375" style="20" customWidth="1"/>
    <col min="27" max="16384" width="9.08984375" style="20"/>
  </cols>
  <sheetData>
    <row r="1" spans="1:21" s="22" customFormat="1" ht="189.75" customHeight="1" x14ac:dyDescent="0.65">
      <c r="A1" s="156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4"/>
      <c r="P1" s="14"/>
      <c r="Q1" s="14"/>
      <c r="R1" s="14"/>
      <c r="S1" s="14"/>
      <c r="T1" s="14"/>
      <c r="U1" s="14"/>
    </row>
    <row r="2" spans="1:21" s="15" customFormat="1" ht="75" customHeight="1" x14ac:dyDescent="0.35">
      <c r="A2" s="159" t="s">
        <v>377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4"/>
      <c r="P2" s="14"/>
      <c r="Q2" s="14"/>
      <c r="R2" s="14"/>
      <c r="S2" s="14"/>
      <c r="T2" s="14"/>
      <c r="U2" s="14"/>
    </row>
    <row r="3" spans="1:21" s="16" customFormat="1" ht="7.5" customHeight="1" x14ac:dyDescent="0.35">
      <c r="B3" s="17"/>
      <c r="C3" s="17"/>
      <c r="F3" s="18"/>
      <c r="G3" s="18"/>
      <c r="H3" s="18"/>
      <c r="I3" s="18"/>
      <c r="J3" s="18"/>
      <c r="K3" s="18"/>
      <c r="O3" s="14"/>
      <c r="P3" s="14"/>
      <c r="Q3" s="14"/>
      <c r="R3" s="14"/>
      <c r="S3" s="14"/>
      <c r="T3" s="14"/>
      <c r="U3" s="14"/>
    </row>
    <row r="4" spans="1:21" s="16" customFormat="1" ht="15" customHeight="1" x14ac:dyDescent="0.35">
      <c r="A4" s="24"/>
      <c r="B4" s="25"/>
      <c r="C4" s="158"/>
      <c r="D4" s="158"/>
      <c r="E4" s="26"/>
      <c r="F4" s="27"/>
      <c r="G4" s="27"/>
      <c r="H4" s="27"/>
      <c r="I4" s="27"/>
      <c r="J4" s="27"/>
      <c r="K4" s="27"/>
      <c r="L4" s="26"/>
      <c r="M4" s="26"/>
      <c r="N4" s="26"/>
      <c r="O4" s="14"/>
      <c r="P4" s="14"/>
      <c r="Q4" s="14"/>
      <c r="R4" s="14"/>
      <c r="S4" s="14"/>
      <c r="T4" s="14"/>
      <c r="U4" s="14"/>
    </row>
    <row r="5" spans="1:21" s="16" customFormat="1" ht="15" customHeight="1" x14ac:dyDescent="0.35">
      <c r="A5" s="160" t="s">
        <v>10</v>
      </c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4"/>
      <c r="P5" s="14"/>
      <c r="Q5" s="14"/>
      <c r="R5" s="14"/>
      <c r="S5" s="14"/>
      <c r="T5" s="14"/>
      <c r="U5" s="14"/>
    </row>
    <row r="6" spans="1:21" s="16" customFormat="1" ht="15" customHeight="1" x14ac:dyDescent="0.35">
      <c r="A6" s="160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4"/>
      <c r="P6" s="14"/>
      <c r="Q6" s="14"/>
      <c r="R6" s="14"/>
      <c r="S6" s="14"/>
      <c r="T6" s="14"/>
      <c r="U6" s="14"/>
    </row>
    <row r="7" spans="1:21" s="16" customFormat="1" ht="15" customHeight="1" x14ac:dyDescent="0.35">
      <c r="A7" s="160" t="str">
        <f ca="1">"© "&amp;YEAR(TODAY())&amp;" Financial Edge Training"</f>
        <v>© 2019 Financial Edge Training</v>
      </c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4"/>
      <c r="P7" s="14"/>
      <c r="Q7" s="14"/>
      <c r="R7" s="14"/>
      <c r="S7" s="14"/>
      <c r="T7" s="14"/>
      <c r="U7" s="14"/>
    </row>
    <row r="8" spans="1:21" s="16" customFormat="1" ht="15" customHeight="1" x14ac:dyDescent="0.35">
      <c r="A8" s="161" t="s">
        <v>17</v>
      </c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47"/>
      <c r="P8" s="47"/>
      <c r="Q8" s="47"/>
      <c r="R8" s="47"/>
      <c r="S8" s="47"/>
      <c r="T8" s="47"/>
      <c r="U8" s="47"/>
    </row>
    <row r="9" spans="1:21" s="16" customFormat="1" ht="15" customHeight="1" thickBot="1" x14ac:dyDescent="0.4">
      <c r="A9" s="41"/>
      <c r="B9" s="42"/>
      <c r="C9" s="41"/>
      <c r="D9" s="41"/>
      <c r="E9" s="43"/>
      <c r="F9" s="44"/>
      <c r="G9" s="44"/>
      <c r="H9" s="44"/>
      <c r="I9" s="44"/>
      <c r="J9" s="44"/>
      <c r="K9" s="44"/>
      <c r="L9" s="43"/>
      <c r="M9" s="43"/>
      <c r="N9" s="43"/>
      <c r="O9" s="14"/>
      <c r="P9" s="14"/>
      <c r="Q9" s="14"/>
      <c r="R9" s="14"/>
      <c r="S9" s="14"/>
      <c r="T9" s="14"/>
      <c r="U9" s="14"/>
    </row>
    <row r="10" spans="1:21" s="16" customFormat="1" ht="15" customHeight="1" x14ac:dyDescent="0.35">
      <c r="A10" s="14"/>
      <c r="B10" s="14"/>
      <c r="C10" s="14"/>
      <c r="D10" s="14"/>
      <c r="E10" s="14"/>
      <c r="F10" s="14"/>
      <c r="G10" s="157"/>
      <c r="H10" s="157"/>
      <c r="I10" s="157"/>
      <c r="J10" s="157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</row>
    <row r="11" spans="1:21" s="16" customFormat="1" ht="15" customHeight="1" x14ac:dyDescent="0.35">
      <c r="A11" s="14"/>
      <c r="B11" s="14"/>
      <c r="C11" s="14"/>
      <c r="D11" s="14"/>
      <c r="E11" s="14"/>
      <c r="F11" s="14"/>
      <c r="G11" s="157"/>
      <c r="H11" s="157"/>
      <c r="I11" s="157"/>
      <c r="J11" s="157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spans="1:21" s="16" customFormat="1" ht="15" customHeight="1" x14ac:dyDescent="0.3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</row>
    <row r="13" spans="1:21" s="16" customFormat="1" ht="15" customHeight="1" x14ac:dyDescent="0.35">
      <c r="A13" s="14"/>
      <c r="B13" s="14"/>
      <c r="C13" s="14"/>
      <c r="D13" s="14"/>
      <c r="E13" s="14"/>
      <c r="F13" s="14"/>
      <c r="G13" s="157"/>
      <c r="H13" s="157"/>
      <c r="I13" s="157"/>
      <c r="J13" s="157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</row>
    <row r="14" spans="1:21" s="16" customFormat="1" ht="15" customHeight="1" x14ac:dyDescent="0.35">
      <c r="A14" s="14"/>
      <c r="B14" s="14"/>
      <c r="C14" s="14"/>
      <c r="D14" s="14"/>
      <c r="E14" s="14"/>
      <c r="F14" s="14"/>
      <c r="G14" s="157"/>
      <c r="H14" s="157"/>
      <c r="I14" s="157"/>
      <c r="J14" s="157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s="16" customFormat="1" ht="15" customHeight="1" x14ac:dyDescent="0.35">
      <c r="A15" s="14"/>
      <c r="B15" s="14"/>
      <c r="C15" s="14"/>
      <c r="D15" s="14"/>
      <c r="E15" s="14"/>
      <c r="F15" s="14"/>
      <c r="G15" s="157"/>
      <c r="H15" s="157"/>
      <c r="I15" s="157"/>
      <c r="J15" s="157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spans="1:21" s="16" customFormat="1" ht="15" customHeight="1" x14ac:dyDescent="0.35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  <row r="17" spans="1:21" s="16" customFormat="1" ht="15" customHeight="1" x14ac:dyDescent="0.35">
      <c r="A17" s="14"/>
      <c r="B17" s="14"/>
      <c r="C17" s="14"/>
      <c r="D17" s="14"/>
      <c r="E17" s="14"/>
      <c r="F17" s="14"/>
      <c r="G17" s="157"/>
      <c r="H17" s="157"/>
      <c r="I17" s="157"/>
      <c r="J17" s="157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spans="1:21" s="16" customFormat="1" ht="15" customHeight="1" x14ac:dyDescent="0.3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1:21" ht="15" customHeight="1" x14ac:dyDescent="0.3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spans="1:21" x14ac:dyDescent="0.3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spans="1:21" x14ac:dyDescent="0.3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1:21" x14ac:dyDescent="0.3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</row>
    <row r="23" spans="1:21" x14ac:dyDescent="0.3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9.08984375" customWidth="1"/>
  </cols>
  <sheetData>
    <row r="1" spans="1:24" s="14" customFormat="1" ht="45" customHeight="1" x14ac:dyDescent="0.65">
      <c r="A1" s="11" t="str">
        <f>Welcome!A2</f>
        <v>REIT Operating and Valuation Model</v>
      </c>
      <c r="B1" s="11"/>
      <c r="C1" s="11"/>
      <c r="D1" s="11"/>
      <c r="E1" s="11"/>
      <c r="F1" s="11"/>
      <c r="G1" s="11"/>
      <c r="H1" s="11"/>
      <c r="I1" s="11"/>
      <c r="J1" s="6"/>
      <c r="K1" s="6"/>
      <c r="L1" s="6"/>
      <c r="M1" s="6"/>
      <c r="N1" s="6"/>
      <c r="O1" s="6"/>
      <c r="P1" s="6"/>
      <c r="Q1" s="6"/>
      <c r="R1" s="6"/>
    </row>
    <row r="2" spans="1:24" s="14" customFormat="1" ht="30" customHeight="1" x14ac:dyDescent="0.5">
      <c r="A2" s="12" t="s">
        <v>15</v>
      </c>
      <c r="B2" s="12"/>
      <c r="C2" s="12"/>
      <c r="D2" s="12"/>
      <c r="E2" s="12"/>
      <c r="F2" s="12"/>
      <c r="G2" s="12"/>
      <c r="H2" s="12"/>
      <c r="I2" s="12"/>
      <c r="J2" s="7"/>
      <c r="K2" s="7"/>
      <c r="L2" s="7"/>
      <c r="M2" s="7"/>
      <c r="N2" s="7"/>
      <c r="O2" s="7"/>
      <c r="P2" s="7"/>
      <c r="Q2" s="7"/>
      <c r="R2" s="7"/>
    </row>
    <row r="3" spans="1:24" s="4" customFormat="1" ht="7.5" customHeight="1" x14ac:dyDescent="0.35">
      <c r="S3" s="14"/>
      <c r="T3" s="14"/>
      <c r="U3" s="14"/>
      <c r="V3" s="14"/>
      <c r="W3" s="14"/>
      <c r="X3" s="14"/>
    </row>
    <row r="4" spans="1:24" s="4" customFormat="1" ht="22.5" customHeight="1" x14ac:dyDescent="0.35">
      <c r="A4" s="2"/>
      <c r="B4" s="162" t="s">
        <v>0</v>
      </c>
      <c r="C4" s="162"/>
      <c r="D4" s="162"/>
      <c r="E4" s="162"/>
      <c r="F4" s="162"/>
      <c r="G4" s="162"/>
      <c r="H4" s="162"/>
      <c r="I4" s="162"/>
      <c r="K4" s="2"/>
      <c r="L4" s="162" t="s">
        <v>2</v>
      </c>
      <c r="M4" s="162"/>
      <c r="N4" s="162"/>
      <c r="O4" s="162"/>
      <c r="P4" s="162"/>
      <c r="Q4" s="31"/>
      <c r="R4" s="31"/>
      <c r="S4" s="14"/>
      <c r="T4" s="14"/>
      <c r="U4" s="14"/>
      <c r="V4" s="14"/>
      <c r="W4" s="14"/>
      <c r="X4" s="14"/>
    </row>
    <row r="5" spans="1:24" s="4" customFormat="1" ht="15" customHeight="1" x14ac:dyDescent="0.35">
      <c r="A5" s="3"/>
      <c r="B5" s="40" t="s">
        <v>1</v>
      </c>
      <c r="C5" s="39" t="s">
        <v>356</v>
      </c>
      <c r="D5" s="37"/>
      <c r="E5" s="37"/>
      <c r="F5" s="37"/>
      <c r="G5" s="37"/>
      <c r="H5" s="37"/>
      <c r="I5" s="37"/>
      <c r="K5" s="2"/>
      <c r="L5" s="46" t="s">
        <v>3</v>
      </c>
      <c r="M5" s="46"/>
      <c r="N5" s="164" t="s">
        <v>217</v>
      </c>
      <c r="O5" s="164"/>
      <c r="P5" s="164"/>
      <c r="Q5" s="164"/>
      <c r="R5" s="31"/>
      <c r="S5" s="14"/>
      <c r="T5" s="14"/>
      <c r="U5" s="14"/>
      <c r="V5" s="14"/>
      <c r="W5" s="14"/>
      <c r="X5" s="14"/>
    </row>
    <row r="6" spans="1:24" s="4" customFormat="1" ht="15" customHeight="1" x14ac:dyDescent="0.35">
      <c r="A6" s="45"/>
      <c r="B6" s="40" t="s">
        <v>1</v>
      </c>
      <c r="C6" s="39" t="s">
        <v>348</v>
      </c>
      <c r="D6" s="37"/>
      <c r="E6" s="37"/>
      <c r="F6" s="37"/>
      <c r="G6" s="37"/>
      <c r="H6" s="37"/>
      <c r="I6" s="37"/>
      <c r="K6" s="3"/>
      <c r="L6" s="46" t="s">
        <v>4</v>
      </c>
      <c r="M6" s="46"/>
      <c r="N6" s="165">
        <v>43543</v>
      </c>
      <c r="O6" s="165"/>
      <c r="P6" s="165"/>
      <c r="Q6" s="165"/>
      <c r="R6" s="31"/>
      <c r="S6" s="14"/>
      <c r="T6" s="14"/>
      <c r="U6" s="14"/>
      <c r="V6" s="14"/>
      <c r="W6" s="14"/>
      <c r="X6" s="14"/>
    </row>
    <row r="7" spans="1:24" s="4" customFormat="1" ht="15" customHeight="1" x14ac:dyDescent="0.35">
      <c r="A7" s="37"/>
      <c r="B7" s="40"/>
      <c r="C7" s="39"/>
      <c r="D7" s="37"/>
      <c r="E7" s="37"/>
      <c r="F7" s="37"/>
      <c r="G7" s="37"/>
      <c r="H7" s="37"/>
      <c r="I7" s="37"/>
      <c r="K7" s="45"/>
      <c r="L7" s="46" t="s">
        <v>5</v>
      </c>
      <c r="M7" s="46"/>
      <c r="N7" s="164" t="s">
        <v>9</v>
      </c>
      <c r="O7" s="164"/>
      <c r="P7" s="164"/>
      <c r="Q7" s="164"/>
      <c r="R7" s="31"/>
      <c r="S7" s="14"/>
      <c r="T7" s="14"/>
      <c r="U7" s="14"/>
      <c r="V7" s="14"/>
      <c r="W7" s="14"/>
      <c r="X7" s="14"/>
    </row>
    <row r="8" spans="1:24" s="4" customFormat="1" ht="15" customHeight="1" x14ac:dyDescent="0.35">
      <c r="A8" s="37"/>
      <c r="B8" s="40"/>
      <c r="C8" s="37"/>
      <c r="D8" s="37"/>
      <c r="E8" s="37"/>
      <c r="F8" s="37"/>
      <c r="G8" s="37"/>
      <c r="H8" s="37"/>
      <c r="I8" s="37"/>
      <c r="K8" s="37"/>
      <c r="L8" s="46" t="s">
        <v>6</v>
      </c>
      <c r="M8" s="46"/>
      <c r="N8" s="164" t="s">
        <v>258</v>
      </c>
      <c r="O8" s="164"/>
      <c r="P8" s="164"/>
      <c r="Q8" s="164"/>
      <c r="R8" s="31"/>
      <c r="S8" s="14"/>
      <c r="T8" s="14"/>
      <c r="U8" s="14"/>
      <c r="V8" s="14"/>
      <c r="W8" s="14"/>
      <c r="X8" s="14"/>
    </row>
    <row r="9" spans="1:24" s="4" customFormat="1" ht="15" customHeight="1" x14ac:dyDescent="0.35">
      <c r="A9" s="28"/>
      <c r="B9" s="29"/>
      <c r="C9" s="28"/>
      <c r="D9" s="28"/>
      <c r="E9" s="28"/>
      <c r="F9" s="28"/>
      <c r="G9" s="28"/>
      <c r="H9" s="28"/>
      <c r="I9" s="28"/>
      <c r="K9" s="37"/>
      <c r="L9" s="46" t="s">
        <v>7</v>
      </c>
      <c r="M9" s="46"/>
      <c r="N9" s="164"/>
      <c r="O9" s="164"/>
      <c r="P9" s="164"/>
      <c r="Q9" s="164"/>
      <c r="R9" s="31"/>
      <c r="S9" s="14"/>
      <c r="T9" s="14"/>
      <c r="U9" s="14"/>
      <c r="V9" s="14"/>
      <c r="W9" s="14"/>
      <c r="X9" s="14"/>
    </row>
    <row r="10" spans="1:24" s="4" customFormat="1" ht="15" customHeight="1" x14ac:dyDescent="0.35">
      <c r="A10" s="30"/>
      <c r="B10" s="30"/>
      <c r="C10" s="30"/>
      <c r="D10" s="30"/>
      <c r="E10" s="30"/>
      <c r="F10" s="30"/>
      <c r="G10" s="30"/>
      <c r="H10" s="30"/>
      <c r="I10" s="30"/>
      <c r="K10" s="37"/>
      <c r="L10" s="46" t="s">
        <v>8</v>
      </c>
      <c r="M10" s="46"/>
      <c r="N10" s="163">
        <v>0</v>
      </c>
      <c r="O10" s="163"/>
      <c r="P10" s="163"/>
      <c r="Q10" s="163"/>
      <c r="R10" s="32"/>
      <c r="S10" s="14"/>
      <c r="T10" s="14"/>
      <c r="U10" s="14"/>
      <c r="V10" s="14"/>
      <c r="W10" s="14"/>
      <c r="X10" s="14"/>
    </row>
    <row r="11" spans="1:24" s="4" customFormat="1" ht="15" customHeight="1" thickBot="1" x14ac:dyDescent="0.4">
      <c r="A11" s="41"/>
      <c r="B11" s="41"/>
      <c r="C11" s="41"/>
      <c r="D11" s="41"/>
      <c r="E11" s="41"/>
      <c r="F11" s="41"/>
      <c r="G11" s="41"/>
      <c r="H11" s="41"/>
      <c r="I11" s="41"/>
      <c r="K11" s="41"/>
      <c r="L11" s="41"/>
      <c r="M11" s="41"/>
      <c r="N11" s="41"/>
      <c r="O11" s="41"/>
      <c r="P11" s="41"/>
      <c r="Q11" s="41"/>
      <c r="R11" s="41"/>
      <c r="S11" s="14"/>
      <c r="T11" s="14"/>
      <c r="U11" s="14"/>
      <c r="V11" s="14"/>
      <c r="W11" s="14"/>
      <c r="X11" s="14"/>
    </row>
    <row r="12" spans="1:24" s="4" customFormat="1" ht="7.5" customHeight="1" x14ac:dyDescent="0.35">
      <c r="K12" s="18"/>
      <c r="L12" s="18"/>
      <c r="M12" s="18"/>
      <c r="N12" s="18"/>
      <c r="O12" s="18"/>
      <c r="P12" s="18"/>
      <c r="Q12" s="18"/>
      <c r="R12" s="18"/>
      <c r="S12" s="14"/>
      <c r="T12" s="14"/>
      <c r="U12" s="14"/>
      <c r="V12" s="14"/>
      <c r="W12" s="14"/>
      <c r="X12" s="14"/>
    </row>
    <row r="13" spans="1:24" s="4" customFormat="1" ht="22.5" customHeight="1" x14ac:dyDescent="0.35">
      <c r="A13" s="36"/>
      <c r="B13" s="162" t="s">
        <v>16</v>
      </c>
      <c r="C13" s="162"/>
      <c r="D13" s="162"/>
      <c r="E13" s="162"/>
      <c r="F13" s="162"/>
      <c r="G13" s="162"/>
      <c r="H13" s="162"/>
      <c r="I13" s="162"/>
      <c r="J13" s="162"/>
      <c r="K13" s="162"/>
      <c r="L13" s="162"/>
      <c r="N13" s="2"/>
      <c r="O13" s="162" t="s">
        <v>11</v>
      </c>
      <c r="P13" s="162"/>
      <c r="Q13" s="162"/>
      <c r="R13" s="38"/>
      <c r="S13" s="14"/>
      <c r="T13" s="14"/>
      <c r="U13" s="14"/>
      <c r="V13" s="14"/>
      <c r="W13" s="14"/>
      <c r="X13" s="14"/>
    </row>
    <row r="14" spans="1:24" s="4" customFormat="1" ht="15" customHeight="1" x14ac:dyDescent="0.35">
      <c r="A14" s="37"/>
      <c r="B14" s="163" t="s">
        <v>349</v>
      </c>
      <c r="C14" s="163"/>
      <c r="D14" s="163" t="s">
        <v>352</v>
      </c>
      <c r="E14" s="163"/>
      <c r="F14" s="163"/>
      <c r="G14" s="163"/>
      <c r="H14" s="163"/>
      <c r="I14" s="163"/>
      <c r="J14" s="163"/>
      <c r="K14" s="163"/>
      <c r="L14" s="163"/>
      <c r="N14" s="3"/>
      <c r="O14" s="19"/>
      <c r="P14" s="15"/>
      <c r="Q14" s="15"/>
      <c r="R14" s="37"/>
      <c r="S14" s="14"/>
      <c r="T14" s="14"/>
      <c r="U14" s="14"/>
      <c r="V14" s="14"/>
      <c r="W14" s="14"/>
      <c r="X14" s="14"/>
    </row>
    <row r="15" spans="1:24" s="4" customFormat="1" ht="15" customHeight="1" x14ac:dyDescent="0.35">
      <c r="A15" s="37"/>
      <c r="B15" s="163" t="s">
        <v>350</v>
      </c>
      <c r="C15" s="163"/>
      <c r="D15" s="163" t="s">
        <v>353</v>
      </c>
      <c r="E15" s="163"/>
      <c r="F15" s="163"/>
      <c r="G15" s="163"/>
      <c r="H15" s="163"/>
      <c r="I15" s="163"/>
      <c r="J15" s="163"/>
      <c r="K15" s="163"/>
      <c r="L15" s="163"/>
      <c r="N15" s="45"/>
      <c r="O15" s="19"/>
      <c r="P15" s="33" t="s">
        <v>12</v>
      </c>
      <c r="Q15" s="15"/>
      <c r="R15" s="37"/>
      <c r="S15" s="14"/>
      <c r="T15" s="14"/>
      <c r="U15" s="14"/>
      <c r="V15" s="14"/>
      <c r="W15" s="14"/>
      <c r="X15" s="14"/>
    </row>
    <row r="16" spans="1:24" s="4" customFormat="1" ht="15" customHeight="1" x14ac:dyDescent="0.35">
      <c r="A16" s="37"/>
      <c r="B16" s="163" t="s">
        <v>351</v>
      </c>
      <c r="C16" s="163"/>
      <c r="D16" s="163" t="s">
        <v>354</v>
      </c>
      <c r="E16" s="163"/>
      <c r="F16" s="163"/>
      <c r="G16" s="163"/>
      <c r="H16" s="163"/>
      <c r="I16" s="163"/>
      <c r="J16" s="163"/>
      <c r="K16" s="163"/>
      <c r="L16" s="163"/>
      <c r="N16" s="37"/>
      <c r="O16" s="19"/>
      <c r="P16" s="23" t="s">
        <v>13</v>
      </c>
      <c r="Q16" s="15"/>
      <c r="R16" s="37"/>
      <c r="S16" s="14"/>
      <c r="T16" s="14"/>
      <c r="U16" s="14"/>
      <c r="V16" s="14"/>
      <c r="W16" s="14"/>
      <c r="X16" s="14"/>
    </row>
    <row r="17" spans="1:24" s="4" customFormat="1" ht="15" customHeight="1" x14ac:dyDescent="0.35">
      <c r="A17" s="37"/>
      <c r="B17" s="163" t="s">
        <v>242</v>
      </c>
      <c r="C17" s="163"/>
      <c r="D17" s="163" t="s">
        <v>355</v>
      </c>
      <c r="E17" s="163"/>
      <c r="F17" s="163"/>
      <c r="G17" s="163"/>
      <c r="H17" s="163"/>
      <c r="I17" s="163"/>
      <c r="J17" s="163"/>
      <c r="K17" s="163"/>
      <c r="L17" s="163"/>
      <c r="N17" s="37"/>
      <c r="O17" s="19"/>
      <c r="P17" t="s">
        <v>14</v>
      </c>
      <c r="Q17" s="15"/>
      <c r="R17" s="37"/>
      <c r="S17" s="14"/>
      <c r="T17" s="14"/>
      <c r="U17" s="14"/>
      <c r="V17" s="14"/>
      <c r="W17" s="14"/>
      <c r="X17" s="14"/>
    </row>
    <row r="18" spans="1:24" s="4" customFormat="1" ht="15" customHeight="1" x14ac:dyDescent="0.35">
      <c r="A18" s="30"/>
      <c r="B18" s="163"/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N18" s="30"/>
      <c r="O18" s="34"/>
      <c r="P18" s="34"/>
      <c r="Q18" s="34"/>
      <c r="R18" s="30"/>
      <c r="S18" s="14"/>
      <c r="T18" s="14"/>
      <c r="U18" s="14"/>
      <c r="V18" s="14"/>
      <c r="W18" s="14"/>
      <c r="X18" s="14"/>
    </row>
    <row r="19" spans="1:24" ht="15" thickBot="1" x14ac:dyDescent="0.4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N19" s="41"/>
      <c r="O19" s="41"/>
      <c r="P19" s="41"/>
      <c r="Q19" s="41"/>
      <c r="R19" s="41"/>
      <c r="S19" s="14"/>
      <c r="T19" s="14"/>
      <c r="U19" s="14"/>
      <c r="V19" s="14"/>
      <c r="W19" s="14"/>
      <c r="X19" s="14"/>
    </row>
    <row r="20" spans="1:24" x14ac:dyDescent="0.35">
      <c r="Q20" s="35"/>
      <c r="R20" s="21"/>
      <c r="S20" s="14"/>
      <c r="T20" s="14"/>
      <c r="U20" s="14"/>
      <c r="V20" s="14"/>
      <c r="W20" s="14"/>
      <c r="X20" s="14"/>
    </row>
    <row r="21" spans="1:24" x14ac:dyDescent="0.35"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14"/>
      <c r="T21" s="14"/>
      <c r="U21" s="14"/>
      <c r="V21" s="14"/>
      <c r="W21" s="14"/>
      <c r="X21" s="14"/>
    </row>
    <row r="22" spans="1:24" x14ac:dyDescent="0.35"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14"/>
      <c r="T22" s="14"/>
      <c r="U22" s="14"/>
      <c r="V22" s="14"/>
      <c r="W22" s="14"/>
      <c r="X22" s="14"/>
    </row>
    <row r="23" spans="1:24" x14ac:dyDescent="0.35">
      <c r="F23" s="21"/>
      <c r="G23" s="21"/>
      <c r="H23" s="21"/>
      <c r="I23" s="21"/>
      <c r="J23" s="21"/>
      <c r="K23" s="21"/>
      <c r="L23" s="21"/>
      <c r="M23" s="21"/>
      <c r="N23" s="20"/>
      <c r="O23" s="20"/>
      <c r="P23" s="20"/>
      <c r="Q23" s="20"/>
      <c r="S23" s="14"/>
      <c r="T23" s="14"/>
      <c r="U23" s="14"/>
      <c r="V23" s="14"/>
      <c r="W23" s="14"/>
      <c r="X23" s="14"/>
    </row>
    <row r="24" spans="1:24" x14ac:dyDescent="0.35"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S24" s="14"/>
      <c r="T24" s="14"/>
      <c r="U24" s="14"/>
      <c r="V24" s="14"/>
      <c r="W24" s="14"/>
      <c r="X24" s="14"/>
    </row>
    <row r="25" spans="1:24" x14ac:dyDescent="0.35"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S25" s="14"/>
      <c r="T25" s="14"/>
      <c r="U25" s="14"/>
      <c r="V25" s="14"/>
      <c r="W25" s="14"/>
      <c r="X25" s="14"/>
    </row>
    <row r="26" spans="1:24" x14ac:dyDescent="0.35"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S26" s="14"/>
      <c r="T26" s="14"/>
      <c r="U26" s="14"/>
      <c r="V26" s="14"/>
      <c r="W26" s="14"/>
      <c r="X26" s="1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74"/>
  <sheetViews>
    <sheetView zoomScaleNormal="100" workbookViewId="0"/>
  </sheetViews>
  <sheetFormatPr defaultColWidth="9.08984375" defaultRowHeight="15" customHeight="1" x14ac:dyDescent="0.35"/>
  <cols>
    <col min="1" max="1" width="1.6328125" style="13" customWidth="1"/>
    <col min="2" max="2" width="40.6328125" customWidth="1"/>
    <col min="3" max="3" width="11.6328125" style="48" customWidth="1"/>
    <col min="4" max="11" width="11.6328125" customWidth="1"/>
    <col min="12" max="13" width="9.08984375" customWidth="1"/>
  </cols>
  <sheetData>
    <row r="1" spans="1:11" s="14" customFormat="1" ht="45" customHeight="1" x14ac:dyDescent="0.65">
      <c r="A1" s="5" t="str">
        <f>Welcome!A2</f>
        <v>REIT Operating and Valuation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s="14" customFormat="1" ht="30" customHeight="1" x14ac:dyDescent="0.5">
      <c r="A2" s="12"/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s="49" customFormat="1" ht="15" customHeight="1" x14ac:dyDescent="0.35">
      <c r="A4" s="64" t="s">
        <v>142</v>
      </c>
    </row>
    <row r="5" spans="1:11" s="49" customFormat="1" ht="15" customHeight="1" x14ac:dyDescent="0.35">
      <c r="A5" s="13"/>
      <c r="B5" s="49" t="s">
        <v>154</v>
      </c>
      <c r="G5" s="78">
        <f t="shared" ref="G5:K5" si="0">G73</f>
        <v>1391271.0175000001</v>
      </c>
      <c r="H5" s="78">
        <f t="shared" si="0"/>
        <v>1439086.4025374998</v>
      </c>
      <c r="I5" s="78">
        <f t="shared" si="0"/>
        <v>1488611.8291033125</v>
      </c>
      <c r="J5" s="78">
        <f t="shared" si="0"/>
        <v>1539910.0421145083</v>
      </c>
      <c r="K5" s="78">
        <f t="shared" si="0"/>
        <v>1593046.1269656294</v>
      </c>
    </row>
    <row r="6" spans="1:11" s="49" customFormat="1" ht="15" customHeight="1" x14ac:dyDescent="0.35">
      <c r="A6" s="13"/>
      <c r="B6" s="49" t="s">
        <v>38</v>
      </c>
      <c r="G6" s="78">
        <f t="shared" ref="G6:K6" si="1">G93</f>
        <v>35552.700000000004</v>
      </c>
      <c r="H6" s="78">
        <f t="shared" si="1"/>
        <v>31997.430000000004</v>
      </c>
      <c r="I6" s="78">
        <f t="shared" si="1"/>
        <v>28797.687000000005</v>
      </c>
      <c r="J6" s="78">
        <f t="shared" si="1"/>
        <v>25917.918300000005</v>
      </c>
      <c r="K6" s="78">
        <f t="shared" si="1"/>
        <v>23326.126470000007</v>
      </c>
    </row>
    <row r="7" spans="1:11" s="49" customFormat="1" ht="15" customHeight="1" x14ac:dyDescent="0.35">
      <c r="A7" s="13"/>
      <c r="B7" s="49" t="s">
        <v>153</v>
      </c>
      <c r="G7" s="78">
        <f>SUM(E104:G104)</f>
        <v>41829.583333333328</v>
      </c>
      <c r="H7" s="78">
        <f t="shared" ref="H7:K7" si="2">SUM(F104:H104)</f>
        <v>43507.472222222219</v>
      </c>
      <c r="I7" s="78">
        <f t="shared" si="2"/>
        <v>37847.361111111109</v>
      </c>
      <c r="J7" s="78">
        <f t="shared" si="2"/>
        <v>41666.666666666664</v>
      </c>
      <c r="K7" s="78">
        <f t="shared" si="2"/>
        <v>41666.666666666664</v>
      </c>
    </row>
    <row r="8" spans="1:11" s="49" customFormat="1" ht="15" customHeight="1" x14ac:dyDescent="0.35">
      <c r="A8" s="13"/>
      <c r="B8" s="49" t="s">
        <v>152</v>
      </c>
      <c r="G8" s="78">
        <f>G125</f>
        <v>22577.16</v>
      </c>
      <c r="H8" s="78">
        <f>H125</f>
        <v>18081</v>
      </c>
      <c r="I8" s="78">
        <f>I125</f>
        <v>18000</v>
      </c>
      <c r="J8" s="78">
        <f>J125</f>
        <v>18000</v>
      </c>
      <c r="K8" s="78">
        <f>K125</f>
        <v>18000</v>
      </c>
    </row>
    <row r="9" spans="1:11" s="49" customFormat="1" ht="15" customHeight="1" x14ac:dyDescent="0.35">
      <c r="A9" s="13"/>
      <c r="B9" s="49" t="s">
        <v>141</v>
      </c>
      <c r="G9" s="78">
        <f>G150</f>
        <v>13095.3</v>
      </c>
      <c r="H9" s="78">
        <f>H150</f>
        <v>16500</v>
      </c>
      <c r="I9" s="78">
        <f>I150</f>
        <v>22500</v>
      </c>
      <c r="J9" s="78">
        <f>J150</f>
        <v>22500</v>
      </c>
      <c r="K9" s="78">
        <f>K150</f>
        <v>22500</v>
      </c>
    </row>
    <row r="10" spans="1:11" s="49" customFormat="1" ht="15" customHeight="1" x14ac:dyDescent="0.35">
      <c r="A10" s="13"/>
      <c r="B10" s="49" t="s">
        <v>144</v>
      </c>
      <c r="G10" s="78">
        <f>-SUM($G162:G162)</f>
        <v>-34140.870967741939</v>
      </c>
      <c r="H10" s="78">
        <f>-SUM($G162:H162)</f>
        <v>-46237.645161290326</v>
      </c>
      <c r="I10" s="78">
        <f>-SUM($G162:I162)</f>
        <v>-58334.419354838712</v>
      </c>
      <c r="J10" s="78">
        <f>-SUM($G162:J162)</f>
        <v>-70431.193548387091</v>
      </c>
      <c r="K10" s="78">
        <f>-SUM($G162:K162)</f>
        <v>-82527.967741935485</v>
      </c>
    </row>
    <row r="11" spans="1:11" s="49" customFormat="1" ht="15" customHeight="1" x14ac:dyDescent="0.35">
      <c r="A11" s="13"/>
      <c r="B11" s="81" t="s">
        <v>151</v>
      </c>
      <c r="C11" s="50"/>
      <c r="D11" s="50"/>
      <c r="E11" s="50"/>
      <c r="F11" s="50"/>
      <c r="G11" s="79">
        <f>SUM(G5:G10)</f>
        <v>1470184.8898655912</v>
      </c>
      <c r="H11" s="79">
        <f t="shared" ref="H11:K11" si="3">SUM(H5:H10)</f>
        <v>1502934.6595984315</v>
      </c>
      <c r="I11" s="79">
        <f t="shared" si="3"/>
        <v>1537422.4578595846</v>
      </c>
      <c r="J11" s="79">
        <f t="shared" si="3"/>
        <v>1577563.433532788</v>
      </c>
      <c r="K11" s="79">
        <f t="shared" si="3"/>
        <v>1616010.9523603607</v>
      </c>
    </row>
    <row r="12" spans="1:11" s="49" customFormat="1" ht="15" customHeight="1" x14ac:dyDescent="0.35">
      <c r="A12" s="13"/>
      <c r="G12" s="78"/>
      <c r="H12" s="78"/>
      <c r="I12" s="78"/>
      <c r="J12" s="78"/>
      <c r="K12" s="78"/>
    </row>
    <row r="13" spans="1:11" s="49" customFormat="1" ht="15" customHeight="1" x14ac:dyDescent="0.35">
      <c r="A13" s="64" t="s">
        <v>143</v>
      </c>
      <c r="G13" s="78"/>
      <c r="H13" s="78"/>
      <c r="I13" s="78"/>
      <c r="J13" s="78"/>
      <c r="K13" s="78"/>
    </row>
    <row r="14" spans="1:11" s="49" customFormat="1" ht="15" customHeight="1" x14ac:dyDescent="0.35">
      <c r="A14" s="13"/>
      <c r="B14" s="49" t="s">
        <v>145</v>
      </c>
      <c r="G14" s="78">
        <f>G73-G84</f>
        <v>412297.94326000009</v>
      </c>
      <c r="H14" s="78">
        <f t="shared" ref="H14:K14" si="4">H73-H84</f>
        <v>425998.1355995998</v>
      </c>
      <c r="I14" s="78">
        <f t="shared" si="4"/>
        <v>440177.29207410594</v>
      </c>
      <c r="J14" s="78">
        <f t="shared" si="4"/>
        <v>454852.72806096054</v>
      </c>
      <c r="K14" s="78">
        <f t="shared" si="4"/>
        <v>470042.39850785746</v>
      </c>
    </row>
    <row r="15" spans="1:11" s="49" customFormat="1" ht="15" customHeight="1" x14ac:dyDescent="0.35">
      <c r="A15" s="13"/>
      <c r="B15" s="49" t="s">
        <v>146</v>
      </c>
      <c r="G15" s="78">
        <f>G93-G96</f>
        <v>6755.012999999999</v>
      </c>
      <c r="H15" s="78">
        <f t="shared" ref="H15:K15" si="5">H93-H96</f>
        <v>6079.5116999999991</v>
      </c>
      <c r="I15" s="78">
        <f t="shared" si="5"/>
        <v>5471.5605299999988</v>
      </c>
      <c r="J15" s="78">
        <f t="shared" si="5"/>
        <v>4924.404477</v>
      </c>
      <c r="K15" s="78">
        <f t="shared" si="5"/>
        <v>4431.9640293000011</v>
      </c>
    </row>
    <row r="16" spans="1:11" s="49" customFormat="1" ht="15" customHeight="1" x14ac:dyDescent="0.35">
      <c r="A16" s="13"/>
      <c r="B16" s="49" t="s">
        <v>147</v>
      </c>
      <c r="G16" s="78">
        <f>G7-SUM(E101:G101)</f>
        <v>11633.48333333333</v>
      </c>
      <c r="H16" s="78">
        <f t="shared" ref="H16:K16" si="6">H7-SUM(F101:H101)</f>
        <v>12061.37222222222</v>
      </c>
      <c r="I16" s="78">
        <f t="shared" si="6"/>
        <v>10597.261111111111</v>
      </c>
      <c r="J16" s="78">
        <f t="shared" si="6"/>
        <v>11666.666666666664</v>
      </c>
      <c r="K16" s="78">
        <f t="shared" si="6"/>
        <v>11666.666666666664</v>
      </c>
    </row>
    <row r="17" spans="1:11" s="49" customFormat="1" ht="15" customHeight="1" x14ac:dyDescent="0.35">
      <c r="A17" s="13"/>
      <c r="B17" s="49" t="s">
        <v>149</v>
      </c>
      <c r="G17" s="78">
        <f>G125-G121</f>
        <v>11288.58</v>
      </c>
      <c r="H17" s="78">
        <f t="shared" ref="H17:K17" si="7">H125-H121</f>
        <v>9040.5</v>
      </c>
      <c r="I17" s="78">
        <f t="shared" si="7"/>
        <v>9000</v>
      </c>
      <c r="J17" s="78">
        <f t="shared" si="7"/>
        <v>9000</v>
      </c>
      <c r="K17" s="78">
        <f t="shared" si="7"/>
        <v>9000</v>
      </c>
    </row>
    <row r="18" spans="1:11" s="49" customFormat="1" ht="15" customHeight="1" x14ac:dyDescent="0.35">
      <c r="A18" s="13"/>
      <c r="B18" s="49" t="s">
        <v>148</v>
      </c>
      <c r="G18" s="78">
        <f>G150-G144</f>
        <v>3928.59</v>
      </c>
      <c r="H18" s="78">
        <f t="shared" ref="H18:K18" si="8">H150-H144</f>
        <v>4950</v>
      </c>
      <c r="I18" s="78">
        <f t="shared" si="8"/>
        <v>6750</v>
      </c>
      <c r="J18" s="78">
        <f t="shared" si="8"/>
        <v>6750</v>
      </c>
      <c r="K18" s="78">
        <f t="shared" si="8"/>
        <v>6750</v>
      </c>
    </row>
    <row r="19" spans="1:11" s="49" customFormat="1" ht="15" customHeight="1" x14ac:dyDescent="0.35">
      <c r="A19" s="13"/>
      <c r="B19" s="49" t="s">
        <v>241</v>
      </c>
      <c r="G19" s="78">
        <f>-(SUM($G162:G162)-SUM($G158:G158))</f>
        <v>-12973.530967741939</v>
      </c>
      <c r="H19" s="78">
        <f>-(SUM($G162:H162)-SUM($G158:H158))</f>
        <v>-17570.305161290325</v>
      </c>
      <c r="I19" s="78">
        <f>-(SUM($G162:I162)-SUM($G158:I158))</f>
        <v>-22167.079354838716</v>
      </c>
      <c r="J19" s="78">
        <f>-(SUM($G162:J162)-SUM($G158:J158))</f>
        <v>-26763.853548387095</v>
      </c>
      <c r="K19" s="78">
        <f>-(SUM($G162:K162)-SUM($G158:K158))</f>
        <v>-31360.627741935488</v>
      </c>
    </row>
    <row r="20" spans="1:11" s="49" customFormat="1" ht="15" customHeight="1" x14ac:dyDescent="0.35">
      <c r="A20" s="13"/>
      <c r="B20" s="86" t="s">
        <v>150</v>
      </c>
      <c r="C20" s="79"/>
      <c r="D20" s="79"/>
      <c r="E20" s="79"/>
      <c r="F20" s="79"/>
      <c r="G20" s="79">
        <f>SUM(G14:G19)</f>
        <v>432930.07862559153</v>
      </c>
      <c r="H20" s="79">
        <f t="shared" ref="H20:K20" si="9">SUM(H14:H19)</f>
        <v>440559.21436053165</v>
      </c>
      <c r="I20" s="79">
        <f t="shared" si="9"/>
        <v>449829.03436037834</v>
      </c>
      <c r="J20" s="79">
        <f t="shared" si="9"/>
        <v>460429.9456562401</v>
      </c>
      <c r="K20" s="79">
        <f t="shared" si="9"/>
        <v>470530.40146188869</v>
      </c>
    </row>
    <row r="21" spans="1:11" s="49" customFormat="1" ht="15" customHeight="1" x14ac:dyDescent="0.35">
      <c r="A21" s="13"/>
    </row>
    <row r="22" spans="1:11" s="49" customFormat="1" ht="15" customHeight="1" x14ac:dyDescent="0.35">
      <c r="A22" s="114" t="s">
        <v>119</v>
      </c>
    </row>
    <row r="23" spans="1:11" s="49" customFormat="1" ht="15" customHeight="1" x14ac:dyDescent="0.35">
      <c r="A23" s="13"/>
      <c r="B23" s="49" t="s">
        <v>161</v>
      </c>
      <c r="D23" s="78"/>
      <c r="E23" s="78"/>
      <c r="F23" s="78"/>
      <c r="G23" s="78">
        <f>F30</f>
        <v>10611182</v>
      </c>
      <c r="H23" s="78">
        <f t="shared" ref="H23:K23" si="10">G30</f>
        <v>10553324.085391937</v>
      </c>
      <c r="I23" s="78">
        <f t="shared" si="10"/>
        <v>10497712.238543931</v>
      </c>
      <c r="J23" s="78">
        <f t="shared" si="10"/>
        <v>10453058.247519573</v>
      </c>
      <c r="K23" s="78">
        <f t="shared" si="10"/>
        <v>10412777.490640679</v>
      </c>
    </row>
    <row r="24" spans="1:11" s="49" customFormat="1" ht="15" customHeight="1" x14ac:dyDescent="0.35">
      <c r="A24" s="13"/>
      <c r="B24" s="49" t="s">
        <v>166</v>
      </c>
      <c r="D24" s="78"/>
      <c r="E24" s="78"/>
      <c r="F24" s="78"/>
      <c r="G24" s="78">
        <f>G99</f>
        <v>200000</v>
      </c>
      <c r="H24" s="78">
        <f t="shared" ref="H24:K24" si="11">H99</f>
        <v>200000</v>
      </c>
      <c r="I24" s="78">
        <f t="shared" si="11"/>
        <v>200000</v>
      </c>
      <c r="J24" s="78">
        <f t="shared" si="11"/>
        <v>200000</v>
      </c>
      <c r="K24" s="78">
        <f t="shared" si="11"/>
        <v>200000</v>
      </c>
    </row>
    <row r="25" spans="1:11" s="49" customFormat="1" ht="15" customHeight="1" x14ac:dyDescent="0.35">
      <c r="A25" s="13"/>
      <c r="B25" s="49" t="s">
        <v>167</v>
      </c>
      <c r="D25" s="78"/>
      <c r="E25" s="78"/>
      <c r="F25" s="78"/>
      <c r="G25" s="78">
        <f>G118</f>
        <v>162939.33333333331</v>
      </c>
      <c r="H25" s="78">
        <f t="shared" ref="H25:K25" si="12">H118</f>
        <v>150225</v>
      </c>
      <c r="I25" s="78">
        <f t="shared" si="12"/>
        <v>150000</v>
      </c>
      <c r="J25" s="78">
        <f t="shared" si="12"/>
        <v>150000</v>
      </c>
      <c r="K25" s="78">
        <f t="shared" si="12"/>
        <v>150000</v>
      </c>
    </row>
    <row r="26" spans="1:11" s="49" customFormat="1" ht="15" customHeight="1" x14ac:dyDescent="0.35">
      <c r="A26" s="13"/>
      <c r="B26" s="49" t="s">
        <v>168</v>
      </c>
      <c r="D26" s="78"/>
      <c r="E26" s="78"/>
      <c r="F26" s="78"/>
      <c r="G26" s="78">
        <f>G141</f>
        <v>57883.666666666664</v>
      </c>
      <c r="H26" s="78">
        <f t="shared" ref="H26:K26" si="13">H141</f>
        <v>68333.333333333328</v>
      </c>
      <c r="I26" s="78">
        <f t="shared" si="13"/>
        <v>75000</v>
      </c>
      <c r="J26" s="78">
        <f t="shared" si="13"/>
        <v>75000</v>
      </c>
      <c r="K26" s="78">
        <f t="shared" si="13"/>
        <v>75000</v>
      </c>
    </row>
    <row r="27" spans="1:11" s="49" customFormat="1" ht="15" customHeight="1" x14ac:dyDescent="0.35">
      <c r="A27" s="13"/>
      <c r="B27" s="49" t="s">
        <v>169</v>
      </c>
      <c r="D27" s="87">
        <v>64769</v>
      </c>
      <c r="E27" s="87">
        <v>72812</v>
      </c>
      <c r="F27" s="87">
        <v>81684</v>
      </c>
      <c r="G27" s="78">
        <f>OpModel!G39*OpModel!G15</f>
        <v>88211.093391935472</v>
      </c>
      <c r="H27" s="78">
        <f>OpModel!H39*OpModel!H15</f>
        <v>90176.079575905896</v>
      </c>
      <c r="I27" s="78">
        <f>OpModel!I39*OpModel!I15</f>
        <v>92245.347471575078</v>
      </c>
      <c r="J27" s="78">
        <f>OpModel!J39*OpModel!J15</f>
        <v>94653.806011967274</v>
      </c>
      <c r="K27" s="78">
        <f>OpModel!K39*OpModel!K15</f>
        <v>96960.657141621632</v>
      </c>
    </row>
    <row r="28" spans="1:11" s="49" customFormat="1" ht="15" customHeight="1" x14ac:dyDescent="0.35">
      <c r="A28" s="13"/>
      <c r="B28" s="49" t="s">
        <v>165</v>
      </c>
      <c r="D28" s="87"/>
      <c r="E28" s="87"/>
      <c r="F28" s="87"/>
      <c r="G28" s="78">
        <f>-G155</f>
        <v>-100000</v>
      </c>
      <c r="H28" s="78">
        <f t="shared" ref="H28:K28" si="14">-H155</f>
        <v>-100000</v>
      </c>
      <c r="I28" s="78">
        <f t="shared" si="14"/>
        <v>-100000</v>
      </c>
      <c r="J28" s="78">
        <f t="shared" si="14"/>
        <v>-100000</v>
      </c>
      <c r="K28" s="78">
        <f t="shared" si="14"/>
        <v>-100000</v>
      </c>
    </row>
    <row r="29" spans="1:11" s="49" customFormat="1" ht="15" customHeight="1" x14ac:dyDescent="0.35">
      <c r="A29" s="13"/>
      <c r="B29" s="49" t="s">
        <v>164</v>
      </c>
      <c r="D29" s="78"/>
      <c r="E29" s="78"/>
      <c r="F29" s="78"/>
      <c r="G29" s="78">
        <f>-OpModel!G21</f>
        <v>-466892.00799999997</v>
      </c>
      <c r="H29" s="78">
        <f>-OpModel!H21</f>
        <v>-464346.25975724519</v>
      </c>
      <c r="I29" s="78">
        <f>-OpModel!I21</f>
        <v>-461899.33849593293</v>
      </c>
      <c r="J29" s="78">
        <f>-OpModel!J21</f>
        <v>-459934.56289086118</v>
      </c>
      <c r="K29" s="78">
        <f>-OpModel!K21</f>
        <v>-458162.20958818984</v>
      </c>
    </row>
    <row r="30" spans="1:11" s="49" customFormat="1" ht="15" customHeight="1" x14ac:dyDescent="0.35">
      <c r="A30" s="13"/>
      <c r="B30" s="49" t="s">
        <v>160</v>
      </c>
      <c r="D30" s="78">
        <f>OpModel!D46</f>
        <v>10657222</v>
      </c>
      <c r="E30" s="78">
        <f>OpModel!E46</f>
        <v>10948511</v>
      </c>
      <c r="F30" s="78">
        <f>OpModel!F46</f>
        <v>10611182</v>
      </c>
      <c r="G30" s="78">
        <f>SUM(G23:G29)</f>
        <v>10553324.085391937</v>
      </c>
      <c r="H30" s="78">
        <f t="shared" ref="H30:K30" si="15">SUM(H23:H29)</f>
        <v>10497712.238543931</v>
      </c>
      <c r="I30" s="78">
        <f t="shared" si="15"/>
        <v>10453058.247519573</v>
      </c>
      <c r="J30" s="78">
        <f t="shared" si="15"/>
        <v>10412777.490640679</v>
      </c>
      <c r="K30" s="78">
        <f t="shared" si="15"/>
        <v>10376575.938194111</v>
      </c>
    </row>
    <row r="31" spans="1:11" s="49" customFormat="1" ht="15" customHeight="1" x14ac:dyDescent="0.35">
      <c r="A31" s="13"/>
      <c r="D31" s="78"/>
      <c r="E31" s="78"/>
      <c r="F31" s="78"/>
      <c r="G31" s="78"/>
      <c r="H31" s="78"/>
      <c r="I31" s="78"/>
      <c r="J31" s="78"/>
      <c r="K31" s="78"/>
    </row>
    <row r="32" spans="1:11" s="131" customFormat="1" ht="15" customHeight="1" x14ac:dyDescent="0.35">
      <c r="A32" s="66" t="s">
        <v>83</v>
      </c>
      <c r="B32" s="65"/>
      <c r="C32" s="48"/>
      <c r="D32" s="48"/>
      <c r="E32" s="48"/>
      <c r="F32" s="48"/>
      <c r="G32" s="48"/>
      <c r="H32" s="48"/>
      <c r="I32" s="48"/>
      <c r="J32" s="48"/>
      <c r="K32" s="48"/>
    </row>
    <row r="33" spans="1:11" s="131" customFormat="1" ht="15" customHeight="1" x14ac:dyDescent="0.35">
      <c r="A33" s="66"/>
      <c r="B33" s="65" t="s">
        <v>69</v>
      </c>
      <c r="C33" s="48"/>
      <c r="D33" s="87">
        <v>3807245</v>
      </c>
      <c r="E33" s="87">
        <v>3722778</v>
      </c>
      <c r="F33" s="87">
        <v>4367987</v>
      </c>
      <c r="G33" s="78">
        <f>(1+G34)*F33</f>
        <v>4804785.7</v>
      </c>
      <c r="H33" s="78">
        <f t="shared" ref="H33:K33" si="16">(1+H34)*G33</f>
        <v>5285264.2700000005</v>
      </c>
      <c r="I33" s="78">
        <f t="shared" si="16"/>
        <v>5813790.6970000006</v>
      </c>
      <c r="J33" s="78">
        <f t="shared" si="16"/>
        <v>6395169.7667000014</v>
      </c>
      <c r="K33" s="78">
        <f t="shared" si="16"/>
        <v>7034686.7433700021</v>
      </c>
    </row>
    <row r="34" spans="1:11" s="131" customFormat="1" ht="15" customHeight="1" x14ac:dyDescent="0.35">
      <c r="A34" s="66"/>
      <c r="B34" s="67" t="s">
        <v>84</v>
      </c>
      <c r="C34" s="48"/>
      <c r="D34" s="57"/>
      <c r="E34" s="57">
        <f>E33/D33-1</f>
        <v>-2.218585880341295E-2</v>
      </c>
      <c r="F34" s="57">
        <f>F33/E33-1</f>
        <v>0.17331385325689586</v>
      </c>
      <c r="G34" s="52">
        <v>0.1</v>
      </c>
      <c r="H34" s="52">
        <v>0.1</v>
      </c>
      <c r="I34" s="52">
        <v>0.1</v>
      </c>
      <c r="J34" s="52">
        <v>0.1</v>
      </c>
      <c r="K34" s="52">
        <v>0.1</v>
      </c>
    </row>
    <row r="35" spans="1:11" s="131" customFormat="1" ht="15" customHeight="1" x14ac:dyDescent="0.35">
      <c r="A35" s="66"/>
      <c r="B35" s="65" t="s">
        <v>71</v>
      </c>
      <c r="C35" s="48"/>
      <c r="D35" s="87">
        <v>289011</v>
      </c>
      <c r="E35" s="87">
        <v>312841</v>
      </c>
      <c r="F35" s="87">
        <v>332164</v>
      </c>
      <c r="G35" s="78">
        <f>G36*G33</f>
        <v>360358.92749999999</v>
      </c>
      <c r="H35" s="78">
        <f t="shared" ref="H35:K35" si="17">H36*H33</f>
        <v>396394.82025000005</v>
      </c>
      <c r="I35" s="78">
        <f t="shared" si="17"/>
        <v>436034.30227500002</v>
      </c>
      <c r="J35" s="78">
        <f t="shared" si="17"/>
        <v>479637.73250250006</v>
      </c>
      <c r="K35" s="78">
        <f t="shared" si="17"/>
        <v>527601.50575275009</v>
      </c>
    </row>
    <row r="36" spans="1:11" s="131" customFormat="1" ht="15" customHeight="1" x14ac:dyDescent="0.35">
      <c r="A36" s="66"/>
      <c r="B36" s="67" t="s">
        <v>84</v>
      </c>
      <c r="C36" s="48"/>
      <c r="D36" s="57">
        <f>D35/D33</f>
        <v>7.5910796389515256E-2</v>
      </c>
      <c r="E36" s="57">
        <f t="shared" ref="E36:F36" si="18">E35/E33</f>
        <v>8.403428837282266E-2</v>
      </c>
      <c r="F36" s="57">
        <f t="shared" si="18"/>
        <v>7.6045098119568583E-2</v>
      </c>
      <c r="G36" s="52">
        <v>7.4999999999999997E-2</v>
      </c>
      <c r="H36" s="52">
        <v>7.4999999999999997E-2</v>
      </c>
      <c r="I36" s="52">
        <v>7.4999999999999997E-2</v>
      </c>
      <c r="J36" s="52">
        <v>7.4999999999999997E-2</v>
      </c>
      <c r="K36" s="52">
        <v>7.4999999999999997E-2</v>
      </c>
    </row>
    <row r="37" spans="1:11" s="131" customFormat="1" ht="15" customHeight="1" x14ac:dyDescent="0.35">
      <c r="A37" s="66"/>
      <c r="B37" s="65" t="s">
        <v>68</v>
      </c>
      <c r="C37" s="48"/>
      <c r="D37" s="87">
        <v>189374</v>
      </c>
      <c r="E37" s="87">
        <v>202258</v>
      </c>
      <c r="F37" s="87">
        <v>224580</v>
      </c>
      <c r="G37" s="78">
        <f>G38*G33</f>
        <v>264263.21350000001</v>
      </c>
      <c r="H37" s="78">
        <f t="shared" ref="H37:K37" si="19">H38*H33</f>
        <v>290689.53485000005</v>
      </c>
      <c r="I37" s="78">
        <f t="shared" si="19"/>
        <v>319758.48833500006</v>
      </c>
      <c r="J37" s="78">
        <f t="shared" si="19"/>
        <v>351734.33716850006</v>
      </c>
      <c r="K37" s="78">
        <f t="shared" si="19"/>
        <v>386907.77088535012</v>
      </c>
    </row>
    <row r="38" spans="1:11" s="131" customFormat="1" ht="15" customHeight="1" x14ac:dyDescent="0.35">
      <c r="A38" s="66"/>
      <c r="B38" s="67" t="s">
        <v>54</v>
      </c>
      <c r="C38" s="48"/>
      <c r="D38" s="62">
        <f>D37/D33</f>
        <v>4.9740429102934011E-2</v>
      </c>
      <c r="E38" s="62">
        <f>E37/E33</f>
        <v>5.4329857971654502E-2</v>
      </c>
      <c r="F38" s="62">
        <f>F37/F33</f>
        <v>5.1414988185633337E-2</v>
      </c>
      <c r="G38" s="52">
        <v>5.5E-2</v>
      </c>
      <c r="H38" s="52">
        <v>5.5E-2</v>
      </c>
      <c r="I38" s="52">
        <v>5.5E-2</v>
      </c>
      <c r="J38" s="52">
        <v>5.5E-2</v>
      </c>
      <c r="K38" s="52">
        <v>5.5E-2</v>
      </c>
    </row>
    <row r="39" spans="1:11" s="131" customFormat="1" ht="15" customHeight="1" x14ac:dyDescent="0.35">
      <c r="A39" s="66"/>
      <c r="B39" s="65" t="s">
        <v>70</v>
      </c>
      <c r="C39" s="48"/>
      <c r="D39" s="87">
        <f>189374-59337</f>
        <v>130037</v>
      </c>
      <c r="E39" s="87">
        <f>202258-102938</f>
        <v>99320</v>
      </c>
      <c r="F39" s="87">
        <f>F37-52.021</f>
        <v>224527.97899999999</v>
      </c>
      <c r="G39" s="78">
        <f>G40*G35</f>
        <v>180179.46375</v>
      </c>
      <c r="H39" s="78">
        <f t="shared" ref="H39:K39" si="20">H40*H35</f>
        <v>198197.41012500002</v>
      </c>
      <c r="I39" s="78">
        <f t="shared" si="20"/>
        <v>218017.15113750001</v>
      </c>
      <c r="J39" s="78">
        <f t="shared" si="20"/>
        <v>239818.86625125003</v>
      </c>
      <c r="K39" s="78">
        <f t="shared" si="20"/>
        <v>263800.75287637505</v>
      </c>
    </row>
    <row r="40" spans="1:11" s="131" customFormat="1" ht="15" customHeight="1" x14ac:dyDescent="0.35">
      <c r="A40" s="66"/>
      <c r="B40" s="67" t="s">
        <v>72</v>
      </c>
      <c r="C40" s="48"/>
      <c r="D40" s="62">
        <f>D39/D35</f>
        <v>0.44993789163734255</v>
      </c>
      <c r="E40" s="62">
        <f t="shared" ref="E40:F40" si="21">E39/E35</f>
        <v>0.31747756847727759</v>
      </c>
      <c r="F40" s="62">
        <f t="shared" si="21"/>
        <v>0.67595518779879815</v>
      </c>
      <c r="G40" s="52">
        <v>0.5</v>
      </c>
      <c r="H40" s="52">
        <v>0.5</v>
      </c>
      <c r="I40" s="52">
        <v>0.5</v>
      </c>
      <c r="J40" s="52">
        <v>0.5</v>
      </c>
      <c r="K40" s="52">
        <v>0.5</v>
      </c>
    </row>
    <row r="41" spans="1:11" s="131" customFormat="1" ht="15" customHeight="1" x14ac:dyDescent="0.35">
      <c r="A41" s="66"/>
      <c r="B41" s="67"/>
      <c r="D41" s="62"/>
      <c r="E41" s="62"/>
      <c r="F41"/>
      <c r="G41"/>
      <c r="H41"/>
      <c r="I41"/>
      <c r="J41"/>
      <c r="K41"/>
    </row>
    <row r="42" spans="1:11" s="131" customFormat="1" ht="15" customHeight="1" x14ac:dyDescent="0.35">
      <c r="A42" s="66"/>
      <c r="B42" s="65" t="s">
        <v>85</v>
      </c>
      <c r="C42" s="48"/>
      <c r="D42" s="87"/>
      <c r="E42" s="87"/>
      <c r="F42" s="87"/>
      <c r="G42" s="78">
        <f>G37-G39</f>
        <v>84083.749750000017</v>
      </c>
      <c r="H42" s="78">
        <f t="shared" ref="H42:K42" si="22">H37-H39</f>
        <v>92492.124725000031</v>
      </c>
      <c r="I42" s="78">
        <f t="shared" si="22"/>
        <v>101741.33719750005</v>
      </c>
      <c r="J42" s="78">
        <f t="shared" si="22"/>
        <v>111915.47091725003</v>
      </c>
      <c r="K42" s="78">
        <f t="shared" si="22"/>
        <v>123107.01800897508</v>
      </c>
    </row>
    <row r="43" spans="1:11" s="131" customFormat="1" ht="15" customHeight="1" x14ac:dyDescent="0.35">
      <c r="A43" s="66"/>
      <c r="B43" s="65" t="s">
        <v>73</v>
      </c>
      <c r="C43" s="48"/>
      <c r="D43" s="87">
        <v>1161275</v>
      </c>
      <c r="E43" s="87">
        <v>1155984</v>
      </c>
      <c r="F43" s="87">
        <v>1300140</v>
      </c>
      <c r="G43" s="78">
        <f>F43+G42</f>
        <v>1384223.74975</v>
      </c>
      <c r="H43" s="78">
        <f>G43+H42</f>
        <v>1476715.874475</v>
      </c>
      <c r="I43" s="78">
        <f>H43+I42</f>
        <v>1578457.2116725</v>
      </c>
      <c r="J43" s="78">
        <f>I43+J42</f>
        <v>1690372.68258975</v>
      </c>
      <c r="K43" s="78">
        <f>J43+K42</f>
        <v>1813479.7005987251</v>
      </c>
    </row>
    <row r="44" spans="1:11" s="131" customFormat="1" ht="15" customHeight="1" x14ac:dyDescent="0.35">
      <c r="A44" s="13"/>
      <c r="B44"/>
      <c r="C44" s="48"/>
      <c r="D44"/>
      <c r="E44"/>
      <c r="F44"/>
      <c r="G44"/>
      <c r="H44"/>
      <c r="I44"/>
      <c r="J44"/>
      <c r="K44"/>
    </row>
    <row r="45" spans="1:11" s="131" customFormat="1" ht="15" customHeight="1" x14ac:dyDescent="0.35">
      <c r="A45" s="114" t="s">
        <v>342</v>
      </c>
      <c r="B45"/>
      <c r="C45" s="48"/>
      <c r="D45"/>
      <c r="E45"/>
      <c r="F45"/>
      <c r="G45"/>
      <c r="H45"/>
      <c r="I45"/>
      <c r="J45"/>
      <c r="K45"/>
    </row>
    <row r="46" spans="1:11" s="131" customFormat="1" ht="15" customHeight="1" x14ac:dyDescent="0.35">
      <c r="A46" s="13"/>
      <c r="B46" t="s">
        <v>157</v>
      </c>
      <c r="C46" s="48"/>
      <c r="D46" s="78"/>
      <c r="E46" s="78"/>
      <c r="F46" s="78"/>
      <c r="G46" s="78">
        <f>F49</f>
        <v>126771</v>
      </c>
      <c r="H46" s="78">
        <f t="shared" ref="H46:K46" si="23">G49</f>
        <v>125920.38</v>
      </c>
      <c r="I46" s="78">
        <f t="shared" si="23"/>
        <v>125794.2414</v>
      </c>
      <c r="J46" s="78">
        <f t="shared" si="23"/>
        <v>126414.318642</v>
      </c>
      <c r="K46" s="78">
        <f t="shared" si="23"/>
        <v>127802.99820125999</v>
      </c>
    </row>
    <row r="47" spans="1:11" s="131" customFormat="1" ht="15" customHeight="1" x14ac:dyDescent="0.35">
      <c r="A47" s="13"/>
      <c r="B47" s="75" t="s">
        <v>136</v>
      </c>
      <c r="C47" s="48"/>
      <c r="D47" s="78">
        <f>OpModel!D32</f>
        <v>23431</v>
      </c>
      <c r="E47" s="78">
        <f>OpModel!E32</f>
        <v>24984</v>
      </c>
      <c r="F47" s="78">
        <f>OpModel!F32</f>
        <v>23446</v>
      </c>
      <c r="G47" s="78">
        <f>OpModel!G32</f>
        <v>24149.38</v>
      </c>
      <c r="H47" s="78">
        <f>OpModel!H32</f>
        <v>24873.861400000002</v>
      </c>
      <c r="I47" s="78">
        <f>OpModel!I32</f>
        <v>25620.077242000003</v>
      </c>
      <c r="J47" s="78">
        <f>OpModel!J32</f>
        <v>26388.679559260003</v>
      </c>
      <c r="K47" s="78">
        <f>OpModel!K32</f>
        <v>27180.339946037802</v>
      </c>
    </row>
    <row r="48" spans="1:11" s="131" customFormat="1" ht="15" customHeight="1" x14ac:dyDescent="0.35">
      <c r="A48" s="13"/>
      <c r="B48" s="75" t="s">
        <v>158</v>
      </c>
      <c r="C48" s="48"/>
      <c r="D48" s="87">
        <v>25334</v>
      </c>
      <c r="E48" s="87">
        <v>26552</v>
      </c>
      <c r="F48" s="87">
        <v>29050</v>
      </c>
      <c r="G48" s="89">
        <v>25000</v>
      </c>
      <c r="H48" s="89">
        <v>25000</v>
      </c>
      <c r="I48" s="89">
        <v>25000</v>
      </c>
      <c r="J48" s="89">
        <v>25000</v>
      </c>
      <c r="K48" s="89">
        <v>25000</v>
      </c>
    </row>
    <row r="49" spans="1:11" s="131" customFormat="1" ht="15" customHeight="1" x14ac:dyDescent="0.35">
      <c r="A49" s="13"/>
      <c r="B49" s="75" t="s">
        <v>159</v>
      </c>
      <c r="C49" s="48"/>
      <c r="D49" s="78">
        <f>OpModel!D61</f>
        <v>100059</v>
      </c>
      <c r="E49" s="78">
        <f>OpModel!E61</f>
        <v>119419</v>
      </c>
      <c r="F49" s="78">
        <f>OpModel!F61</f>
        <v>126771</v>
      </c>
      <c r="G49" s="78">
        <f>G46+G47-G48</f>
        <v>125920.38</v>
      </c>
      <c r="H49" s="78">
        <f t="shared" ref="H49:K49" si="24">H46+H47-H48</f>
        <v>125794.2414</v>
      </c>
      <c r="I49" s="78">
        <f t="shared" si="24"/>
        <v>126414.318642</v>
      </c>
      <c r="J49" s="78">
        <f t="shared" si="24"/>
        <v>127802.99820125999</v>
      </c>
      <c r="K49" s="78">
        <f t="shared" si="24"/>
        <v>129983.33814729779</v>
      </c>
    </row>
    <row r="50" spans="1:11" s="131" customFormat="1" ht="15" customHeight="1" x14ac:dyDescent="0.35">
      <c r="A50" s="13"/>
      <c r="D50" s="78"/>
      <c r="E50" s="78"/>
      <c r="F50" s="78"/>
      <c r="G50" s="78"/>
      <c r="H50" s="78"/>
      <c r="I50" s="78"/>
      <c r="J50" s="78"/>
      <c r="K50" s="78"/>
    </row>
    <row r="51" spans="1:11" s="49" customFormat="1" ht="15" customHeight="1" x14ac:dyDescent="0.35">
      <c r="A51" s="66" t="s">
        <v>170</v>
      </c>
      <c r="D51" s="78"/>
      <c r="E51" s="78"/>
      <c r="F51" s="78"/>
      <c r="G51" s="78"/>
      <c r="H51" s="78"/>
      <c r="I51" s="78"/>
      <c r="J51" s="78"/>
      <c r="K51" s="78"/>
    </row>
    <row r="52" spans="1:11" s="49" customFormat="1" ht="15" customHeight="1" x14ac:dyDescent="0.35">
      <c r="A52" s="13"/>
      <c r="B52" s="49" t="s">
        <v>172</v>
      </c>
      <c r="D52" s="78"/>
      <c r="E52" s="78"/>
      <c r="F52" s="78"/>
      <c r="G52" s="78"/>
      <c r="H52" s="78"/>
      <c r="I52" s="78"/>
      <c r="J52" s="78"/>
      <c r="K52" s="78"/>
    </row>
    <row r="53" spans="1:11" s="49" customFormat="1" ht="15" customHeight="1" x14ac:dyDescent="0.35">
      <c r="A53" s="13"/>
      <c r="B53" s="53" t="str">
        <f>OpModel!B33</f>
        <v>Net income attributable to controlling interest</v>
      </c>
      <c r="D53" s="78">
        <f>OpModel!D33</f>
        <v>414979</v>
      </c>
      <c r="E53" s="78">
        <f>OpModel!E33</f>
        <v>433059</v>
      </c>
      <c r="F53" s="78">
        <f>OpModel!F33</f>
        <v>390153</v>
      </c>
      <c r="G53" s="78">
        <f>OpModel!G33</f>
        <v>583886.03555739217</v>
      </c>
      <c r="H53" s="78">
        <f>OpModel!H33</f>
        <v>617718.54498304077</v>
      </c>
      <c r="I53" s="78">
        <f>OpModel!I33</f>
        <v>652281.587305455</v>
      </c>
      <c r="J53" s="78">
        <f>OpModel!J33</f>
        <v>691284.9393542012</v>
      </c>
      <c r="K53" s="78">
        <f>OpModel!K33</f>
        <v>729999.38520387211</v>
      </c>
    </row>
    <row r="54" spans="1:11" s="49" customFormat="1" ht="15" customHeight="1" x14ac:dyDescent="0.35">
      <c r="A54" s="13"/>
      <c r="B54" s="53" t="s">
        <v>162</v>
      </c>
      <c r="D54" s="78">
        <f>OpModel!D21</f>
        <v>441682</v>
      </c>
      <c r="E54" s="78">
        <f>OpModel!E21</f>
        <v>468881</v>
      </c>
      <c r="F54" s="78">
        <f>OpModel!F21</f>
        <v>479884</v>
      </c>
      <c r="G54" s="78">
        <f>OpModel!G21</f>
        <v>466892.00799999997</v>
      </c>
      <c r="H54" s="78">
        <f>OpModel!H21</f>
        <v>464346.25975724519</v>
      </c>
      <c r="I54" s="78">
        <f>OpModel!I21</f>
        <v>461899.33849593293</v>
      </c>
      <c r="J54" s="78">
        <f>OpModel!J21</f>
        <v>459934.56289086118</v>
      </c>
      <c r="K54" s="78">
        <f>OpModel!K21</f>
        <v>458162.20958818984</v>
      </c>
    </row>
    <row r="55" spans="1:11" s="49" customFormat="1" ht="15" customHeight="1" x14ac:dyDescent="0.35">
      <c r="A55" s="13"/>
      <c r="B55" s="90" t="s">
        <v>374</v>
      </c>
      <c r="D55" s="78">
        <f>OpModel!D30</f>
        <v>150151</v>
      </c>
      <c r="E55" s="78">
        <f>OpModel!E30</f>
        <v>115064</v>
      </c>
      <c r="F55" s="78">
        <f>OpModel!F30</f>
        <v>63114</v>
      </c>
      <c r="G55" s="78">
        <f>OpModel!G30</f>
        <v>25000</v>
      </c>
      <c r="H55" s="78">
        <f>OpModel!H30</f>
        <v>25000</v>
      </c>
      <c r="I55" s="78">
        <f>OpModel!I30</f>
        <v>25000</v>
      </c>
      <c r="J55" s="78">
        <f>OpModel!J30</f>
        <v>25000</v>
      </c>
      <c r="K55" s="78">
        <f>OpModel!K30</f>
        <v>25000</v>
      </c>
    </row>
    <row r="56" spans="1:11" s="49" customFormat="1" ht="15" customHeight="1" x14ac:dyDescent="0.35">
      <c r="A56" s="13"/>
      <c r="B56" s="50" t="s">
        <v>173</v>
      </c>
      <c r="C56" s="50"/>
      <c r="D56" s="79">
        <f>D53+D54-D55</f>
        <v>706510</v>
      </c>
      <c r="E56" s="79">
        <f t="shared" ref="E56:G56" si="25">E53+E54-E55</f>
        <v>786876</v>
      </c>
      <c r="F56" s="79">
        <f t="shared" si="25"/>
        <v>806923</v>
      </c>
      <c r="G56" s="79">
        <f t="shared" si="25"/>
        <v>1025778.0435573922</v>
      </c>
      <c r="H56" s="79">
        <f t="shared" ref="H56" si="26">H53+H54-H55</f>
        <v>1057064.804740286</v>
      </c>
      <c r="I56" s="79">
        <f t="shared" ref="I56" si="27">I53+I54-I55</f>
        <v>1089180.925801388</v>
      </c>
      <c r="J56" s="79">
        <f t="shared" ref="J56" si="28">J53+J54-J55</f>
        <v>1126219.5022450625</v>
      </c>
      <c r="K56" s="79">
        <f t="shared" ref="K56" si="29">K53+K54-K55</f>
        <v>1163161.594792062</v>
      </c>
    </row>
    <row r="57" spans="1:11" s="49" customFormat="1" ht="15" customHeight="1" x14ac:dyDescent="0.35">
      <c r="A57" s="13"/>
      <c r="B57" s="49" t="s">
        <v>174</v>
      </c>
      <c r="D57" s="87">
        <v>411134</v>
      </c>
      <c r="E57" s="87">
        <v>450625</v>
      </c>
      <c r="F57" s="87">
        <v>484182</v>
      </c>
      <c r="G57" s="78">
        <f>G58*G56</f>
        <v>615466.82613443525</v>
      </c>
      <c r="H57" s="78">
        <f t="shared" ref="H57:K57" si="30">H58*H56</f>
        <v>634238.8828441716</v>
      </c>
      <c r="I57" s="78">
        <f t="shared" si="30"/>
        <v>653508.55548083282</v>
      </c>
      <c r="J57" s="78">
        <f t="shared" si="30"/>
        <v>675731.70134703745</v>
      </c>
      <c r="K57" s="78">
        <f t="shared" si="30"/>
        <v>697896.95687523717</v>
      </c>
    </row>
    <row r="58" spans="1:11" s="49" customFormat="1" ht="15" customHeight="1" x14ac:dyDescent="0.35">
      <c r="A58" s="13"/>
      <c r="B58" s="49" t="s">
        <v>175</v>
      </c>
      <c r="D58" s="57">
        <f>D57/D56</f>
        <v>0.58192240732615252</v>
      </c>
      <c r="E58" s="57">
        <f t="shared" ref="E58:F58" si="31">E57/E56</f>
        <v>0.57267599977633066</v>
      </c>
      <c r="F58" s="57">
        <f t="shared" si="31"/>
        <v>0.60003494757244491</v>
      </c>
      <c r="G58" s="57">
        <f>OpModel!G43</f>
        <v>0.6</v>
      </c>
      <c r="H58" s="57">
        <f>OpModel!H43</f>
        <v>0.6</v>
      </c>
      <c r="I58" s="57">
        <f>OpModel!I43</f>
        <v>0.6</v>
      </c>
      <c r="J58" s="57">
        <f>OpModel!J43</f>
        <v>0.6</v>
      </c>
      <c r="K58" s="57">
        <f>OpModel!K43</f>
        <v>0.6</v>
      </c>
    </row>
    <row r="59" spans="1:11" s="49" customFormat="1" ht="15" customHeight="1" x14ac:dyDescent="0.35">
      <c r="A59" s="13"/>
      <c r="D59" s="78"/>
      <c r="E59" s="78"/>
      <c r="F59" s="78"/>
      <c r="G59" s="78"/>
      <c r="H59" s="78"/>
      <c r="I59" s="78"/>
      <c r="J59" s="78"/>
      <c r="K59" s="78"/>
    </row>
    <row r="60" spans="1:11" s="49" customFormat="1" ht="15" customHeight="1" x14ac:dyDescent="0.35">
      <c r="A60" s="114" t="s">
        <v>171</v>
      </c>
      <c r="D60" s="78"/>
      <c r="E60" s="78"/>
      <c r="F60" s="78"/>
      <c r="G60" s="78"/>
      <c r="H60" s="78"/>
      <c r="I60" s="78"/>
      <c r="J60" s="78"/>
      <c r="K60" s="78"/>
    </row>
    <row r="61" spans="1:11" s="49" customFormat="1" ht="15" customHeight="1" x14ac:dyDescent="0.35">
      <c r="A61" s="13"/>
      <c r="B61" s="49" t="s">
        <v>176</v>
      </c>
      <c r="D61" s="78"/>
      <c r="E61" s="78"/>
      <c r="F61" s="78"/>
      <c r="G61" s="78">
        <f>F65</f>
        <v>6267073</v>
      </c>
      <c r="H61" s="78">
        <f t="shared" ref="H61:K61" si="32">G65</f>
        <v>6260188.5429872042</v>
      </c>
      <c r="I61" s="78">
        <f t="shared" si="32"/>
        <v>6271708.8233147161</v>
      </c>
      <c r="J61" s="78">
        <f t="shared" si="32"/>
        <v>6300673.9978247834</v>
      </c>
      <c r="K61" s="78">
        <f t="shared" si="32"/>
        <v>6345139.1321191685</v>
      </c>
    </row>
    <row r="62" spans="1:11" s="49" customFormat="1" ht="15" customHeight="1" x14ac:dyDescent="0.35">
      <c r="A62" s="13"/>
      <c r="B62" s="49" t="s">
        <v>180</v>
      </c>
      <c r="D62" s="78"/>
      <c r="E62" s="78"/>
      <c r="F62" s="78"/>
      <c r="G62" s="78">
        <f>OpModel!G33</f>
        <v>583886.03555739217</v>
      </c>
      <c r="H62" s="78">
        <f>OpModel!H33</f>
        <v>617718.54498304077</v>
      </c>
      <c r="I62" s="78">
        <f>OpModel!I33</f>
        <v>652281.587305455</v>
      </c>
      <c r="J62" s="78">
        <f>OpModel!J33</f>
        <v>691284.9393542012</v>
      </c>
      <c r="K62" s="78">
        <f>OpModel!K33</f>
        <v>729999.38520387211</v>
      </c>
    </row>
    <row r="63" spans="1:11" s="49" customFormat="1" ht="15" customHeight="1" x14ac:dyDescent="0.35">
      <c r="A63" s="13"/>
      <c r="B63" s="49" t="s">
        <v>177</v>
      </c>
      <c r="D63" s="78"/>
      <c r="E63" s="78"/>
      <c r="F63" s="78"/>
      <c r="G63" s="78">
        <f>Financing!G20</f>
        <v>24696.333564247354</v>
      </c>
      <c r="H63" s="78">
        <f>Financing!H20</f>
        <v>28040.618188643362</v>
      </c>
      <c r="I63" s="78">
        <f>Financing!I20</f>
        <v>30192.142685445142</v>
      </c>
      <c r="J63" s="78">
        <f>Financing!J20</f>
        <v>28911.89628722117</v>
      </c>
      <c r="K63" s="78">
        <f>Financing!K20</f>
        <v>27810.801878142258</v>
      </c>
    </row>
    <row r="64" spans="1:11" s="49" customFormat="1" ht="15" customHeight="1" x14ac:dyDescent="0.35">
      <c r="A64" s="13"/>
      <c r="B64" s="49" t="s">
        <v>178</v>
      </c>
      <c r="D64" s="78">
        <f>D57</f>
        <v>411134</v>
      </c>
      <c r="E64" s="78">
        <f t="shared" ref="E64:F64" si="33">E57</f>
        <v>450625</v>
      </c>
      <c r="F64" s="78">
        <f t="shared" si="33"/>
        <v>484182</v>
      </c>
      <c r="G64" s="78">
        <f>G57</f>
        <v>615466.82613443525</v>
      </c>
      <c r="H64" s="78">
        <f t="shared" ref="H64:K64" si="34">H57</f>
        <v>634238.8828441716</v>
      </c>
      <c r="I64" s="78">
        <f t="shared" si="34"/>
        <v>653508.55548083282</v>
      </c>
      <c r="J64" s="78">
        <f t="shared" si="34"/>
        <v>675731.70134703745</v>
      </c>
      <c r="K64" s="78">
        <f t="shared" si="34"/>
        <v>697896.95687523717</v>
      </c>
    </row>
    <row r="65" spans="1:11" s="49" customFormat="1" ht="15" customHeight="1" x14ac:dyDescent="0.35">
      <c r="A65" s="13"/>
      <c r="B65" s="49" t="s">
        <v>179</v>
      </c>
      <c r="D65" s="78">
        <f>OpModel!D60</f>
        <v>6192178</v>
      </c>
      <c r="E65" s="78">
        <f>OpModel!E60</f>
        <v>6277406</v>
      </c>
      <c r="F65" s="78">
        <f>OpModel!F60</f>
        <v>6267073</v>
      </c>
      <c r="G65" s="78">
        <f>G61+G62+G63-G64</f>
        <v>6260188.5429872042</v>
      </c>
      <c r="H65" s="78">
        <f t="shared" ref="H65:K65" si="35">H61+H62+H63-H64</f>
        <v>6271708.8233147161</v>
      </c>
      <c r="I65" s="78">
        <f t="shared" si="35"/>
        <v>6300673.9978247834</v>
      </c>
      <c r="J65" s="78">
        <f t="shared" si="35"/>
        <v>6345139.1321191685</v>
      </c>
      <c r="K65" s="78">
        <f t="shared" si="35"/>
        <v>6405052.3623259459</v>
      </c>
    </row>
    <row r="66" spans="1:11" s="49" customFormat="1" ht="15" customHeight="1" x14ac:dyDescent="0.35">
      <c r="A66" s="13"/>
      <c r="D66" s="78"/>
      <c r="E66" s="78"/>
      <c r="F66" s="78"/>
      <c r="G66" s="78"/>
      <c r="H66" s="78"/>
      <c r="I66" s="78"/>
      <c r="J66" s="78"/>
      <c r="K66" s="78"/>
    </row>
    <row r="67" spans="1:11" s="49" customFormat="1" ht="15" customHeight="1" x14ac:dyDescent="0.35">
      <c r="A67" s="13"/>
      <c r="D67" s="78"/>
      <c r="E67" s="78"/>
      <c r="F67" s="78"/>
      <c r="G67" s="78"/>
      <c r="H67" s="78"/>
      <c r="I67" s="78"/>
      <c r="J67" s="78"/>
      <c r="K67" s="78"/>
    </row>
    <row r="68" spans="1:11" ht="15" customHeight="1" x14ac:dyDescent="0.35">
      <c r="A68" s="114" t="s">
        <v>155</v>
      </c>
      <c r="B68" s="65"/>
      <c r="D68" s="78"/>
      <c r="E68" s="78"/>
      <c r="F68" s="78"/>
      <c r="G68" s="78"/>
      <c r="H68" s="78"/>
      <c r="I68" s="78"/>
      <c r="J68" s="78"/>
      <c r="K68" s="78"/>
    </row>
    <row r="69" spans="1:11" s="48" customFormat="1" ht="15" customHeight="1" x14ac:dyDescent="0.35">
      <c r="A69" s="65"/>
      <c r="B69" s="65" t="s">
        <v>32</v>
      </c>
      <c r="D69" s="78"/>
      <c r="E69" s="78"/>
      <c r="F69" s="78"/>
      <c r="G69" s="78"/>
      <c r="H69" s="78"/>
      <c r="I69" s="78"/>
      <c r="J69" s="78"/>
      <c r="K69" s="78"/>
    </row>
    <row r="70" spans="1:11" ht="15" customHeight="1" x14ac:dyDescent="0.35">
      <c r="A70" s="66"/>
      <c r="B70" s="67" t="s">
        <v>18</v>
      </c>
      <c r="C70" s="53"/>
      <c r="D70" s="87">
        <v>540000</v>
      </c>
      <c r="E70" s="87">
        <v>574552</v>
      </c>
      <c r="F70" s="88">
        <f>592281</f>
        <v>592281</v>
      </c>
      <c r="G70" s="78">
        <f>(1+G76)*F70</f>
        <v>611530.13249999995</v>
      </c>
      <c r="H70" s="78">
        <f t="shared" ref="H70:K70" si="36">(1+H76)*G70</f>
        <v>632933.68713749992</v>
      </c>
      <c r="I70" s="78">
        <f t="shared" si="36"/>
        <v>655086.36618731241</v>
      </c>
      <c r="J70" s="78">
        <f t="shared" si="36"/>
        <v>678014.38900386833</v>
      </c>
      <c r="K70" s="78">
        <f t="shared" si="36"/>
        <v>701744.89261900366</v>
      </c>
    </row>
    <row r="71" spans="1:11" ht="15" customHeight="1" x14ac:dyDescent="0.35">
      <c r="A71" s="66"/>
      <c r="B71" s="67" t="s">
        <v>19</v>
      </c>
      <c r="C71" s="53"/>
      <c r="D71" s="87">
        <v>453140</v>
      </c>
      <c r="E71" s="87">
        <v>505313</v>
      </c>
      <c r="F71" s="87">
        <v>522561</v>
      </c>
      <c r="G71" s="78">
        <f t="shared" ref="G71:K72" si="37">(1+G77)*F71</f>
        <v>540850.63500000001</v>
      </c>
      <c r="H71" s="78">
        <f t="shared" si="37"/>
        <v>562484.66040000005</v>
      </c>
      <c r="I71" s="78">
        <f t="shared" si="37"/>
        <v>584984.04681600002</v>
      </c>
      <c r="J71" s="78">
        <f t="shared" si="37"/>
        <v>608383.40868863999</v>
      </c>
      <c r="K71" s="78">
        <f t="shared" si="37"/>
        <v>632718.7450361856</v>
      </c>
    </row>
    <row r="72" spans="1:11" ht="15" customHeight="1" x14ac:dyDescent="0.35">
      <c r="A72" s="66"/>
      <c r="B72" s="67" t="s">
        <v>20</v>
      </c>
      <c r="C72" s="53"/>
      <c r="D72" s="87">
        <f>217259</f>
        <v>217259</v>
      </c>
      <c r="E72" s="87">
        <f>229871</f>
        <v>229871</v>
      </c>
      <c r="F72" s="87">
        <f>236525</f>
        <v>236525</v>
      </c>
      <c r="G72" s="78">
        <f t="shared" si="37"/>
        <v>238890.25</v>
      </c>
      <c r="H72" s="78">
        <f t="shared" si="37"/>
        <v>243668.05499999999</v>
      </c>
      <c r="I72" s="78">
        <f t="shared" si="37"/>
        <v>248541.4161</v>
      </c>
      <c r="J72" s="78">
        <f t="shared" si="37"/>
        <v>253512.24442200002</v>
      </c>
      <c r="K72" s="78">
        <f t="shared" si="37"/>
        <v>258582.48931044003</v>
      </c>
    </row>
    <row r="73" spans="1:11" ht="15" customHeight="1" x14ac:dyDescent="0.35">
      <c r="A73" s="68"/>
      <c r="B73" s="69" t="s">
        <v>31</v>
      </c>
      <c r="C73" s="50"/>
      <c r="D73" s="79">
        <f>SUM(D70:D72)</f>
        <v>1210399</v>
      </c>
      <c r="E73" s="79">
        <f>SUM(E70:E72)</f>
        <v>1309736</v>
      </c>
      <c r="F73" s="79">
        <f>SUM(F70:F72)</f>
        <v>1351367</v>
      </c>
      <c r="G73" s="79">
        <f t="shared" ref="G73:K73" si="38">SUM(G70:G72)</f>
        <v>1391271.0175000001</v>
      </c>
      <c r="H73" s="79">
        <f t="shared" si="38"/>
        <v>1439086.4025374998</v>
      </c>
      <c r="I73" s="79">
        <f t="shared" si="38"/>
        <v>1488611.8291033125</v>
      </c>
      <c r="J73" s="79">
        <f t="shared" si="38"/>
        <v>1539910.0421145083</v>
      </c>
      <c r="K73" s="79">
        <f t="shared" si="38"/>
        <v>1593046.1269656294</v>
      </c>
    </row>
    <row r="74" spans="1:11" ht="15" customHeight="1" x14ac:dyDescent="0.35">
      <c r="A74" s="66"/>
      <c r="B74" s="65"/>
      <c r="E74" s="14"/>
      <c r="F74" s="14"/>
      <c r="G74" s="14"/>
      <c r="H74" s="14"/>
    </row>
    <row r="75" spans="1:11" ht="15" customHeight="1" x14ac:dyDescent="0.35">
      <c r="A75" s="66"/>
      <c r="B75" s="65" t="s">
        <v>33</v>
      </c>
      <c r="E75" s="14"/>
    </row>
    <row r="76" spans="1:11" ht="15" customHeight="1" x14ac:dyDescent="0.35">
      <c r="A76" s="66"/>
      <c r="B76" s="67" t="s">
        <v>18</v>
      </c>
      <c r="C76" s="53"/>
      <c r="D76" s="56"/>
      <c r="E76" s="56">
        <f>E70/D70-1</f>
        <v>6.3985185185185145E-2</v>
      </c>
      <c r="F76" s="56">
        <f>F70/E70-1</f>
        <v>3.0857085172447452E-2</v>
      </c>
      <c r="G76" s="52">
        <v>3.2500000000000001E-2</v>
      </c>
      <c r="H76" s="52">
        <v>3.5000000000000003E-2</v>
      </c>
      <c r="I76" s="52">
        <v>3.5000000000000003E-2</v>
      </c>
      <c r="J76" s="52">
        <v>3.5000000000000003E-2</v>
      </c>
      <c r="K76" s="52">
        <v>3.5000000000000003E-2</v>
      </c>
    </row>
    <row r="77" spans="1:11" ht="15" customHeight="1" x14ac:dyDescent="0.35">
      <c r="A77" s="66"/>
      <c r="B77" s="67" t="s">
        <v>19</v>
      </c>
      <c r="C77" s="53"/>
      <c r="D77" s="56"/>
      <c r="E77" s="56">
        <f t="shared" ref="E77:F77" si="39">E71/D71-1</f>
        <v>0.11513660237454215</v>
      </c>
      <c r="F77" s="56">
        <f t="shared" si="39"/>
        <v>3.413329955888722E-2</v>
      </c>
      <c r="G77" s="52">
        <v>3.5000000000000003E-2</v>
      </c>
      <c r="H77" s="52">
        <v>0.04</v>
      </c>
      <c r="I77" s="52">
        <v>0.04</v>
      </c>
      <c r="J77" s="52">
        <v>0.04</v>
      </c>
      <c r="K77" s="52">
        <v>0.04</v>
      </c>
    </row>
    <row r="78" spans="1:11" ht="15" customHeight="1" x14ac:dyDescent="0.35">
      <c r="A78" s="66"/>
      <c r="B78" s="67" t="s">
        <v>20</v>
      </c>
      <c r="C78" s="53"/>
      <c r="D78" s="56"/>
      <c r="E78" s="56">
        <f t="shared" ref="E78:F78" si="40">E72/D72-1</f>
        <v>5.8050529552285512E-2</v>
      </c>
      <c r="F78" s="56">
        <f t="shared" si="40"/>
        <v>2.8946670088875859E-2</v>
      </c>
      <c r="G78" s="52">
        <v>0.01</v>
      </c>
      <c r="H78" s="52">
        <v>0.02</v>
      </c>
      <c r="I78" s="52">
        <v>0.02</v>
      </c>
      <c r="J78" s="52">
        <v>0.02</v>
      </c>
      <c r="K78" s="52">
        <v>0.02</v>
      </c>
    </row>
    <row r="79" spans="1:11" ht="15" customHeight="1" x14ac:dyDescent="0.35">
      <c r="A79" s="66"/>
      <c r="B79" s="65"/>
    </row>
    <row r="80" spans="1:11" ht="15" customHeight="1" x14ac:dyDescent="0.35">
      <c r="A80" s="66"/>
      <c r="B80" s="65" t="s">
        <v>34</v>
      </c>
    </row>
    <row r="81" spans="1:11" ht="15" customHeight="1" x14ac:dyDescent="0.35">
      <c r="A81" s="66"/>
      <c r="B81" s="67" t="s">
        <v>18</v>
      </c>
      <c r="C81" s="53"/>
      <c r="D81" s="87">
        <f>381212</f>
        <v>381212</v>
      </c>
      <c r="E81" s="87">
        <v>408070</v>
      </c>
      <c r="F81" s="87">
        <v>421613</v>
      </c>
      <c r="G81" s="78">
        <f t="shared" ref="G81:K83" si="41">G70*G88</f>
        <v>435409.45433999994</v>
      </c>
      <c r="H81" s="78">
        <f t="shared" si="41"/>
        <v>450648.7852418999</v>
      </c>
      <c r="I81" s="78">
        <f t="shared" si="41"/>
        <v>466421.49272536644</v>
      </c>
      <c r="J81" s="78">
        <f t="shared" si="41"/>
        <v>482746.24497075425</v>
      </c>
      <c r="K81" s="78">
        <f t="shared" si="41"/>
        <v>499642.36354473059</v>
      </c>
    </row>
    <row r="82" spans="1:11" ht="15" customHeight="1" x14ac:dyDescent="0.35">
      <c r="A82" s="66"/>
      <c r="B82" s="67" t="s">
        <v>19</v>
      </c>
      <c r="C82" s="53"/>
      <c r="D82" s="87">
        <v>333757</v>
      </c>
      <c r="E82" s="87">
        <v>371795</v>
      </c>
      <c r="F82" s="87">
        <v>386401</v>
      </c>
      <c r="G82" s="78">
        <f t="shared" si="41"/>
        <v>400229.46990000003</v>
      </c>
      <c r="H82" s="78">
        <f t="shared" si="41"/>
        <v>416238.64869600005</v>
      </c>
      <c r="I82" s="78">
        <f t="shared" si="41"/>
        <v>432888.19464384002</v>
      </c>
      <c r="J82" s="78">
        <f t="shared" si="41"/>
        <v>450203.72242959356</v>
      </c>
      <c r="K82" s="78">
        <f t="shared" si="41"/>
        <v>468211.87132677733</v>
      </c>
    </row>
    <row r="83" spans="1:11" ht="15" customHeight="1" x14ac:dyDescent="0.35">
      <c r="A83" s="66"/>
      <c r="B83" s="67" t="s">
        <v>20</v>
      </c>
      <c r="C83" s="53"/>
      <c r="D83" s="87">
        <f>154147</f>
        <v>154147</v>
      </c>
      <c r="E83" s="87">
        <f>162253</f>
        <v>162253</v>
      </c>
      <c r="F83" s="87">
        <f>165397</f>
        <v>165397</v>
      </c>
      <c r="G83" s="78">
        <f t="shared" si="41"/>
        <v>143334.15</v>
      </c>
      <c r="H83" s="78">
        <f t="shared" si="41"/>
        <v>146200.83299999998</v>
      </c>
      <c r="I83" s="78">
        <f t="shared" si="41"/>
        <v>149124.84966000001</v>
      </c>
      <c r="J83" s="78">
        <f t="shared" si="41"/>
        <v>152107.34665320002</v>
      </c>
      <c r="K83" s="78">
        <f t="shared" si="41"/>
        <v>155149.493586264</v>
      </c>
    </row>
    <row r="84" spans="1:11" s="48" customFormat="1" ht="15" customHeight="1" x14ac:dyDescent="0.35">
      <c r="A84" s="66"/>
      <c r="B84" s="69" t="s">
        <v>36</v>
      </c>
      <c r="C84" s="50"/>
      <c r="D84" s="79">
        <f>SUM(D81:D83)</f>
        <v>869116</v>
      </c>
      <c r="E84" s="79">
        <f>SUM(E81:E83)</f>
        <v>942118</v>
      </c>
      <c r="F84" s="79">
        <f>SUM(F81:F83)</f>
        <v>973411</v>
      </c>
      <c r="G84" s="79">
        <f t="shared" ref="G84:K84" si="42">SUM(G81:G83)</f>
        <v>978973.07423999999</v>
      </c>
      <c r="H84" s="79">
        <f t="shared" si="42"/>
        <v>1013088.2669379</v>
      </c>
      <c r="I84" s="79">
        <f t="shared" si="42"/>
        <v>1048434.5370292065</v>
      </c>
      <c r="J84" s="79">
        <f t="shared" si="42"/>
        <v>1085057.3140535478</v>
      </c>
      <c r="K84" s="79">
        <f t="shared" si="42"/>
        <v>1123003.7284577719</v>
      </c>
    </row>
    <row r="85" spans="1:11" s="48" customFormat="1" ht="15" customHeight="1" x14ac:dyDescent="0.35">
      <c r="A85" s="66"/>
      <c r="B85" s="72" t="s">
        <v>37</v>
      </c>
      <c r="C85" s="21"/>
      <c r="D85" s="51">
        <f t="shared" ref="D85:K85" si="43">D84/D73</f>
        <v>0.71804091047662799</v>
      </c>
      <c r="E85" s="51">
        <f t="shared" si="43"/>
        <v>0.71931900780004521</v>
      </c>
      <c r="F85" s="51">
        <f t="shared" si="43"/>
        <v>0.72031579874305052</v>
      </c>
      <c r="G85" s="51">
        <f t="shared" si="43"/>
        <v>0.7036537539602703</v>
      </c>
      <c r="H85" s="51">
        <f t="shared" si="43"/>
        <v>0.70398015376390921</v>
      </c>
      <c r="I85" s="51">
        <f t="shared" si="43"/>
        <v>0.70430351051337992</v>
      </c>
      <c r="J85" s="51">
        <f t="shared" si="43"/>
        <v>0.70462383150876451</v>
      </c>
      <c r="K85" s="51">
        <f t="shared" si="43"/>
        <v>0.70494112470981907</v>
      </c>
    </row>
    <row r="86" spans="1:11" ht="15" customHeight="1" x14ac:dyDescent="0.35">
      <c r="A86" s="66"/>
      <c r="B86" s="65"/>
    </row>
    <row r="87" spans="1:11" ht="15" customHeight="1" x14ac:dyDescent="0.35">
      <c r="A87" s="66"/>
      <c r="B87" s="65" t="s">
        <v>35</v>
      </c>
    </row>
    <row r="88" spans="1:11" ht="15" customHeight="1" x14ac:dyDescent="0.35">
      <c r="A88" s="66"/>
      <c r="B88" s="67" t="s">
        <v>18</v>
      </c>
      <c r="C88" s="53"/>
      <c r="D88" s="56">
        <f t="shared" ref="D88:F90" si="44">D81/D70</f>
        <v>0.7059481481481481</v>
      </c>
      <c r="E88" s="56">
        <f t="shared" si="44"/>
        <v>0.71024032637602863</v>
      </c>
      <c r="F88" s="56">
        <f t="shared" si="44"/>
        <v>0.71184623514851908</v>
      </c>
      <c r="G88" s="52">
        <v>0.71199999999999997</v>
      </c>
      <c r="H88" s="52">
        <v>0.71199999999999997</v>
      </c>
      <c r="I88" s="52">
        <v>0.71199999999999997</v>
      </c>
      <c r="J88" s="52">
        <v>0.71199999999999997</v>
      </c>
      <c r="K88" s="52">
        <v>0.71199999999999997</v>
      </c>
    </row>
    <row r="89" spans="1:11" ht="15" customHeight="1" x14ac:dyDescent="0.35">
      <c r="A89" s="66"/>
      <c r="B89" s="67" t="s">
        <v>19</v>
      </c>
      <c r="C89" s="53"/>
      <c r="D89" s="56">
        <f t="shared" si="44"/>
        <v>0.73654279030763115</v>
      </c>
      <c r="E89" s="56">
        <f t="shared" si="44"/>
        <v>0.73577169002182807</v>
      </c>
      <c r="F89" s="56">
        <f t="shared" si="44"/>
        <v>0.73943711834599213</v>
      </c>
      <c r="G89" s="52">
        <v>0.74</v>
      </c>
      <c r="H89" s="52">
        <v>0.74</v>
      </c>
      <c r="I89" s="52">
        <v>0.74</v>
      </c>
      <c r="J89" s="52">
        <v>0.74</v>
      </c>
      <c r="K89" s="52">
        <v>0.74</v>
      </c>
    </row>
    <row r="90" spans="1:11" ht="15" customHeight="1" x14ac:dyDescent="0.35">
      <c r="A90" s="66"/>
      <c r="B90" s="67" t="s">
        <v>20</v>
      </c>
      <c r="C90" s="53"/>
      <c r="D90" s="56">
        <f t="shared" si="44"/>
        <v>0.70950800657280022</v>
      </c>
      <c r="E90" s="56">
        <f t="shared" si="44"/>
        <v>0.7058437123430098</v>
      </c>
      <c r="F90" s="56">
        <f t="shared" si="44"/>
        <v>0.69927914596765672</v>
      </c>
      <c r="G90" s="52">
        <v>0.6</v>
      </c>
      <c r="H90" s="52">
        <v>0.6</v>
      </c>
      <c r="I90" s="52">
        <v>0.6</v>
      </c>
      <c r="J90" s="52">
        <v>0.6</v>
      </c>
      <c r="K90" s="52">
        <v>0.6</v>
      </c>
    </row>
    <row r="91" spans="1:11" ht="15" customHeight="1" x14ac:dyDescent="0.35">
      <c r="A91" s="66"/>
    </row>
    <row r="92" spans="1:11" s="49" customFormat="1" ht="15" customHeight="1" x14ac:dyDescent="0.35">
      <c r="A92" s="63" t="s">
        <v>38</v>
      </c>
      <c r="C92" s="54"/>
      <c r="D92"/>
      <c r="E92"/>
      <c r="F92"/>
      <c r="G92"/>
      <c r="H92"/>
      <c r="I92"/>
      <c r="J92"/>
      <c r="K92"/>
    </row>
    <row r="93" spans="1:11" s="49" customFormat="1" ht="15" customHeight="1" x14ac:dyDescent="0.35">
      <c r="A93" s="66"/>
      <c r="B93" s="67" t="s">
        <v>39</v>
      </c>
      <c r="C93" s="53"/>
      <c r="D93" s="87">
        <v>75324</v>
      </c>
      <c r="E93" s="87">
        <v>44589</v>
      </c>
      <c r="F93" s="87">
        <v>39503</v>
      </c>
      <c r="G93" s="78">
        <f>(1+G94)*F93</f>
        <v>35552.700000000004</v>
      </c>
      <c r="H93" s="78">
        <f t="shared" ref="H93:K93" si="45">(1+H94)*G93</f>
        <v>31997.430000000004</v>
      </c>
      <c r="I93" s="78">
        <f t="shared" si="45"/>
        <v>28797.687000000005</v>
      </c>
      <c r="J93" s="78">
        <f t="shared" si="45"/>
        <v>25917.918300000005</v>
      </c>
      <c r="K93" s="78">
        <f t="shared" si="45"/>
        <v>23326.126470000007</v>
      </c>
    </row>
    <row r="94" spans="1:11" s="49" customFormat="1" ht="15" customHeight="1" x14ac:dyDescent="0.35">
      <c r="A94" s="66"/>
      <c r="B94" s="67" t="s">
        <v>41</v>
      </c>
      <c r="C94" s="53"/>
      <c r="D94" s="56"/>
      <c r="E94" s="56">
        <f>E93/D93-1</f>
        <v>-0.40803727895491482</v>
      </c>
      <c r="F94" s="56">
        <f>F93/E93-1</f>
        <v>-0.11406400681782503</v>
      </c>
      <c r="G94" s="52">
        <v>-0.1</v>
      </c>
      <c r="H94" s="52">
        <v>-0.1</v>
      </c>
      <c r="I94" s="52">
        <v>-0.1</v>
      </c>
      <c r="J94" s="52">
        <v>-0.1</v>
      </c>
      <c r="K94" s="52">
        <v>-0.1</v>
      </c>
    </row>
    <row r="95" spans="1:11" s="49" customFormat="1" ht="15" customHeight="1" x14ac:dyDescent="0.35">
      <c r="A95" s="66"/>
    </row>
    <row r="96" spans="1:11" ht="15" customHeight="1" x14ac:dyDescent="0.35">
      <c r="A96" s="66"/>
      <c r="B96" s="67" t="s">
        <v>40</v>
      </c>
      <c r="C96" s="53"/>
      <c r="D96" s="87">
        <v>57790</v>
      </c>
      <c r="E96" s="87">
        <v>36821</v>
      </c>
      <c r="F96" s="87">
        <v>32125</v>
      </c>
      <c r="G96" s="78">
        <f>G97*G93</f>
        <v>28797.687000000005</v>
      </c>
      <c r="H96" s="78">
        <f>H97*H93</f>
        <v>25917.918300000005</v>
      </c>
      <c r="I96" s="78">
        <f>I97*I93</f>
        <v>23326.126470000007</v>
      </c>
      <c r="J96" s="78">
        <f>J97*J93</f>
        <v>20993.513823000005</v>
      </c>
      <c r="K96" s="78">
        <f>K97*K93</f>
        <v>18894.162440700005</v>
      </c>
    </row>
    <row r="97" spans="1:12" ht="15" customHeight="1" x14ac:dyDescent="0.35">
      <c r="A97" s="66"/>
      <c r="B97" s="67" t="s">
        <v>42</v>
      </c>
      <c r="C97" s="53"/>
      <c r="D97" s="57">
        <f>D96/D93</f>
        <v>0.76721894748021879</v>
      </c>
      <c r="E97" s="57">
        <f>E96/E93</f>
        <v>0.82578662898921262</v>
      </c>
      <c r="F97" s="57">
        <f>F96/F93</f>
        <v>0.81322937498417847</v>
      </c>
      <c r="G97" s="52">
        <v>0.81</v>
      </c>
      <c r="H97" s="52">
        <v>0.81</v>
      </c>
      <c r="I97" s="52">
        <v>0.81</v>
      </c>
      <c r="J97" s="52">
        <v>0.81</v>
      </c>
      <c r="K97" s="52">
        <v>0.81</v>
      </c>
    </row>
    <row r="98" spans="1:12" s="48" customFormat="1" ht="15" customHeight="1" x14ac:dyDescent="0.35">
      <c r="A98" s="66"/>
      <c r="B98" s="67"/>
      <c r="C98" s="53"/>
      <c r="D98" s="57"/>
      <c r="E98" s="57"/>
      <c r="F98"/>
      <c r="G98"/>
      <c r="H98"/>
      <c r="I98"/>
      <c r="J98"/>
      <c r="K98"/>
      <c r="L98"/>
    </row>
    <row r="99" spans="1:12" ht="15" customHeight="1" x14ac:dyDescent="0.35">
      <c r="A99" s="63" t="s">
        <v>43</v>
      </c>
      <c r="B99" s="65"/>
      <c r="C99" s="54"/>
      <c r="D99" s="87">
        <v>175657</v>
      </c>
      <c r="E99" s="87">
        <f>183114+90000</f>
        <v>273114</v>
      </c>
      <c r="F99" s="87">
        <v>139425</v>
      </c>
      <c r="G99" s="84">
        <v>200000</v>
      </c>
      <c r="H99" s="84">
        <v>200000</v>
      </c>
      <c r="I99" s="84">
        <v>200000</v>
      </c>
      <c r="J99" s="84">
        <v>200000</v>
      </c>
      <c r="K99" s="84">
        <v>200000</v>
      </c>
    </row>
    <row r="100" spans="1:12" s="48" customFormat="1" ht="15" customHeight="1" x14ac:dyDescent="0.35">
      <c r="A100" s="66"/>
      <c r="B100" s="65" t="s">
        <v>44</v>
      </c>
      <c r="D100"/>
      <c r="E100" s="61">
        <v>0.05</v>
      </c>
      <c r="F100" s="61">
        <v>5.1999999999999998E-2</v>
      </c>
      <c r="G100" s="52">
        <v>0.05</v>
      </c>
      <c r="H100" s="52">
        <v>0.05</v>
      </c>
      <c r="I100" s="52">
        <v>0.05</v>
      </c>
      <c r="J100" s="52">
        <v>0.05</v>
      </c>
      <c r="K100" s="52">
        <v>0.05</v>
      </c>
    </row>
    <row r="101" spans="1:12" s="48" customFormat="1" ht="15" customHeight="1" x14ac:dyDescent="0.35">
      <c r="A101" s="66"/>
      <c r="B101" s="65" t="s">
        <v>45</v>
      </c>
      <c r="D101"/>
      <c r="E101" s="87">
        <v>8750</v>
      </c>
      <c r="F101" s="87">
        <v>14196</v>
      </c>
      <c r="G101" s="78">
        <f>F99*F100</f>
        <v>7250.0999999999995</v>
      </c>
      <c r="H101" s="78">
        <f t="shared" ref="H101:K101" si="46">G99*G100</f>
        <v>10000</v>
      </c>
      <c r="I101" s="78">
        <f t="shared" si="46"/>
        <v>10000</v>
      </c>
      <c r="J101" s="78">
        <f t="shared" si="46"/>
        <v>10000</v>
      </c>
      <c r="K101" s="78">
        <f t="shared" si="46"/>
        <v>10000</v>
      </c>
    </row>
    <row r="102" spans="1:12" s="48" customFormat="1" ht="15" customHeight="1" x14ac:dyDescent="0.35">
      <c r="A102" s="66"/>
      <c r="B102" s="65" t="s">
        <v>62</v>
      </c>
      <c r="E102" s="57">
        <f>E101/E104</f>
        <v>0.71656702972729502</v>
      </c>
      <c r="F102" s="57">
        <f>F101/F104</f>
        <v>0.72617525193104504</v>
      </c>
      <c r="G102" s="60">
        <v>0.72</v>
      </c>
      <c r="H102" s="60">
        <v>0.72</v>
      </c>
      <c r="I102" s="60">
        <v>0.72</v>
      </c>
      <c r="J102" s="60">
        <v>0.72</v>
      </c>
      <c r="K102" s="60">
        <v>0.72</v>
      </c>
    </row>
    <row r="103" spans="1:12" s="48" customFormat="1" ht="15" customHeight="1" x14ac:dyDescent="0.35">
      <c r="A103" s="66"/>
      <c r="B103" s="65"/>
    </row>
    <row r="104" spans="1:12" s="48" customFormat="1" ht="15" customHeight="1" x14ac:dyDescent="0.35">
      <c r="A104" s="66"/>
      <c r="B104" s="65" t="s">
        <v>67</v>
      </c>
      <c r="D104" s="78"/>
      <c r="E104" s="87">
        <v>12211</v>
      </c>
      <c r="F104" s="87">
        <v>19549</v>
      </c>
      <c r="G104" s="78">
        <f>G101/G102</f>
        <v>10069.583333333332</v>
      </c>
      <c r="H104" s="78">
        <f t="shared" ref="H104:K104" si="47">H101/H102</f>
        <v>13888.888888888889</v>
      </c>
      <c r="I104" s="78">
        <f t="shared" si="47"/>
        <v>13888.888888888889</v>
      </c>
      <c r="J104" s="78">
        <f t="shared" si="47"/>
        <v>13888.888888888889</v>
      </c>
      <c r="K104" s="78">
        <f t="shared" si="47"/>
        <v>13888.888888888889</v>
      </c>
    </row>
    <row r="105" spans="1:12" s="48" customFormat="1" ht="15" customHeight="1" x14ac:dyDescent="0.35">
      <c r="A105" s="66"/>
      <c r="B105" s="65"/>
      <c r="D105" s="78"/>
      <c r="E105" s="78"/>
      <c r="F105" s="133"/>
      <c r="G105" s="78"/>
      <c r="H105" s="78"/>
      <c r="I105" s="78"/>
      <c r="J105" s="78"/>
      <c r="K105" s="78"/>
    </row>
    <row r="106" spans="1:12" s="48" customFormat="1" ht="15" customHeight="1" x14ac:dyDescent="0.35">
      <c r="A106" s="63" t="s">
        <v>80</v>
      </c>
      <c r="B106" s="65"/>
      <c r="C106" s="54"/>
      <c r="D106" s="78"/>
      <c r="E106" s="78"/>
      <c r="F106" s="78"/>
      <c r="G106" s="78"/>
      <c r="H106" s="78"/>
      <c r="I106" s="78"/>
      <c r="J106" s="78"/>
      <c r="K106" s="78"/>
    </row>
    <row r="107" spans="1:12" s="48" customFormat="1" ht="15" customHeight="1" x14ac:dyDescent="0.35">
      <c r="A107" s="66"/>
      <c r="B107" s="70" t="s">
        <v>81</v>
      </c>
      <c r="C107" s="55">
        <v>3</v>
      </c>
      <c r="D107" s="78"/>
      <c r="E107" s="78"/>
      <c r="F107" s="78"/>
      <c r="G107" s="78"/>
      <c r="H107" s="78"/>
      <c r="I107" s="78"/>
      <c r="J107" s="78"/>
      <c r="K107" s="78"/>
    </row>
    <row r="108" spans="1:12" s="48" customFormat="1" ht="15" customHeight="1" x14ac:dyDescent="0.35">
      <c r="A108" s="66"/>
      <c r="B108" s="70" t="s">
        <v>59</v>
      </c>
      <c r="C108" s="54"/>
      <c r="D108" s="87">
        <v>100078</v>
      </c>
      <c r="E108" s="87">
        <v>188143</v>
      </c>
      <c r="F108" s="87">
        <v>150675</v>
      </c>
      <c r="G108" s="84">
        <v>150000</v>
      </c>
      <c r="H108" s="84">
        <v>150000</v>
      </c>
      <c r="I108" s="84">
        <v>150000</v>
      </c>
      <c r="J108" s="84">
        <v>150000</v>
      </c>
      <c r="K108" s="84">
        <v>150000</v>
      </c>
    </row>
    <row r="109" spans="1:12" s="48" customFormat="1" ht="15" customHeight="1" x14ac:dyDescent="0.35">
      <c r="A109" s="66"/>
      <c r="B109" s="70"/>
      <c r="C109" s="54"/>
      <c r="D109" s="78"/>
      <c r="E109" s="78"/>
      <c r="F109" s="78"/>
      <c r="G109"/>
      <c r="H109"/>
      <c r="I109"/>
      <c r="J109"/>
      <c r="K109"/>
    </row>
    <row r="110" spans="1:12" s="48" customFormat="1" ht="15" customHeight="1" x14ac:dyDescent="0.35">
      <c r="A110" s="66"/>
      <c r="B110" s="70" t="s">
        <v>26</v>
      </c>
      <c r="C110" s="54"/>
      <c r="D110" s="78">
        <f>MIN($D$108/$C$107,$D$108-SUM($C$110:C110))</f>
        <v>33359.333333333336</v>
      </c>
      <c r="E110" s="78">
        <f>MIN($D$108/$C$107,$D$108-SUM($C$110:D110))</f>
        <v>33359.333333333336</v>
      </c>
      <c r="F110" s="78">
        <f>MIN($D$108/$C$107,$D$108-SUM($C$110:E110))</f>
        <v>33359.333333333328</v>
      </c>
      <c r="G110" s="78">
        <f>MIN($D$108/$C$107,$D$108-SUM($C$110:F110))</f>
        <v>0</v>
      </c>
      <c r="H110" s="78">
        <f>MIN($D$108/$C$107,$D$108-SUM($C$110:G110))</f>
        <v>0</v>
      </c>
      <c r="I110" s="78">
        <f>MIN($D$108/$C$107,$D$108-SUM($C$110:H110))</f>
        <v>0</v>
      </c>
      <c r="J110" s="78">
        <f>MIN($D$108/$C$107,$D$108-SUM($C$110:I110))</f>
        <v>0</v>
      </c>
      <c r="K110" s="78">
        <f>MIN($D$108/$C$107,$D$108-SUM($C$110:J110))</f>
        <v>0</v>
      </c>
    </row>
    <row r="111" spans="1:12" s="48" customFormat="1" ht="15" customHeight="1" x14ac:dyDescent="0.35">
      <c r="A111" s="66"/>
      <c r="B111" s="70" t="s">
        <v>27</v>
      </c>
      <c r="C111" s="54"/>
      <c r="D111" s="78"/>
      <c r="E111" s="78">
        <f>MIN($E$108/$C$107,$E108-SUM($C$111:D111))</f>
        <v>62714.333333333336</v>
      </c>
      <c r="F111" s="78">
        <f>MIN($E$108/$C$107,$E108-SUM($C$111:E111))</f>
        <v>62714.333333333336</v>
      </c>
      <c r="G111" s="78">
        <f>MIN($E$108/$C$107,$E108-SUM($C$111:F111))</f>
        <v>62714.333333333328</v>
      </c>
      <c r="H111" s="78">
        <f>MIN($E$108/$C$107,$E108-SUM($C$111:G111))</f>
        <v>0</v>
      </c>
      <c r="I111" s="78">
        <f>MIN($E$108/$C$107,$E108-SUM($C$111:H111))</f>
        <v>0</v>
      </c>
      <c r="J111" s="78">
        <f>MIN($E$108/$C$107,$E108-SUM($C$111:I111))</f>
        <v>0</v>
      </c>
      <c r="K111" s="78">
        <f>MIN($E$108/$C$107,$E108-SUM($C$111:J111))</f>
        <v>0</v>
      </c>
    </row>
    <row r="112" spans="1:12" s="48" customFormat="1" ht="15" customHeight="1" x14ac:dyDescent="0.35">
      <c r="A112" s="66"/>
      <c r="B112" s="70" t="s">
        <v>28</v>
      </c>
      <c r="C112" s="54"/>
      <c r="D112" s="78"/>
      <c r="E112" s="78"/>
      <c r="F112" s="78">
        <f>MIN($F$108/$C$107,$F$108-SUM($C$112:E112))</f>
        <v>50225</v>
      </c>
      <c r="G112" s="78">
        <f>MIN($F$108/$C$107,$F$108-SUM($C$112:F112))</f>
        <v>50225</v>
      </c>
      <c r="H112" s="78">
        <f>MIN($F$108/$C$107,$F$108-SUM($C$112:G112))</f>
        <v>50225</v>
      </c>
      <c r="I112" s="78">
        <f>MIN($F$108/$C$107,$F$108-SUM($C$112:H112))</f>
        <v>0</v>
      </c>
      <c r="J112" s="78">
        <f>MIN($F$108/$C$107,$F$108-SUM($C$112:I112))</f>
        <v>0</v>
      </c>
      <c r="K112" s="78">
        <f>MIN($F$108/$C$107,$F$108-SUM($C$112:J112))</f>
        <v>0</v>
      </c>
    </row>
    <row r="113" spans="1:11" s="48" customFormat="1" ht="15" customHeight="1" x14ac:dyDescent="0.35">
      <c r="A113" s="66"/>
      <c r="B113" s="70" t="s">
        <v>29</v>
      </c>
      <c r="C113" s="54"/>
      <c r="D113" s="78"/>
      <c r="E113" s="78"/>
      <c r="F113" s="78"/>
      <c r="G113" s="78">
        <f>MIN($G$108/$C$107,$G$108-SUM(C113:F113))</f>
        <v>50000</v>
      </c>
      <c r="H113" s="78">
        <f t="shared" ref="H113:K113" si="48">MIN($G$108/$C$107,$G$108-SUM(D113:G113))</f>
        <v>50000</v>
      </c>
      <c r="I113" s="78">
        <f t="shared" si="48"/>
        <v>50000</v>
      </c>
      <c r="J113" s="78">
        <f t="shared" si="48"/>
        <v>0</v>
      </c>
      <c r="K113" s="78">
        <f t="shared" si="48"/>
        <v>0</v>
      </c>
    </row>
    <row r="114" spans="1:11" s="48" customFormat="1" ht="15" customHeight="1" x14ac:dyDescent="0.35">
      <c r="A114" s="66"/>
      <c r="B114" s="70" t="s">
        <v>30</v>
      </c>
      <c r="C114" s="54"/>
      <c r="D114" s="78"/>
      <c r="E114" s="78"/>
      <c r="F114" s="78"/>
      <c r="G114" s="78"/>
      <c r="H114" s="78">
        <f>MIN($H$108/$C$107,$H$108-SUM(C114:G114))</f>
        <v>50000</v>
      </c>
      <c r="I114" s="78">
        <f t="shared" ref="I114:K114" si="49">MIN($H$108/$C$107,$H$108-SUM(D114:H114))</f>
        <v>50000</v>
      </c>
      <c r="J114" s="78">
        <f t="shared" si="49"/>
        <v>50000</v>
      </c>
      <c r="K114" s="78">
        <f t="shared" si="49"/>
        <v>0</v>
      </c>
    </row>
    <row r="115" spans="1:11" s="48" customFormat="1" ht="15" customHeight="1" x14ac:dyDescent="0.35">
      <c r="A115" s="66"/>
      <c r="B115" s="70" t="s">
        <v>49</v>
      </c>
      <c r="C115" s="54"/>
      <c r="D115" s="78"/>
      <c r="E115" s="78"/>
      <c r="F115" s="78"/>
      <c r="G115" s="78"/>
      <c r="H115" s="78"/>
      <c r="I115" s="78">
        <f>MIN($I$108/$C$107,$I$108-SUM(C115:H115))</f>
        <v>50000</v>
      </c>
      <c r="J115" s="78">
        <f t="shared" ref="J115:K115" si="50">MIN($I$108/$C$107,$I$108-SUM(D115:I115))</f>
        <v>50000</v>
      </c>
      <c r="K115" s="78">
        <f t="shared" si="50"/>
        <v>50000</v>
      </c>
    </row>
    <row r="116" spans="1:11" s="48" customFormat="1" ht="15" customHeight="1" x14ac:dyDescent="0.35">
      <c r="A116" s="66"/>
      <c r="B116" s="70" t="s">
        <v>50</v>
      </c>
      <c r="C116" s="54"/>
      <c r="D116" s="78"/>
      <c r="E116" s="78"/>
      <c r="F116" s="78"/>
      <c r="G116" s="78"/>
      <c r="H116" s="78"/>
      <c r="I116" s="78"/>
      <c r="J116" s="78">
        <f>MIN(J108/$C$107,$J$108-SUM($C$116:I116))</f>
        <v>50000</v>
      </c>
      <c r="K116" s="78">
        <f>MIN(K108/$C$107,$J$108-SUM($C$116:J116))</f>
        <v>50000</v>
      </c>
    </row>
    <row r="117" spans="1:11" s="48" customFormat="1" ht="15" customHeight="1" x14ac:dyDescent="0.35">
      <c r="A117" s="66"/>
      <c r="B117" s="70" t="s">
        <v>51</v>
      </c>
      <c r="C117" s="54"/>
      <c r="D117" s="78"/>
      <c r="E117" s="78"/>
      <c r="F117" s="78"/>
      <c r="G117" s="78"/>
      <c r="H117" s="78"/>
      <c r="I117" s="78"/>
      <c r="J117" s="78"/>
      <c r="K117" s="78">
        <f>MIN($K$108/$C$107,$K$108-SUM(C117:J117))</f>
        <v>50000</v>
      </c>
    </row>
    <row r="118" spans="1:11" s="48" customFormat="1" ht="15" customHeight="1" x14ac:dyDescent="0.35">
      <c r="A118" s="66"/>
      <c r="B118" s="71" t="s">
        <v>55</v>
      </c>
      <c r="C118" s="58"/>
      <c r="D118" s="79">
        <f>SUM(D110:D117)</f>
        <v>33359.333333333336</v>
      </c>
      <c r="E118" s="79">
        <f t="shared" ref="E118:K118" si="51">SUM(E110:E117)</f>
        <v>96073.666666666672</v>
      </c>
      <c r="F118" s="79">
        <f t="shared" si="51"/>
        <v>146298.66666666666</v>
      </c>
      <c r="G118" s="79">
        <f t="shared" si="51"/>
        <v>162939.33333333331</v>
      </c>
      <c r="H118" s="79">
        <f t="shared" si="51"/>
        <v>150225</v>
      </c>
      <c r="I118" s="79">
        <f t="shared" si="51"/>
        <v>150000</v>
      </c>
      <c r="J118" s="79">
        <f t="shared" si="51"/>
        <v>150000</v>
      </c>
      <c r="K118" s="79">
        <f t="shared" si="51"/>
        <v>150000</v>
      </c>
    </row>
    <row r="119" spans="1:11" s="48" customFormat="1" ht="15" customHeight="1" x14ac:dyDescent="0.35">
      <c r="A119" s="66"/>
      <c r="B119" s="70"/>
      <c r="C119" s="54"/>
    </row>
    <row r="120" spans="1:11" s="48" customFormat="1" ht="15" customHeight="1" x14ac:dyDescent="0.35">
      <c r="A120" s="66"/>
      <c r="B120" s="70" t="s">
        <v>60</v>
      </c>
      <c r="C120" s="54"/>
      <c r="D120" s="87">
        <v>115678</v>
      </c>
      <c r="E120" s="87">
        <v>303123</v>
      </c>
      <c r="F120" s="87">
        <v>395761</v>
      </c>
      <c r="G120" s="89">
        <f>SUM(E111:G111)</f>
        <v>188143</v>
      </c>
      <c r="H120" s="89">
        <f>SUM(F112:H112)</f>
        <v>150675</v>
      </c>
      <c r="I120" s="89">
        <f>SUM(G113:I113)</f>
        <v>150000</v>
      </c>
      <c r="J120" s="89">
        <f>SUM(H114:J114)</f>
        <v>150000</v>
      </c>
      <c r="K120" s="89">
        <f>SUM(I115:K115)</f>
        <v>150000</v>
      </c>
    </row>
    <row r="121" spans="1:11" s="48" customFormat="1" ht="15" customHeight="1" x14ac:dyDescent="0.35">
      <c r="A121" s="66"/>
      <c r="B121" s="70" t="s">
        <v>64</v>
      </c>
      <c r="C121" s="54"/>
      <c r="D121" s="87">
        <v>7211</v>
      </c>
      <c r="E121" s="87">
        <v>24675</v>
      </c>
      <c r="F121" s="87">
        <v>21234</v>
      </c>
      <c r="G121" s="78">
        <f>G123*G120</f>
        <v>11288.58</v>
      </c>
      <c r="H121" s="78">
        <f t="shared" ref="H121:K121" si="52">H123*H120</f>
        <v>9040.5</v>
      </c>
      <c r="I121" s="78">
        <f t="shared" si="52"/>
        <v>9000</v>
      </c>
      <c r="J121" s="78">
        <f t="shared" si="52"/>
        <v>9000</v>
      </c>
      <c r="K121" s="78">
        <f t="shared" si="52"/>
        <v>9000</v>
      </c>
    </row>
    <row r="122" spans="1:11" s="48" customFormat="1" ht="15" customHeight="1" x14ac:dyDescent="0.35">
      <c r="A122" s="66"/>
      <c r="B122" s="70"/>
      <c r="C122" s="54"/>
    </row>
    <row r="123" spans="1:11" s="48" customFormat="1" ht="15" customHeight="1" x14ac:dyDescent="0.35">
      <c r="A123" s="66"/>
      <c r="B123" s="70" t="s">
        <v>61</v>
      </c>
      <c r="C123" s="54"/>
      <c r="D123" s="57">
        <f>D121/D120</f>
        <v>6.2336831549646435E-2</v>
      </c>
      <c r="E123" s="57">
        <f t="shared" ref="E123:F123" si="53">E121/E120</f>
        <v>8.1402598944982724E-2</v>
      </c>
      <c r="F123" s="57">
        <f t="shared" si="53"/>
        <v>5.3653593962012427E-2</v>
      </c>
      <c r="G123" s="60">
        <v>0.06</v>
      </c>
      <c r="H123" s="60">
        <v>0.06</v>
      </c>
      <c r="I123" s="60">
        <v>0.06</v>
      </c>
      <c r="J123" s="60">
        <v>0.06</v>
      </c>
      <c r="K123" s="60">
        <v>0.06</v>
      </c>
    </row>
    <row r="124" spans="1:11" ht="15" customHeight="1" x14ac:dyDescent="0.35">
      <c r="A124" s="66"/>
      <c r="B124" s="70" t="s">
        <v>56</v>
      </c>
      <c r="G124" s="60">
        <v>0.5</v>
      </c>
      <c r="H124" s="60">
        <v>0.5</v>
      </c>
      <c r="I124" s="60">
        <v>0.5</v>
      </c>
      <c r="J124" s="60">
        <v>0.5</v>
      </c>
      <c r="K124" s="60">
        <v>0.5</v>
      </c>
    </row>
    <row r="125" spans="1:11" s="48" customFormat="1" ht="15" customHeight="1" x14ac:dyDescent="0.35">
      <c r="A125" s="66"/>
      <c r="B125" s="70" t="s">
        <v>65</v>
      </c>
      <c r="D125" s="78"/>
      <c r="E125" s="78"/>
      <c r="F125" s="78"/>
      <c r="G125" s="78">
        <f>G121/G124</f>
        <v>22577.16</v>
      </c>
      <c r="H125" s="78">
        <f t="shared" ref="H125:K125" si="54">H121/H124</f>
        <v>18081</v>
      </c>
      <c r="I125" s="78">
        <f t="shared" si="54"/>
        <v>18000</v>
      </c>
      <c r="J125" s="78">
        <f t="shared" si="54"/>
        <v>18000</v>
      </c>
      <c r="K125" s="78">
        <f t="shared" si="54"/>
        <v>18000</v>
      </c>
    </row>
    <row r="126" spans="1:11" s="48" customFormat="1" ht="15" customHeight="1" x14ac:dyDescent="0.35">
      <c r="A126" s="66"/>
      <c r="B126" s="65"/>
      <c r="D126" s="78"/>
      <c r="E126" s="78"/>
      <c r="F126" s="78"/>
      <c r="G126" s="78"/>
      <c r="H126" s="78"/>
      <c r="I126" s="78"/>
      <c r="J126" s="78"/>
      <c r="K126" s="78"/>
    </row>
    <row r="127" spans="1:11" ht="15" customHeight="1" x14ac:dyDescent="0.35">
      <c r="A127" s="64" t="s">
        <v>48</v>
      </c>
      <c r="B127" s="65"/>
      <c r="D127" s="78"/>
      <c r="E127" s="78"/>
      <c r="F127" s="78"/>
      <c r="G127" s="78"/>
      <c r="H127" s="78"/>
      <c r="I127" s="78"/>
      <c r="J127" s="78"/>
      <c r="K127" s="78"/>
    </row>
    <row r="128" spans="1:11" ht="15" customHeight="1" x14ac:dyDescent="0.35">
      <c r="A128" s="66"/>
      <c r="B128" s="65" t="s">
        <v>46</v>
      </c>
      <c r="C128" s="55">
        <v>3</v>
      </c>
      <c r="D128" s="78"/>
      <c r="E128" s="78"/>
      <c r="F128" s="78"/>
      <c r="G128" s="78"/>
      <c r="H128" s="78"/>
      <c r="I128" s="78"/>
      <c r="J128" s="78"/>
      <c r="K128" s="78"/>
    </row>
    <row r="129" spans="1:12" ht="15" customHeight="1" x14ac:dyDescent="0.35">
      <c r="A129" s="66"/>
      <c r="B129" s="65" t="s">
        <v>47</v>
      </c>
      <c r="D129" s="78"/>
      <c r="E129" s="78"/>
      <c r="F129" s="78"/>
      <c r="G129" s="78"/>
      <c r="H129" s="78"/>
      <c r="I129" s="78"/>
      <c r="J129" s="78"/>
      <c r="K129" s="78"/>
    </row>
    <row r="130" spans="1:12" s="48" customFormat="1" ht="15" customHeight="1" x14ac:dyDescent="0.35">
      <c r="A130" s="66"/>
      <c r="B130" s="65"/>
      <c r="D130" s="78"/>
      <c r="E130" s="78"/>
      <c r="F130" s="78"/>
      <c r="G130" s="78"/>
      <c r="H130" s="78"/>
      <c r="I130" s="78"/>
      <c r="J130" s="78"/>
      <c r="K130" s="78"/>
    </row>
    <row r="131" spans="1:12" ht="15" customHeight="1" x14ac:dyDescent="0.35">
      <c r="A131" s="66"/>
      <c r="B131" s="65" t="s">
        <v>58</v>
      </c>
      <c r="D131" s="87">
        <v>65500</v>
      </c>
      <c r="E131" s="87">
        <v>43651</v>
      </c>
      <c r="F131" s="87">
        <v>55000</v>
      </c>
      <c r="G131" s="84">
        <v>75000</v>
      </c>
      <c r="H131" s="84">
        <v>75000</v>
      </c>
      <c r="I131" s="84">
        <v>75000</v>
      </c>
      <c r="J131" s="84">
        <v>75000</v>
      </c>
      <c r="K131" s="84">
        <v>75000</v>
      </c>
    </row>
    <row r="132" spans="1:12" s="48" customFormat="1" ht="15" customHeight="1" x14ac:dyDescent="0.35">
      <c r="A132" s="66"/>
      <c r="B132" s="65"/>
      <c r="D132" s="78"/>
      <c r="E132" s="78"/>
      <c r="F132" s="78"/>
      <c r="G132" s="78"/>
      <c r="H132" s="78"/>
      <c r="I132" s="78"/>
      <c r="J132" s="78"/>
      <c r="K132" s="78"/>
      <c r="L132"/>
    </row>
    <row r="133" spans="1:12" ht="15" customHeight="1" x14ac:dyDescent="0.35">
      <c r="A133" s="66"/>
      <c r="B133" s="65" t="s">
        <v>24</v>
      </c>
      <c r="D133" s="78">
        <f>MIN($D$131/$C$128,$D$131-SUM($C$133:C133))</f>
        <v>21833.333333333332</v>
      </c>
      <c r="E133" s="78">
        <f>MIN($D$131/$C$128,$D$131-SUM(D133))</f>
        <v>21833.333333333332</v>
      </c>
      <c r="F133" s="78">
        <f>MIN($D$131/$C$128,$D$131-SUM($C$133:E133))</f>
        <v>21833.333333333332</v>
      </c>
      <c r="G133" s="78">
        <f>MIN($D$131/$C$128,$D$131-SUM($C$133:F133))</f>
        <v>0</v>
      </c>
      <c r="H133" s="78">
        <f>MIN($D$131/$C$128,$D$131-SUM($C$133:G133))</f>
        <v>0</v>
      </c>
      <c r="I133" s="78">
        <f>MIN($D$131/$C$128,$D$131-SUM($C$133:H133))</f>
        <v>0</v>
      </c>
      <c r="J133" s="78">
        <f>MIN($D$131/$C$128,$D$131-SUM($C$133:I133))</f>
        <v>0</v>
      </c>
      <c r="K133" s="78">
        <f>MIN($D$131/$C$128,$D$131-SUM($C$133:J133))</f>
        <v>0</v>
      </c>
    </row>
    <row r="134" spans="1:12" ht="15" customHeight="1" x14ac:dyDescent="0.35">
      <c r="A134" s="66"/>
      <c r="B134" s="65" t="s">
        <v>23</v>
      </c>
      <c r="D134" s="78"/>
      <c r="E134" s="78">
        <f>MIN($E$131/$C$128,$E$131-SUM($C$134:D134))</f>
        <v>14550.333333333334</v>
      </c>
      <c r="F134" s="78">
        <f>MIN($E$131/$C$128,$E$131-SUM($C$134:E134))</f>
        <v>14550.333333333334</v>
      </c>
      <c r="G134" s="78">
        <f>MIN($E$131/$C$128,$E$131-SUM($C$134:F134))</f>
        <v>14550.333333333332</v>
      </c>
      <c r="H134" s="78">
        <f>MIN($E$131/$C$128,$E$131-SUM($C$134:G134))</f>
        <v>0</v>
      </c>
      <c r="I134" s="78">
        <f>MIN($E$131/$C$128,$E$131-SUM($C$134:H134))</f>
        <v>0</v>
      </c>
      <c r="J134" s="78">
        <f>MIN($E$131/$C$128,$E$131-SUM($C$134:I134))</f>
        <v>0</v>
      </c>
      <c r="K134" s="78">
        <f>MIN($E$131/$C$128,$E$131-SUM($C$134:J134))</f>
        <v>0</v>
      </c>
    </row>
    <row r="135" spans="1:12" ht="15" customHeight="1" x14ac:dyDescent="0.35">
      <c r="A135" s="66"/>
      <c r="B135" s="65" t="s">
        <v>25</v>
      </c>
      <c r="D135" s="78"/>
      <c r="E135" s="78"/>
      <c r="F135" s="78">
        <f>MIN($F$131/$C$128,$F$131-SUM($C$135:E135))</f>
        <v>18333.333333333332</v>
      </c>
      <c r="G135" s="78">
        <f>MIN($F$131/$C$128,$F$131-SUM($C$135:F135))</f>
        <v>18333.333333333332</v>
      </c>
      <c r="H135" s="78">
        <f>MIN($F$131/$C$128,$F$131-SUM($C$135:G135))</f>
        <v>18333.333333333332</v>
      </c>
      <c r="I135" s="78">
        <f>MIN($F$131/$C$128,$F$131-SUM($C$135:H135))</f>
        <v>0</v>
      </c>
      <c r="J135" s="78">
        <f>MIN($F$131/$C$128,$F$131-SUM($C$135:I135))</f>
        <v>0</v>
      </c>
      <c r="K135" s="78">
        <f>MIN($F$131/$C$128,$F$131-SUM($C$135:J135))</f>
        <v>0</v>
      </c>
    </row>
    <row r="136" spans="1:12" ht="15" customHeight="1" x14ac:dyDescent="0.35">
      <c r="A136" s="66"/>
      <c r="B136" s="65" t="s">
        <v>26</v>
      </c>
      <c r="D136" s="78"/>
      <c r="E136" s="78"/>
      <c r="F136" s="78"/>
      <c r="G136" s="78">
        <f>MIN($G$131/$C$128,$G$131-SUM(C136:F136))</f>
        <v>25000</v>
      </c>
      <c r="H136" s="78">
        <f t="shared" ref="H136:K136" si="55">MIN($G$131/$C$128,$G$131-SUM(D136:G136))</f>
        <v>25000</v>
      </c>
      <c r="I136" s="78">
        <f t="shared" si="55"/>
        <v>25000</v>
      </c>
      <c r="J136" s="78">
        <f t="shared" si="55"/>
        <v>0</v>
      </c>
      <c r="K136" s="78">
        <f t="shared" si="55"/>
        <v>0</v>
      </c>
    </row>
    <row r="137" spans="1:12" ht="15" customHeight="1" x14ac:dyDescent="0.35">
      <c r="A137" s="66"/>
      <c r="B137" s="65" t="s">
        <v>27</v>
      </c>
      <c r="D137" s="78"/>
      <c r="E137" s="78"/>
      <c r="F137" s="78"/>
      <c r="G137" s="78"/>
      <c r="H137" s="78">
        <f>MIN($H$131/$C$128,$H$131-SUM($C$137:G137))</f>
        <v>25000</v>
      </c>
      <c r="I137" s="78">
        <f>MIN($H$131/$C$128,$H$131-SUM($C$137:H137))</f>
        <v>25000</v>
      </c>
      <c r="J137" s="78">
        <f>MIN($H$131/$C$128,$H$131-SUM($C$137:I137))</f>
        <v>25000</v>
      </c>
      <c r="K137" s="78">
        <f>MIN($H$131/$C$128,$H$131-SUM($C$137:J137))</f>
        <v>0</v>
      </c>
    </row>
    <row r="138" spans="1:12" ht="15" customHeight="1" x14ac:dyDescent="0.35">
      <c r="A138" s="66"/>
      <c r="B138" s="65" t="s">
        <v>28</v>
      </c>
      <c r="D138" s="78"/>
      <c r="E138" s="78"/>
      <c r="F138" s="78"/>
      <c r="G138" s="78"/>
      <c r="H138" s="78"/>
      <c r="I138" s="78">
        <f>MIN($I$131/$C$128,$I$131-SUM($C$138:H138))</f>
        <v>25000</v>
      </c>
      <c r="J138" s="78">
        <f>MIN($I$131/$C$128,$I$131-SUM($C$138:I138))</f>
        <v>25000</v>
      </c>
      <c r="K138" s="78">
        <f>MIN($I$131/$C$128,$I$131-SUM($C$138:J138))</f>
        <v>25000</v>
      </c>
    </row>
    <row r="139" spans="1:12" ht="15" customHeight="1" x14ac:dyDescent="0.35">
      <c r="A139" s="66"/>
      <c r="B139" s="65" t="s">
        <v>29</v>
      </c>
      <c r="D139" s="78"/>
      <c r="E139" s="78"/>
      <c r="F139" s="78"/>
      <c r="G139" s="78"/>
      <c r="H139" s="78"/>
      <c r="I139" s="78"/>
      <c r="J139" s="78">
        <f>MIN($J$131/$C$128,$J$131-SUM($C$139:I139))</f>
        <v>25000</v>
      </c>
      <c r="K139" s="78">
        <f>MIN($J$131/$C$128,$J$131-SUM($C$139:J139))</f>
        <v>25000</v>
      </c>
    </row>
    <row r="140" spans="1:12" ht="15" customHeight="1" x14ac:dyDescent="0.35">
      <c r="A140" s="66"/>
      <c r="B140" s="65" t="s">
        <v>30</v>
      </c>
      <c r="D140" s="78"/>
      <c r="E140" s="78"/>
      <c r="F140" s="78"/>
      <c r="G140" s="78"/>
      <c r="H140" s="78"/>
      <c r="I140" s="78"/>
      <c r="J140" s="78"/>
      <c r="K140" s="78">
        <f>MIN($K$131/$C$128,$K$131-SUM($C$140:J140))</f>
        <v>25000</v>
      </c>
    </row>
    <row r="141" spans="1:12" ht="15" customHeight="1" x14ac:dyDescent="0.35">
      <c r="A141" s="66"/>
      <c r="B141" s="69" t="s">
        <v>57</v>
      </c>
      <c r="C141" s="50"/>
      <c r="D141" s="79">
        <f>SUM(D133:D140)</f>
        <v>21833.333333333332</v>
      </c>
      <c r="E141" s="79">
        <f t="shared" ref="E141:K141" si="56">SUM(E133:E140)</f>
        <v>36383.666666666664</v>
      </c>
      <c r="F141" s="79">
        <f t="shared" si="56"/>
        <v>54717</v>
      </c>
      <c r="G141" s="79">
        <f t="shared" si="56"/>
        <v>57883.666666666664</v>
      </c>
      <c r="H141" s="79">
        <f t="shared" si="56"/>
        <v>68333.333333333328</v>
      </c>
      <c r="I141" s="79">
        <f t="shared" si="56"/>
        <v>75000</v>
      </c>
      <c r="J141" s="79">
        <f t="shared" si="56"/>
        <v>75000</v>
      </c>
      <c r="K141" s="79">
        <f t="shared" si="56"/>
        <v>75000</v>
      </c>
    </row>
    <row r="142" spans="1:12" s="48" customFormat="1" ht="15" customHeight="1" x14ac:dyDescent="0.35">
      <c r="A142" s="66"/>
      <c r="B142" s="65"/>
    </row>
    <row r="143" spans="1:12" ht="15" customHeight="1" x14ac:dyDescent="0.35">
      <c r="A143" s="66"/>
      <c r="B143" s="65" t="s">
        <v>52</v>
      </c>
      <c r="D143" s="87">
        <v>53250</v>
      </c>
      <c r="E143" s="87">
        <v>79123</v>
      </c>
      <c r="F143" s="87">
        <v>68759</v>
      </c>
      <c r="G143" s="155">
        <f>E131</f>
        <v>43651</v>
      </c>
      <c r="H143" s="155">
        <f t="shared" ref="H143:K143" si="57">F131</f>
        <v>55000</v>
      </c>
      <c r="I143" s="155">
        <f t="shared" si="57"/>
        <v>75000</v>
      </c>
      <c r="J143" s="155">
        <f t="shared" si="57"/>
        <v>75000</v>
      </c>
      <c r="K143" s="155">
        <f t="shared" si="57"/>
        <v>75000</v>
      </c>
    </row>
    <row r="144" spans="1:12" ht="15" customHeight="1" x14ac:dyDescent="0.35">
      <c r="A144" s="66"/>
      <c r="B144" s="65" t="s">
        <v>63</v>
      </c>
      <c r="D144" s="87">
        <v>12647.475</v>
      </c>
      <c r="E144" s="87">
        <v>13591.572</v>
      </c>
      <c r="F144" s="87">
        <v>14444.95</v>
      </c>
      <c r="G144" s="78">
        <f>G146*G143</f>
        <v>9166.7099999999991</v>
      </c>
      <c r="H144" s="78">
        <f t="shared" ref="H144:K144" si="58">H146*H143</f>
        <v>11550</v>
      </c>
      <c r="I144" s="78">
        <f t="shared" si="58"/>
        <v>15750</v>
      </c>
      <c r="J144" s="78">
        <f t="shared" si="58"/>
        <v>15750</v>
      </c>
      <c r="K144" s="78">
        <f t="shared" si="58"/>
        <v>15750</v>
      </c>
    </row>
    <row r="145" spans="1:11" ht="15" customHeight="1" x14ac:dyDescent="0.35">
      <c r="A145" s="66"/>
      <c r="B145" s="65"/>
    </row>
    <row r="146" spans="1:11" ht="15" customHeight="1" x14ac:dyDescent="0.35">
      <c r="A146" s="66"/>
      <c r="B146" s="65" t="s">
        <v>53</v>
      </c>
      <c r="D146" s="57">
        <f>D144/D143</f>
        <v>0.23751126760563382</v>
      </c>
      <c r="E146" s="57">
        <f t="shared" ref="E146:F146" si="59">E144/E143</f>
        <v>0.17177776373494433</v>
      </c>
      <c r="F146" s="57">
        <f t="shared" si="59"/>
        <v>0.21008086214168328</v>
      </c>
      <c r="G146" s="52">
        <v>0.21</v>
      </c>
      <c r="H146" s="52">
        <v>0.21</v>
      </c>
      <c r="I146" s="52">
        <v>0.21</v>
      </c>
      <c r="J146" s="52">
        <v>0.21</v>
      </c>
      <c r="K146" s="52">
        <v>0.21</v>
      </c>
    </row>
    <row r="147" spans="1:11" ht="15" customHeight="1" x14ac:dyDescent="0.35">
      <c r="A147" s="66"/>
      <c r="B147" s="65"/>
    </row>
    <row r="148" spans="1:11" ht="15" customHeight="1" x14ac:dyDescent="0.35">
      <c r="A148" s="66"/>
      <c r="B148" s="65" t="s">
        <v>62</v>
      </c>
      <c r="D148" s="57">
        <v>0.67500000000000004</v>
      </c>
      <c r="E148" s="57">
        <v>0.69199999999999995</v>
      </c>
      <c r="F148" s="57">
        <v>0.71</v>
      </c>
      <c r="G148" s="60">
        <v>0.7</v>
      </c>
      <c r="H148" s="60">
        <v>0.7</v>
      </c>
      <c r="I148" s="60">
        <v>0.7</v>
      </c>
      <c r="J148" s="60">
        <v>0.7</v>
      </c>
      <c r="K148" s="60">
        <v>0.7</v>
      </c>
    </row>
    <row r="149" spans="1:11" ht="15" customHeight="1" x14ac:dyDescent="0.35">
      <c r="A149" s="66"/>
      <c r="B149" s="65"/>
    </row>
    <row r="150" spans="1:11" ht="15" customHeight="1" x14ac:dyDescent="0.35">
      <c r="A150" s="66"/>
      <c r="B150" s="65" t="s">
        <v>66</v>
      </c>
      <c r="D150" s="87">
        <v>18.736999999999998</v>
      </c>
      <c r="E150" s="87">
        <v>19.640999999999998</v>
      </c>
      <c r="F150" s="87">
        <v>20.344999999999999</v>
      </c>
      <c r="G150" s="78">
        <f>G144/G148</f>
        <v>13095.3</v>
      </c>
      <c r="H150" s="78">
        <f t="shared" ref="H150:K150" si="60">H144/H148</f>
        <v>16500</v>
      </c>
      <c r="I150" s="78">
        <f t="shared" si="60"/>
        <v>22500</v>
      </c>
      <c r="J150" s="78">
        <f t="shared" si="60"/>
        <v>22500</v>
      </c>
      <c r="K150" s="78">
        <f t="shared" si="60"/>
        <v>22500</v>
      </c>
    </row>
    <row r="151" spans="1:11" ht="15" customHeight="1" x14ac:dyDescent="0.35">
      <c r="A151" s="66"/>
      <c r="B151" s="65"/>
      <c r="D151" s="78"/>
      <c r="E151" s="78"/>
      <c r="F151" s="78"/>
      <c r="G151" s="78"/>
      <c r="H151" s="78"/>
      <c r="I151" s="78"/>
      <c r="J151" s="78"/>
      <c r="K151" s="78"/>
    </row>
    <row r="152" spans="1:11" s="49" customFormat="1" ht="15" customHeight="1" x14ac:dyDescent="0.35">
      <c r="A152" s="64" t="s">
        <v>74</v>
      </c>
      <c r="B152" s="65"/>
      <c r="C152" s="48"/>
      <c r="D152" s="87">
        <v>118467</v>
      </c>
      <c r="E152" s="87">
        <f>135244</f>
        <v>135244</v>
      </c>
      <c r="F152" s="87">
        <v>352789</v>
      </c>
      <c r="G152" s="84">
        <v>125000</v>
      </c>
      <c r="H152" s="84">
        <v>125000</v>
      </c>
      <c r="I152" s="84">
        <v>125000</v>
      </c>
      <c r="J152" s="84">
        <v>125000</v>
      </c>
      <c r="K152" s="84">
        <v>125000</v>
      </c>
    </row>
    <row r="153" spans="1:11" s="49" customFormat="1" ht="15" customHeight="1" x14ac:dyDescent="0.35">
      <c r="A153" s="66"/>
      <c r="B153" s="65" t="s">
        <v>82</v>
      </c>
      <c r="C153" s="48"/>
      <c r="D153" s="87">
        <v>21900</v>
      </c>
      <c r="E153" s="87">
        <f>26212.3</f>
        <v>26212.3</v>
      </c>
      <c r="F153" s="87">
        <v>61955</v>
      </c>
      <c r="G153" s="78">
        <f>G154*G152</f>
        <v>25000</v>
      </c>
      <c r="H153" s="78">
        <f t="shared" ref="H153:K153" si="61">H154*H152</f>
        <v>25000</v>
      </c>
      <c r="I153" s="78">
        <f t="shared" si="61"/>
        <v>25000</v>
      </c>
      <c r="J153" s="78">
        <f t="shared" si="61"/>
        <v>25000</v>
      </c>
      <c r="K153" s="78">
        <f t="shared" si="61"/>
        <v>25000</v>
      </c>
    </row>
    <row r="154" spans="1:11" s="49" customFormat="1" ht="15" customHeight="1" x14ac:dyDescent="0.35">
      <c r="A154" s="66"/>
      <c r="B154" s="65" t="s">
        <v>75</v>
      </c>
      <c r="C154" s="48"/>
      <c r="D154" s="57">
        <f>D153/D152</f>
        <v>0.18486160702980578</v>
      </c>
      <c r="E154" s="57">
        <f>E153/E152</f>
        <v>0.19381488273047232</v>
      </c>
      <c r="F154" s="57">
        <f>F153/F152</f>
        <v>0.1756148859516595</v>
      </c>
      <c r="G154" s="52">
        <v>0.2</v>
      </c>
      <c r="H154" s="52">
        <v>0.2</v>
      </c>
      <c r="I154" s="52">
        <v>0.2</v>
      </c>
      <c r="J154" s="52">
        <v>0.2</v>
      </c>
      <c r="K154" s="52">
        <v>0.2</v>
      </c>
    </row>
    <row r="155" spans="1:11" s="49" customFormat="1" ht="15" customHeight="1" x14ac:dyDescent="0.35">
      <c r="A155" s="66"/>
      <c r="B155" s="65" t="s">
        <v>76</v>
      </c>
      <c r="C155" s="48"/>
      <c r="D155" s="78">
        <f>D152-D153</f>
        <v>96567</v>
      </c>
      <c r="E155" s="78">
        <f t="shared" ref="E155:K155" si="62">E152-E153</f>
        <v>109031.7</v>
      </c>
      <c r="F155" s="78">
        <f t="shared" si="62"/>
        <v>290834</v>
      </c>
      <c r="G155" s="78">
        <f t="shared" si="62"/>
        <v>100000</v>
      </c>
      <c r="H155" s="78">
        <f t="shared" si="62"/>
        <v>100000</v>
      </c>
      <c r="I155" s="78">
        <f t="shared" si="62"/>
        <v>100000</v>
      </c>
      <c r="J155" s="78">
        <f t="shared" si="62"/>
        <v>100000</v>
      </c>
      <c r="K155" s="78">
        <f t="shared" si="62"/>
        <v>100000</v>
      </c>
    </row>
    <row r="156" spans="1:11" s="49" customFormat="1" ht="15" customHeight="1" x14ac:dyDescent="0.35">
      <c r="A156" s="66"/>
      <c r="B156" s="65"/>
      <c r="C156" s="48"/>
      <c r="D156"/>
      <c r="E156"/>
      <c r="F156"/>
      <c r="G156"/>
      <c r="H156"/>
      <c r="I156"/>
      <c r="J156"/>
      <c r="K156"/>
    </row>
    <row r="157" spans="1:11" s="49" customFormat="1" ht="15" customHeight="1" x14ac:dyDescent="0.35">
      <c r="A157" s="66"/>
      <c r="B157" s="65" t="s">
        <v>77</v>
      </c>
      <c r="C157" s="48"/>
      <c r="D157" s="61">
        <v>0.06</v>
      </c>
      <c r="E157" s="61">
        <v>0.06</v>
      </c>
      <c r="F157" s="61">
        <v>0.06</v>
      </c>
      <c r="G157" s="52">
        <v>0.06</v>
      </c>
      <c r="H157" s="52">
        <v>0.06</v>
      </c>
      <c r="I157" s="52">
        <v>0.06</v>
      </c>
      <c r="J157" s="52">
        <v>0.06</v>
      </c>
      <c r="K157" s="52">
        <v>0.06</v>
      </c>
    </row>
    <row r="158" spans="1:11" s="49" customFormat="1" ht="15" customHeight="1" x14ac:dyDescent="0.35">
      <c r="A158" s="66"/>
      <c r="B158" s="65" t="s">
        <v>78</v>
      </c>
      <c r="C158" s="48"/>
      <c r="D158" s="59">
        <v>7080</v>
      </c>
      <c r="E158" s="59">
        <v>8112</v>
      </c>
      <c r="F158" s="59">
        <v>21120</v>
      </c>
      <c r="G158">
        <f>F157*F152</f>
        <v>21167.34</v>
      </c>
      <c r="H158" s="48">
        <f t="shared" ref="H158:K158" si="63">G157*G152</f>
        <v>7500</v>
      </c>
      <c r="I158" s="48">
        <f t="shared" si="63"/>
        <v>7500</v>
      </c>
      <c r="J158" s="48">
        <f t="shared" si="63"/>
        <v>7500</v>
      </c>
      <c r="K158" s="48">
        <f t="shared" si="63"/>
        <v>7500</v>
      </c>
    </row>
    <row r="159" spans="1:11" s="49" customFormat="1" ht="15" customHeight="1" x14ac:dyDescent="0.35">
      <c r="A159" s="66"/>
      <c r="B159" s="65"/>
      <c r="C159" s="48"/>
      <c r="D159"/>
      <c r="E159"/>
      <c r="F159"/>
      <c r="G159"/>
      <c r="H159"/>
      <c r="I159"/>
      <c r="J159"/>
      <c r="K159"/>
    </row>
    <row r="160" spans="1:11" s="49" customFormat="1" ht="15" customHeight="1" x14ac:dyDescent="0.35">
      <c r="A160" s="66"/>
      <c r="B160" s="65" t="s">
        <v>62</v>
      </c>
      <c r="C160" s="48"/>
      <c r="D160" s="57">
        <v>0.61199999999999999</v>
      </c>
      <c r="E160" s="57">
        <v>0.625</v>
      </c>
      <c r="F160" s="57">
        <v>0.60970000000000002</v>
      </c>
      <c r="G160" s="52">
        <v>0.62</v>
      </c>
      <c r="H160" s="52">
        <v>0.62</v>
      </c>
      <c r="I160" s="52">
        <v>0.62</v>
      </c>
      <c r="J160" s="52">
        <v>0.62</v>
      </c>
      <c r="K160" s="52">
        <v>0.62</v>
      </c>
    </row>
    <row r="161" spans="1:11" s="49" customFormat="1" ht="15" customHeight="1" x14ac:dyDescent="0.35">
      <c r="A161" s="66"/>
      <c r="B161" s="65"/>
      <c r="C161" s="48"/>
      <c r="D161"/>
      <c r="E161"/>
      <c r="F161"/>
      <c r="G161"/>
      <c r="H161"/>
      <c r="I161"/>
      <c r="J161"/>
      <c r="K161"/>
    </row>
    <row r="162" spans="1:11" s="49" customFormat="1" ht="15" customHeight="1" x14ac:dyDescent="0.35">
      <c r="A162" s="66"/>
      <c r="B162" s="65" t="s">
        <v>79</v>
      </c>
      <c r="C162" s="48"/>
      <c r="D162" s="87">
        <v>11568.627450980401</v>
      </c>
      <c r="E162" s="87">
        <v>39289</v>
      </c>
      <c r="F162" s="87">
        <v>34639.986878792799</v>
      </c>
      <c r="G162" s="78">
        <f>G158/G160</f>
        <v>34140.870967741939</v>
      </c>
      <c r="H162" s="78">
        <f t="shared" ref="H162:K162" si="64">H158/H160</f>
        <v>12096.774193548386</v>
      </c>
      <c r="I162" s="78">
        <f t="shared" si="64"/>
        <v>12096.774193548386</v>
      </c>
      <c r="J162" s="78">
        <f t="shared" si="64"/>
        <v>12096.774193548386</v>
      </c>
      <c r="K162" s="78">
        <f t="shared" si="64"/>
        <v>12096.774193548386</v>
      </c>
    </row>
    <row r="163" spans="1:11" s="49" customFormat="1" ht="15" customHeight="1" x14ac:dyDescent="0.35">
      <c r="A163" s="66"/>
      <c r="B163" s="65"/>
      <c r="D163" s="59"/>
      <c r="E163" s="59"/>
      <c r="F163" s="59"/>
    </row>
    <row r="164" spans="1:11" s="48" customFormat="1" ht="15" customHeight="1" x14ac:dyDescent="0.35"/>
    <row r="165" spans="1:11" s="48" customFormat="1" ht="15" customHeight="1" x14ac:dyDescent="0.35"/>
    <row r="166" spans="1:11" s="48" customFormat="1" ht="15" customHeight="1" x14ac:dyDescent="0.35"/>
    <row r="168" spans="1:11" s="48" customFormat="1" ht="15" customHeight="1" x14ac:dyDescent="0.35"/>
    <row r="169" spans="1:11" s="48" customFormat="1" ht="15" customHeight="1" x14ac:dyDescent="0.35"/>
    <row r="171" spans="1:11" s="48" customFormat="1" ht="15" customHeight="1" x14ac:dyDescent="0.35"/>
    <row r="172" spans="1:11" s="48" customFormat="1" ht="15" customHeight="1" x14ac:dyDescent="0.35"/>
    <row r="174" spans="1:11" ht="15" customHeight="1" x14ac:dyDescent="0.35">
      <c r="A174" s="66"/>
      <c r="B174" s="65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0662E-2AB9-410C-879C-F670DCC21A1C}">
  <dimension ref="A1:K110"/>
  <sheetViews>
    <sheetView zoomScaleNormal="100" workbookViewId="0"/>
  </sheetViews>
  <sheetFormatPr defaultColWidth="9.08984375" defaultRowHeight="15" customHeight="1" x14ac:dyDescent="0.35"/>
  <cols>
    <col min="1" max="1" width="1.6328125" style="13" customWidth="1"/>
    <col min="2" max="2" width="51" style="49" bestFit="1" customWidth="1"/>
    <col min="3" max="3" width="10.6328125" style="49" customWidth="1"/>
    <col min="4" max="5" width="11.6328125" style="49" customWidth="1"/>
    <col min="6" max="6" width="11.90625" style="49" bestFit="1" customWidth="1"/>
    <col min="7" max="11" width="11.6328125" style="49" customWidth="1"/>
    <col min="12" max="13" width="9.08984375" style="49" customWidth="1"/>
    <col min="14" max="16384" width="9.08984375" style="49"/>
  </cols>
  <sheetData>
    <row r="1" spans="1:11" ht="45" customHeight="1" x14ac:dyDescent="0.65">
      <c r="A1" s="5" t="str">
        <f>Welcome!A2</f>
        <v>REIT Operating and Valuation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ht="30" customHeight="1" x14ac:dyDescent="0.5">
      <c r="A2" s="12"/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ht="15" customHeight="1" x14ac:dyDescent="0.5">
      <c r="A4" s="12" t="s">
        <v>215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</row>
    <row r="5" spans="1:11" ht="15" customHeight="1" x14ac:dyDescent="0.35">
      <c r="B5" t="s">
        <v>91</v>
      </c>
      <c r="C5" s="60">
        <v>0.5</v>
      </c>
    </row>
    <row r="6" spans="1:11" ht="15" customHeight="1" x14ac:dyDescent="0.35">
      <c r="B6" t="s">
        <v>92</v>
      </c>
      <c r="C6" s="60">
        <v>0.5</v>
      </c>
    </row>
    <row r="8" spans="1:11" ht="15" customHeight="1" x14ac:dyDescent="0.35">
      <c r="B8" s="49" t="s">
        <v>210</v>
      </c>
      <c r="G8" s="85">
        <v>0</v>
      </c>
      <c r="H8" s="85">
        <v>0</v>
      </c>
      <c r="I8" s="85">
        <v>0</v>
      </c>
      <c r="J8" s="85">
        <v>0</v>
      </c>
      <c r="K8" s="85">
        <v>0</v>
      </c>
    </row>
    <row r="9" spans="1:11" ht="15" customHeight="1" x14ac:dyDescent="0.35">
      <c r="B9" s="49" t="s">
        <v>211</v>
      </c>
      <c r="G9" s="60">
        <v>3.7499999999999999E-2</v>
      </c>
      <c r="H9" s="60">
        <v>3.7499999999999999E-2</v>
      </c>
      <c r="I9" s="60">
        <v>3.7499999999999999E-2</v>
      </c>
      <c r="J9" s="60">
        <v>3.7499999999999999E-2</v>
      </c>
      <c r="K9" s="60">
        <v>3.7499999999999999E-2</v>
      </c>
    </row>
    <row r="10" spans="1:11" ht="15" customHeight="1" x14ac:dyDescent="0.35">
      <c r="B10" s="49" t="s">
        <v>216</v>
      </c>
      <c r="G10" s="92">
        <v>7.4999999999999997E-2</v>
      </c>
      <c r="H10" s="92">
        <v>7.4999999999999997E-2</v>
      </c>
      <c r="I10" s="92">
        <v>7.4999999999999997E-2</v>
      </c>
      <c r="J10" s="92">
        <v>7.4999999999999997E-2</v>
      </c>
      <c r="K10" s="92">
        <v>7.4999999999999997E-2</v>
      </c>
    </row>
    <row r="12" spans="1:11" ht="15" customHeight="1" x14ac:dyDescent="0.5">
      <c r="A12" s="118" t="s">
        <v>209</v>
      </c>
      <c r="B12" s="118"/>
      <c r="C12" s="118"/>
      <c r="D12" s="118"/>
      <c r="E12" s="118"/>
      <c r="F12" s="118"/>
      <c r="G12" s="118"/>
      <c r="H12" s="118"/>
      <c r="I12" s="118"/>
      <c r="J12" s="118"/>
      <c r="K12" s="118"/>
    </row>
    <row r="13" spans="1:11" ht="15" customHeight="1" x14ac:dyDescent="0.35">
      <c r="A13"/>
      <c r="B13" t="s">
        <v>198</v>
      </c>
      <c r="C13"/>
      <c r="D13"/>
      <c r="E13"/>
      <c r="F13" s="78"/>
      <c r="G13" s="78">
        <f>OpModel!F48</f>
        <v>360940</v>
      </c>
      <c r="H13" s="78">
        <f>OpModel!G48</f>
        <v>367546.22246639745</v>
      </c>
      <c r="I13" s="78">
        <f>OpModel!H48</f>
        <v>375733.66489960742</v>
      </c>
      <c r="J13" s="78">
        <f>OpModel!I48</f>
        <v>384355.61446489603</v>
      </c>
      <c r="K13" s="78">
        <f>OpModel!J48</f>
        <v>394390.85838319734</v>
      </c>
    </row>
    <row r="14" spans="1:11" ht="15" customHeight="1" x14ac:dyDescent="0.35">
      <c r="A14"/>
      <c r="B14" s="53" t="s">
        <v>199</v>
      </c>
      <c r="C14"/>
      <c r="D14"/>
      <c r="E14"/>
      <c r="F14" s="78"/>
      <c r="G14" s="78">
        <f>-OpModel!G36*OpModel!G15</f>
        <v>-367546.2224663978</v>
      </c>
      <c r="H14" s="78">
        <f>-OpModel!H36*OpModel!H15</f>
        <v>-375733.66489960789</v>
      </c>
      <c r="I14" s="78">
        <f>-OpModel!I36*OpModel!I15</f>
        <v>-384355.61446489615</v>
      </c>
      <c r="J14" s="78">
        <f>-OpModel!J36*OpModel!J15</f>
        <v>-394390.85838319699</v>
      </c>
      <c r="K14" s="78">
        <f>-OpModel!K36*OpModel!K15</f>
        <v>-404002.73809009016</v>
      </c>
    </row>
    <row r="15" spans="1:11" ht="15" customHeight="1" x14ac:dyDescent="0.35">
      <c r="A15" s="49"/>
      <c r="B15" s="53" t="s">
        <v>213</v>
      </c>
      <c r="F15" s="78"/>
      <c r="G15" s="78">
        <f>-G8</f>
        <v>0</v>
      </c>
      <c r="H15" s="78">
        <f t="shared" ref="H15:K15" si="0">-H8</f>
        <v>0</v>
      </c>
      <c r="I15" s="78">
        <f t="shared" si="0"/>
        <v>0</v>
      </c>
      <c r="J15" s="78">
        <f t="shared" si="0"/>
        <v>0</v>
      </c>
      <c r="K15" s="78">
        <f t="shared" si="0"/>
        <v>0</v>
      </c>
    </row>
    <row r="16" spans="1:11" ht="15" customHeight="1" x14ac:dyDescent="0.35">
      <c r="A16"/>
      <c r="B16" s="53" t="s">
        <v>200</v>
      </c>
      <c r="C16"/>
      <c r="D16"/>
      <c r="E16"/>
      <c r="F16" s="78"/>
      <c r="G16" s="78">
        <f>OpModel!G75+OpModel!G83+OpModel!G88+OpModel!G89</f>
        <v>-42786.44466209691</v>
      </c>
      <c r="H16" s="78">
        <f>OpModel!H75+OpModel!H83+OpModel!H88+OpModel!H89</f>
        <v>-47893.793944076286</v>
      </c>
      <c r="I16" s="78">
        <f>OpModel!I75+OpModel!I83+OpModel!I88+OpModel!I89</f>
        <v>-51762.335805601557</v>
      </c>
      <c r="J16" s="78">
        <f>OpModel!J75+OpModel!J83+OpModel!J88+OpModel!J89</f>
        <v>-47788.548656141385</v>
      </c>
      <c r="K16" s="78">
        <f>OpModel!K75+OpModel!K83+OpModel!K88+OpModel!K89</f>
        <v>-46009.724049391691</v>
      </c>
    </row>
    <row r="17" spans="1:11" ht="15" customHeight="1" x14ac:dyDescent="0.35">
      <c r="A17"/>
      <c r="B17" t="s">
        <v>201</v>
      </c>
      <c r="C17"/>
      <c r="D17"/>
      <c r="E17"/>
      <c r="F17" s="78"/>
      <c r="G17" s="78">
        <f>SUM(G13:G16)</f>
        <v>-49392.667128494708</v>
      </c>
      <c r="H17" s="78">
        <f t="shared" ref="H17:K17" si="1">SUM(H13:H16)</f>
        <v>-56081.236377286725</v>
      </c>
      <c r="I17" s="78">
        <f t="shared" si="1"/>
        <v>-60384.285370890284</v>
      </c>
      <c r="J17" s="78">
        <f t="shared" si="1"/>
        <v>-57823.792574442341</v>
      </c>
      <c r="K17" s="78">
        <f t="shared" si="1"/>
        <v>-55621.603756284516</v>
      </c>
    </row>
    <row r="18" spans="1:11" ht="15" customHeight="1" x14ac:dyDescent="0.35">
      <c r="A18"/>
      <c r="B18" t="s">
        <v>202</v>
      </c>
      <c r="C18"/>
      <c r="D18"/>
      <c r="E18"/>
      <c r="F18" s="78"/>
      <c r="G18" s="78">
        <f>MAX(G17,0)</f>
        <v>0</v>
      </c>
      <c r="H18" s="78">
        <f t="shared" ref="H18:K18" si="2">MAX(H17,0)</f>
        <v>0</v>
      </c>
      <c r="I18" s="78">
        <f t="shared" si="2"/>
        <v>0</v>
      </c>
      <c r="J18" s="78">
        <f t="shared" si="2"/>
        <v>0</v>
      </c>
      <c r="K18" s="78">
        <f t="shared" si="2"/>
        <v>0</v>
      </c>
    </row>
    <row r="19" spans="1:11" ht="15" customHeight="1" x14ac:dyDescent="0.35">
      <c r="A19"/>
      <c r="B19" t="s">
        <v>203</v>
      </c>
      <c r="C19"/>
      <c r="D19"/>
      <c r="E19"/>
      <c r="F19" s="78"/>
      <c r="G19" s="78">
        <f>-MIN(G17,0)*Debt_Fund</f>
        <v>24696.333564247354</v>
      </c>
      <c r="H19" s="78">
        <f>-MIN(H17,0)*Debt_Fund</f>
        <v>28040.618188643362</v>
      </c>
      <c r="I19" s="78">
        <f>-MIN(I17,0)*Debt_Fund</f>
        <v>30192.142685445142</v>
      </c>
      <c r="J19" s="78">
        <f>-MIN(J17,0)*Debt_Fund</f>
        <v>28911.89628722117</v>
      </c>
      <c r="K19" s="78">
        <f>-MIN(K17,0)*Debt_Fund</f>
        <v>27810.801878142258</v>
      </c>
    </row>
    <row r="20" spans="1:11" ht="15" customHeight="1" x14ac:dyDescent="0.35">
      <c r="A20"/>
      <c r="B20" t="s">
        <v>204</v>
      </c>
      <c r="C20"/>
      <c r="D20"/>
      <c r="E20"/>
      <c r="F20" s="78"/>
      <c r="G20" s="78">
        <f>-MIN(G17,0)*Equity_Fund</f>
        <v>24696.333564247354</v>
      </c>
      <c r="H20" s="78">
        <f>-MIN(H17,0)*Equity_Fund</f>
        <v>28040.618188643362</v>
      </c>
      <c r="I20" s="78">
        <f>-MIN(I17,0)*Equity_Fund</f>
        <v>30192.142685445142</v>
      </c>
      <c r="J20" s="78">
        <f>-MIN(J17,0)*Equity_Fund</f>
        <v>28911.89628722117</v>
      </c>
      <c r="K20" s="78">
        <f>-MIN(K17,0)*Equity_Fund</f>
        <v>27810.801878142258</v>
      </c>
    </row>
    <row r="21" spans="1:11" ht="15" customHeight="1" x14ac:dyDescent="0.35">
      <c r="A21"/>
      <c r="B21"/>
      <c r="C21"/>
      <c r="D21"/>
      <c r="E21"/>
      <c r="F21" s="78"/>
      <c r="G21" s="78"/>
      <c r="H21" s="78"/>
      <c r="I21" s="78"/>
      <c r="J21" s="78"/>
      <c r="K21" s="78"/>
    </row>
    <row r="22" spans="1:11" ht="15" customHeight="1" x14ac:dyDescent="0.35">
      <c r="A22"/>
      <c r="B22" t="s">
        <v>205</v>
      </c>
      <c r="C22"/>
      <c r="D22"/>
      <c r="E22"/>
      <c r="F22" s="78"/>
      <c r="G22" s="78"/>
      <c r="H22" s="78"/>
      <c r="I22" s="78"/>
      <c r="J22" s="78"/>
      <c r="K22" s="78"/>
    </row>
    <row r="23" spans="1:11" ht="15" customHeight="1" x14ac:dyDescent="0.35">
      <c r="A23"/>
      <c r="B23" s="53" t="s">
        <v>157</v>
      </c>
      <c r="D23"/>
      <c r="E23"/>
      <c r="F23" s="78"/>
      <c r="G23" s="78">
        <f>F26</f>
        <v>5605942</v>
      </c>
      <c r="H23" s="78">
        <f t="shared" ref="H23:K23" si="3">G26</f>
        <v>5630638.333564247</v>
      </c>
      <c r="I23" s="78">
        <f t="shared" si="3"/>
        <v>5658678.9517528899</v>
      </c>
      <c r="J23" s="78">
        <f t="shared" si="3"/>
        <v>5688871.0944383349</v>
      </c>
      <c r="K23" s="78">
        <f t="shared" si="3"/>
        <v>5717782.9907255564</v>
      </c>
    </row>
    <row r="24" spans="1:11" ht="15" customHeight="1" x14ac:dyDescent="0.35">
      <c r="A24"/>
      <c r="B24" s="53" t="s">
        <v>206</v>
      </c>
      <c r="D24"/>
      <c r="E24"/>
      <c r="F24" s="78"/>
      <c r="G24" s="78">
        <f>-G8</f>
        <v>0</v>
      </c>
      <c r="H24" s="78">
        <f>-H8</f>
        <v>0</v>
      </c>
      <c r="I24" s="78">
        <f>-I8</f>
        <v>0</v>
      </c>
      <c r="J24" s="78">
        <f>-J8</f>
        <v>0</v>
      </c>
      <c r="K24" s="78">
        <f>-K8</f>
        <v>0</v>
      </c>
    </row>
    <row r="25" spans="1:11" ht="15" customHeight="1" x14ac:dyDescent="0.35">
      <c r="A25"/>
      <c r="B25" s="53" t="s">
        <v>207</v>
      </c>
      <c r="D25"/>
      <c r="E25"/>
      <c r="F25" s="78"/>
      <c r="G25" s="78">
        <f>IF(G17&gt;0,-MIN(G17,G23),G19)</f>
        <v>24696.333564247354</v>
      </c>
      <c r="H25" s="78">
        <f t="shared" ref="H25:K25" si="4">IF(H17&gt;0,-MIN(H17,H23),H19)</f>
        <v>28040.618188643362</v>
      </c>
      <c r="I25" s="78">
        <f t="shared" si="4"/>
        <v>30192.142685445142</v>
      </c>
      <c r="J25" s="78">
        <f t="shared" si="4"/>
        <v>28911.89628722117</v>
      </c>
      <c r="K25" s="78">
        <f t="shared" si="4"/>
        <v>27810.801878142258</v>
      </c>
    </row>
    <row r="26" spans="1:11" ht="15" customHeight="1" x14ac:dyDescent="0.35">
      <c r="A26"/>
      <c r="B26" s="53" t="s">
        <v>159</v>
      </c>
      <c r="D26"/>
      <c r="E26"/>
      <c r="F26" s="78">
        <f>OpModel!F53</f>
        <v>5605942</v>
      </c>
      <c r="G26" s="78">
        <f>SUM(G23:G25)</f>
        <v>5630638.333564247</v>
      </c>
      <c r="H26" s="78">
        <f t="shared" ref="H26:K26" si="5">SUM(H23:H25)</f>
        <v>5658678.9517528899</v>
      </c>
      <c r="I26" s="78">
        <f t="shared" si="5"/>
        <v>5688871.0944383349</v>
      </c>
      <c r="J26" s="78">
        <f t="shared" si="5"/>
        <v>5717782.9907255564</v>
      </c>
      <c r="K26" s="78">
        <f t="shared" si="5"/>
        <v>5745593.7926036986</v>
      </c>
    </row>
    <row r="27" spans="1:11" ht="15" customHeight="1" x14ac:dyDescent="0.35">
      <c r="A27"/>
      <c r="B27" s="53" t="s">
        <v>212</v>
      </c>
      <c r="D27"/>
      <c r="E27"/>
      <c r="F27" s="78"/>
      <c r="G27" s="78">
        <f>AVERAGE(F26:G26)*G9</f>
        <v>210685.88125432964</v>
      </c>
      <c r="H27" s="78">
        <f t="shared" ref="H27:K27" si="6">AVERAGE(G26:H26)*H9</f>
        <v>211674.69909969633</v>
      </c>
      <c r="I27" s="78">
        <f t="shared" si="6"/>
        <v>212766.56336608547</v>
      </c>
      <c r="J27" s="78">
        <f t="shared" si="6"/>
        <v>213874.76409682297</v>
      </c>
      <c r="K27" s="78">
        <f t="shared" si="6"/>
        <v>214938.31468742355</v>
      </c>
    </row>
    <row r="28" spans="1:11" ht="15" customHeight="1" x14ac:dyDescent="0.35">
      <c r="A28"/>
      <c r="B28"/>
      <c r="C28"/>
      <c r="D28"/>
      <c r="E28"/>
      <c r="F28"/>
      <c r="G28"/>
    </row>
    <row r="29" spans="1:11" ht="15" customHeight="1" x14ac:dyDescent="0.35">
      <c r="A29"/>
      <c r="B29" s="54" t="s">
        <v>214</v>
      </c>
      <c r="C29"/>
      <c r="D29"/>
      <c r="E29"/>
      <c r="F29" s="78">
        <f>OpModel!F48</f>
        <v>360940</v>
      </c>
      <c r="G29" s="78">
        <f>OpModel!G48</f>
        <v>367546.22246639745</v>
      </c>
      <c r="H29" s="78">
        <f>OpModel!H48</f>
        <v>375733.66489960742</v>
      </c>
      <c r="I29" s="78">
        <f>OpModel!I48</f>
        <v>384355.61446489603</v>
      </c>
      <c r="J29" s="78">
        <f>OpModel!J48</f>
        <v>394390.85838319734</v>
      </c>
      <c r="K29" s="78">
        <f>OpModel!K48</f>
        <v>404002.73809009022</v>
      </c>
    </row>
    <row r="30" spans="1:11" ht="15" customHeight="1" x14ac:dyDescent="0.35">
      <c r="A30"/>
      <c r="B30" s="53" t="s">
        <v>212</v>
      </c>
      <c r="C30"/>
      <c r="D30"/>
      <c r="E30"/>
      <c r="F30" s="78"/>
      <c r="G30" s="78">
        <f>AVERAGE(F29:G29)*G10</f>
        <v>27318.233342489904</v>
      </c>
      <c r="H30" s="78">
        <f>AVERAGE(G29:H29)*H10</f>
        <v>27872.995776225183</v>
      </c>
      <c r="I30" s="78">
        <f>AVERAGE(H29:I29)*I10</f>
        <v>28503.34797616888</v>
      </c>
      <c r="J30" s="78">
        <f>AVERAGE(I29:J29)*J10</f>
        <v>29202.992731803501</v>
      </c>
      <c r="K30" s="78">
        <f>AVERAGE(J29:K29)*K10</f>
        <v>29939.759867748282</v>
      </c>
    </row>
    <row r="31" spans="1:11" ht="15" customHeight="1" x14ac:dyDescent="0.35">
      <c r="A31"/>
      <c r="B31"/>
      <c r="C31"/>
      <c r="D31"/>
      <c r="E31"/>
      <c r="F31"/>
      <c r="G31"/>
      <c r="H31"/>
      <c r="I31"/>
      <c r="J31"/>
      <c r="K31"/>
    </row>
    <row r="32" spans="1:11" ht="15" customHeight="1" x14ac:dyDescent="0.35">
      <c r="A32"/>
      <c r="B32"/>
      <c r="C32"/>
      <c r="D32"/>
      <c r="E32"/>
      <c r="F32"/>
      <c r="G32"/>
      <c r="H32"/>
      <c r="I32"/>
      <c r="J32"/>
      <c r="K32"/>
    </row>
    <row r="33" spans="1:11" ht="15" customHeight="1" x14ac:dyDescent="0.35">
      <c r="A33"/>
      <c r="B33"/>
      <c r="C33"/>
      <c r="D33"/>
      <c r="E33"/>
      <c r="F33"/>
      <c r="G33"/>
      <c r="H33"/>
      <c r="I33"/>
      <c r="J33"/>
      <c r="K33"/>
    </row>
    <row r="34" spans="1:11" ht="15" customHeight="1" x14ac:dyDescent="0.35">
      <c r="A34"/>
      <c r="B34"/>
      <c r="C34"/>
      <c r="D34"/>
      <c r="E34"/>
      <c r="F34"/>
      <c r="G34"/>
      <c r="H34"/>
      <c r="I34"/>
      <c r="J34"/>
      <c r="K34"/>
    </row>
    <row r="35" spans="1:11" ht="15" customHeight="1" x14ac:dyDescent="0.35">
      <c r="A35"/>
      <c r="B35"/>
      <c r="C35"/>
      <c r="D35"/>
      <c r="E35"/>
      <c r="F35"/>
      <c r="G35"/>
      <c r="H35"/>
      <c r="I35"/>
      <c r="J35"/>
      <c r="K35"/>
    </row>
    <row r="36" spans="1:11" ht="15" customHeight="1" x14ac:dyDescent="0.35">
      <c r="A36"/>
      <c r="B36"/>
      <c r="C36"/>
      <c r="D36"/>
      <c r="E36"/>
      <c r="F36"/>
      <c r="G36"/>
      <c r="H36"/>
      <c r="I36"/>
      <c r="J36"/>
      <c r="K36"/>
    </row>
    <row r="37" spans="1:11" ht="15" customHeight="1" x14ac:dyDescent="0.35">
      <c r="A37"/>
      <c r="B37"/>
      <c r="C37"/>
      <c r="D37"/>
      <c r="E37"/>
      <c r="F37"/>
      <c r="G37"/>
      <c r="H37"/>
      <c r="I37"/>
      <c r="J37"/>
      <c r="K37"/>
    </row>
    <row r="38" spans="1:11" ht="15" customHeight="1" x14ac:dyDescent="0.35">
      <c r="A38"/>
      <c r="B38"/>
      <c r="C38"/>
      <c r="D38"/>
      <c r="E38"/>
      <c r="F38"/>
      <c r="G38"/>
      <c r="H38"/>
      <c r="I38"/>
      <c r="J38"/>
      <c r="K38"/>
    </row>
    <row r="39" spans="1:11" ht="15" customHeight="1" x14ac:dyDescent="0.35">
      <c r="A39"/>
      <c r="B39"/>
      <c r="C39"/>
      <c r="D39"/>
      <c r="E39"/>
      <c r="F39"/>
      <c r="G39"/>
      <c r="H39"/>
      <c r="I39"/>
      <c r="J39"/>
      <c r="K39"/>
    </row>
    <row r="40" spans="1:11" ht="15" customHeight="1" x14ac:dyDescent="0.35">
      <c r="A40"/>
      <c r="B40"/>
      <c r="C40"/>
      <c r="D40"/>
      <c r="E40"/>
      <c r="F40"/>
      <c r="G40"/>
      <c r="H40"/>
      <c r="I40"/>
      <c r="J40"/>
      <c r="K40"/>
    </row>
    <row r="41" spans="1:11" ht="15" customHeight="1" x14ac:dyDescent="0.35">
      <c r="A41"/>
      <c r="B41"/>
      <c r="C41"/>
      <c r="D41"/>
      <c r="E41"/>
      <c r="F41"/>
      <c r="G41"/>
      <c r="H41"/>
      <c r="I41"/>
      <c r="J41"/>
      <c r="K41"/>
    </row>
    <row r="42" spans="1:11" ht="15" customHeight="1" x14ac:dyDescent="0.35">
      <c r="A42"/>
      <c r="B42"/>
      <c r="C42"/>
      <c r="D42"/>
      <c r="E42"/>
      <c r="F42"/>
      <c r="G42"/>
      <c r="H42"/>
      <c r="I42"/>
      <c r="J42"/>
      <c r="K42"/>
    </row>
    <row r="43" spans="1:11" ht="15" customHeight="1" x14ac:dyDescent="0.35">
      <c r="A43"/>
      <c r="B43"/>
      <c r="C43"/>
      <c r="D43"/>
      <c r="E43"/>
      <c r="F43"/>
      <c r="G43"/>
      <c r="H43"/>
      <c r="I43"/>
      <c r="J43"/>
      <c r="K43"/>
    </row>
    <row r="44" spans="1:11" ht="15" customHeight="1" x14ac:dyDescent="0.35">
      <c r="A44"/>
      <c r="B44"/>
      <c r="C44"/>
      <c r="D44"/>
      <c r="E44"/>
      <c r="F44"/>
      <c r="G44"/>
      <c r="H44"/>
      <c r="I44"/>
      <c r="J44"/>
      <c r="K44"/>
    </row>
    <row r="45" spans="1:11" ht="15" customHeight="1" x14ac:dyDescent="0.35">
      <c r="A45"/>
      <c r="B45"/>
      <c r="C45"/>
      <c r="D45"/>
      <c r="E45"/>
      <c r="F45"/>
      <c r="G45"/>
      <c r="H45"/>
      <c r="I45"/>
      <c r="J45"/>
      <c r="K45"/>
    </row>
    <row r="46" spans="1:11" ht="15" customHeight="1" x14ac:dyDescent="0.35">
      <c r="A46"/>
      <c r="B46"/>
      <c r="C46"/>
      <c r="D46"/>
      <c r="E46"/>
      <c r="F46"/>
      <c r="G46"/>
      <c r="H46"/>
      <c r="I46"/>
      <c r="J46"/>
      <c r="K46"/>
    </row>
    <row r="47" spans="1:11" ht="15" customHeight="1" x14ac:dyDescent="0.35">
      <c r="A47"/>
      <c r="B47"/>
      <c r="C47"/>
      <c r="D47"/>
      <c r="E47"/>
      <c r="F47"/>
      <c r="G47"/>
      <c r="H47"/>
      <c r="I47"/>
      <c r="J47"/>
      <c r="K47"/>
    </row>
    <row r="48" spans="1:11" ht="15" customHeight="1" x14ac:dyDescent="0.35">
      <c r="A48"/>
      <c r="B48"/>
      <c r="C48"/>
      <c r="D48"/>
      <c r="E48"/>
      <c r="F48"/>
      <c r="G48"/>
      <c r="H48"/>
      <c r="I48"/>
      <c r="J48"/>
      <c r="K48"/>
    </row>
    <row r="49" spans="1:11" ht="15" customHeight="1" x14ac:dyDescent="0.35">
      <c r="A49"/>
      <c r="B49"/>
      <c r="C49"/>
      <c r="D49"/>
      <c r="E49"/>
      <c r="F49"/>
      <c r="G49"/>
      <c r="H49"/>
      <c r="I49"/>
      <c r="J49"/>
      <c r="K49"/>
    </row>
    <row r="50" spans="1:11" ht="15" customHeight="1" x14ac:dyDescent="0.35">
      <c r="A50"/>
      <c r="B50"/>
      <c r="C50"/>
      <c r="D50"/>
      <c r="E50"/>
      <c r="F50"/>
      <c r="G50"/>
      <c r="H50"/>
      <c r="I50"/>
      <c r="J50"/>
      <c r="K50"/>
    </row>
    <row r="51" spans="1:11" ht="15" customHeight="1" x14ac:dyDescent="0.35">
      <c r="A51"/>
      <c r="B51"/>
      <c r="C51"/>
      <c r="D51"/>
      <c r="E51"/>
      <c r="F51"/>
      <c r="G51"/>
      <c r="H51"/>
      <c r="I51"/>
      <c r="J51"/>
      <c r="K51"/>
    </row>
    <row r="52" spans="1:11" ht="15" customHeight="1" x14ac:dyDescent="0.35">
      <c r="A52"/>
      <c r="B52"/>
      <c r="C52"/>
      <c r="D52"/>
      <c r="E52"/>
      <c r="F52"/>
      <c r="G52"/>
      <c r="H52"/>
      <c r="I52"/>
      <c r="J52"/>
      <c r="K52"/>
    </row>
    <row r="53" spans="1:11" ht="15" customHeight="1" x14ac:dyDescent="0.35">
      <c r="A53"/>
      <c r="B53"/>
      <c r="C53"/>
      <c r="D53"/>
      <c r="E53"/>
      <c r="F53"/>
      <c r="G53"/>
      <c r="H53"/>
      <c r="I53"/>
      <c r="J53"/>
      <c r="K53"/>
    </row>
    <row r="54" spans="1:11" ht="15" customHeight="1" x14ac:dyDescent="0.35">
      <c r="A54"/>
      <c r="B54"/>
      <c r="C54"/>
      <c r="D54"/>
      <c r="E54"/>
      <c r="F54"/>
      <c r="G54"/>
      <c r="H54"/>
      <c r="I54"/>
      <c r="J54"/>
      <c r="K54"/>
    </row>
    <row r="55" spans="1:11" ht="15" customHeight="1" x14ac:dyDescent="0.35">
      <c r="A55"/>
      <c r="B55"/>
      <c r="C55"/>
      <c r="D55"/>
      <c r="E55"/>
      <c r="F55"/>
      <c r="G55"/>
      <c r="H55"/>
      <c r="I55"/>
      <c r="J55"/>
      <c r="K55"/>
    </row>
    <row r="56" spans="1:11" ht="15" customHeight="1" x14ac:dyDescent="0.35">
      <c r="A56"/>
      <c r="B56"/>
      <c r="C56"/>
      <c r="D56"/>
      <c r="E56"/>
      <c r="F56"/>
      <c r="G56"/>
      <c r="H56"/>
      <c r="I56"/>
      <c r="J56"/>
      <c r="K56"/>
    </row>
    <row r="57" spans="1:11" ht="15" customHeight="1" x14ac:dyDescent="0.35">
      <c r="A57"/>
      <c r="B57"/>
      <c r="C57"/>
      <c r="D57"/>
      <c r="E57"/>
      <c r="F57"/>
      <c r="G57"/>
      <c r="H57"/>
      <c r="I57"/>
      <c r="J57"/>
      <c r="K57"/>
    </row>
    <row r="58" spans="1:11" ht="15" customHeight="1" x14ac:dyDescent="0.35">
      <c r="A58"/>
      <c r="B58"/>
      <c r="C58"/>
      <c r="D58"/>
      <c r="E58"/>
      <c r="F58"/>
      <c r="G58"/>
      <c r="H58"/>
      <c r="I58"/>
      <c r="J58"/>
      <c r="K58"/>
    </row>
    <row r="59" spans="1:11" ht="15" customHeight="1" x14ac:dyDescent="0.35">
      <c r="A59"/>
      <c r="B59"/>
      <c r="C59"/>
      <c r="D59"/>
      <c r="E59"/>
      <c r="F59"/>
      <c r="G59"/>
      <c r="H59"/>
      <c r="I59"/>
      <c r="J59"/>
      <c r="K59"/>
    </row>
    <row r="60" spans="1:11" ht="15" customHeight="1" x14ac:dyDescent="0.35">
      <c r="A60"/>
      <c r="B60"/>
      <c r="C60"/>
      <c r="D60"/>
      <c r="E60"/>
      <c r="F60"/>
      <c r="G60"/>
      <c r="H60"/>
      <c r="I60"/>
      <c r="J60"/>
      <c r="K60"/>
    </row>
    <row r="61" spans="1:11" ht="15" customHeight="1" x14ac:dyDescent="0.35">
      <c r="A61"/>
      <c r="B61"/>
      <c r="C61"/>
      <c r="D61"/>
      <c r="E61"/>
      <c r="F61"/>
      <c r="G61"/>
      <c r="H61"/>
      <c r="I61"/>
      <c r="J61"/>
      <c r="K61"/>
    </row>
    <row r="62" spans="1:11" ht="15" customHeight="1" x14ac:dyDescent="0.35">
      <c r="A62"/>
      <c r="B62"/>
      <c r="C62"/>
      <c r="D62"/>
      <c r="E62"/>
      <c r="F62"/>
      <c r="G62"/>
      <c r="H62"/>
      <c r="I62"/>
      <c r="J62"/>
      <c r="K62"/>
    </row>
    <row r="63" spans="1:11" ht="15" customHeight="1" x14ac:dyDescent="0.35">
      <c r="A63"/>
      <c r="B63"/>
      <c r="C63"/>
      <c r="D63"/>
      <c r="E63"/>
      <c r="F63"/>
      <c r="G63"/>
      <c r="H63"/>
      <c r="I63"/>
      <c r="J63"/>
      <c r="K63"/>
    </row>
    <row r="64" spans="1:11" ht="15" customHeight="1" x14ac:dyDescent="0.35">
      <c r="A64"/>
      <c r="B64"/>
      <c r="C64"/>
      <c r="D64"/>
      <c r="E64"/>
      <c r="F64"/>
      <c r="G64"/>
      <c r="H64"/>
      <c r="I64"/>
      <c r="J64"/>
      <c r="K64"/>
    </row>
    <row r="65" spans="1:11" ht="15" customHeight="1" x14ac:dyDescent="0.35">
      <c r="A65"/>
      <c r="B65"/>
      <c r="C65"/>
      <c r="D65"/>
      <c r="E65"/>
      <c r="F65"/>
      <c r="G65"/>
      <c r="H65"/>
      <c r="I65"/>
      <c r="J65"/>
      <c r="K65"/>
    </row>
    <row r="66" spans="1:11" ht="15" customHeight="1" x14ac:dyDescent="0.35">
      <c r="A66"/>
      <c r="B66"/>
      <c r="C66"/>
      <c r="D66"/>
      <c r="E66"/>
      <c r="F66"/>
      <c r="G66"/>
      <c r="H66"/>
      <c r="I66"/>
      <c r="J66"/>
      <c r="K66"/>
    </row>
    <row r="67" spans="1:11" ht="15" customHeight="1" x14ac:dyDescent="0.35">
      <c r="A67"/>
      <c r="B67"/>
      <c r="C67"/>
      <c r="D67"/>
      <c r="E67"/>
      <c r="F67"/>
      <c r="G67"/>
      <c r="H67"/>
      <c r="I67"/>
      <c r="J67"/>
      <c r="K67"/>
    </row>
    <row r="68" spans="1:11" ht="15" customHeight="1" x14ac:dyDescent="0.35">
      <c r="A68"/>
      <c r="B68"/>
      <c r="C68"/>
      <c r="D68"/>
      <c r="E68"/>
      <c r="F68"/>
      <c r="G68"/>
      <c r="H68"/>
      <c r="I68"/>
      <c r="J68"/>
      <c r="K68"/>
    </row>
    <row r="69" spans="1:11" ht="15" customHeight="1" x14ac:dyDescent="0.35">
      <c r="A69"/>
      <c r="B69"/>
      <c r="C69"/>
      <c r="D69"/>
      <c r="E69"/>
      <c r="F69"/>
      <c r="G69"/>
      <c r="H69"/>
      <c r="I69"/>
      <c r="J69"/>
      <c r="K69"/>
    </row>
    <row r="70" spans="1:11" ht="15" customHeight="1" x14ac:dyDescent="0.35">
      <c r="A70"/>
      <c r="B70"/>
      <c r="C70"/>
      <c r="D70"/>
      <c r="E70"/>
      <c r="F70"/>
      <c r="G70"/>
      <c r="H70"/>
      <c r="I70"/>
      <c r="J70"/>
      <c r="K70"/>
    </row>
    <row r="71" spans="1:11" ht="15" customHeight="1" x14ac:dyDescent="0.35">
      <c r="A71"/>
      <c r="B71"/>
      <c r="C71"/>
      <c r="D71"/>
      <c r="E71"/>
      <c r="F71"/>
      <c r="G71"/>
      <c r="H71"/>
      <c r="I71"/>
      <c r="J71"/>
      <c r="K71"/>
    </row>
    <row r="72" spans="1:11" ht="15" customHeight="1" x14ac:dyDescent="0.35">
      <c r="A72"/>
      <c r="B72"/>
      <c r="C72"/>
      <c r="D72"/>
      <c r="E72"/>
      <c r="F72"/>
      <c r="G72"/>
      <c r="H72"/>
      <c r="I72"/>
      <c r="J72"/>
      <c r="K72"/>
    </row>
    <row r="73" spans="1:11" ht="15" customHeight="1" x14ac:dyDescent="0.35">
      <c r="A73"/>
      <c r="B73"/>
      <c r="C73"/>
      <c r="D73"/>
      <c r="E73"/>
      <c r="F73"/>
      <c r="G73"/>
      <c r="H73"/>
      <c r="I73"/>
      <c r="J73"/>
      <c r="K73"/>
    </row>
    <row r="74" spans="1:11" ht="15" customHeight="1" x14ac:dyDescent="0.35">
      <c r="A74"/>
      <c r="B74"/>
      <c r="C74"/>
      <c r="D74"/>
      <c r="E74"/>
      <c r="F74"/>
      <c r="G74"/>
      <c r="H74"/>
      <c r="I74"/>
      <c r="J74"/>
      <c r="K74"/>
    </row>
    <row r="75" spans="1:11" ht="15" customHeight="1" x14ac:dyDescent="0.35">
      <c r="A75"/>
      <c r="B75"/>
      <c r="C75"/>
      <c r="D75"/>
      <c r="E75"/>
      <c r="F75"/>
      <c r="G75"/>
      <c r="H75"/>
      <c r="I75"/>
      <c r="J75"/>
      <c r="K75"/>
    </row>
    <row r="76" spans="1:11" ht="15" customHeight="1" x14ac:dyDescent="0.35">
      <c r="A76"/>
      <c r="B76"/>
      <c r="C76"/>
      <c r="D76"/>
      <c r="E76"/>
      <c r="F76"/>
      <c r="G76"/>
      <c r="H76"/>
      <c r="I76"/>
      <c r="J76"/>
      <c r="K76"/>
    </row>
    <row r="77" spans="1:11" ht="15" customHeight="1" x14ac:dyDescent="0.35">
      <c r="A77"/>
      <c r="B77"/>
      <c r="C77"/>
      <c r="D77"/>
      <c r="E77"/>
      <c r="F77"/>
      <c r="G77"/>
      <c r="H77"/>
      <c r="I77"/>
      <c r="J77"/>
      <c r="K77"/>
    </row>
    <row r="78" spans="1:11" ht="15" customHeight="1" x14ac:dyDescent="0.35">
      <c r="A78"/>
      <c r="B78"/>
      <c r="C78"/>
      <c r="D78"/>
      <c r="E78"/>
      <c r="F78"/>
      <c r="G78"/>
      <c r="H78"/>
      <c r="I78"/>
      <c r="J78"/>
      <c r="K78"/>
    </row>
    <row r="79" spans="1:11" ht="15" customHeight="1" x14ac:dyDescent="0.35">
      <c r="A79"/>
      <c r="B79"/>
      <c r="C79"/>
      <c r="D79"/>
      <c r="E79"/>
      <c r="F79"/>
      <c r="G79"/>
      <c r="H79"/>
      <c r="I79"/>
      <c r="J79"/>
      <c r="K79"/>
    </row>
    <row r="80" spans="1:11" ht="15" customHeight="1" x14ac:dyDescent="0.35">
      <c r="A80"/>
      <c r="B80"/>
      <c r="C80"/>
      <c r="D80"/>
      <c r="E80"/>
      <c r="F80"/>
      <c r="G80"/>
      <c r="H80"/>
      <c r="I80"/>
      <c r="J80"/>
      <c r="K80"/>
    </row>
    <row r="81" spans="1:11" ht="15" customHeight="1" x14ac:dyDescent="0.35">
      <c r="A81"/>
      <c r="B81"/>
      <c r="C81"/>
      <c r="D81"/>
      <c r="E81"/>
      <c r="F81"/>
      <c r="G81"/>
      <c r="H81"/>
      <c r="I81"/>
      <c r="J81"/>
      <c r="K81"/>
    </row>
    <row r="82" spans="1:11" ht="15" customHeight="1" x14ac:dyDescent="0.35">
      <c r="A82"/>
      <c r="B82"/>
      <c r="C82"/>
      <c r="D82"/>
      <c r="E82"/>
      <c r="F82"/>
      <c r="G82"/>
      <c r="H82"/>
      <c r="I82"/>
      <c r="J82"/>
      <c r="K82"/>
    </row>
    <row r="83" spans="1:11" ht="15" customHeight="1" x14ac:dyDescent="0.35">
      <c r="A83"/>
      <c r="B83"/>
      <c r="C83"/>
      <c r="D83"/>
      <c r="E83"/>
      <c r="F83"/>
      <c r="G83"/>
      <c r="H83"/>
      <c r="I83"/>
      <c r="J83"/>
      <c r="K83"/>
    </row>
    <row r="84" spans="1:11" ht="15" customHeight="1" x14ac:dyDescent="0.35">
      <c r="A84"/>
      <c r="B84"/>
      <c r="C84"/>
      <c r="D84"/>
      <c r="E84"/>
      <c r="F84"/>
      <c r="G84"/>
      <c r="H84"/>
      <c r="I84"/>
      <c r="J84"/>
      <c r="K84"/>
    </row>
    <row r="85" spans="1:11" ht="15" customHeight="1" x14ac:dyDescent="0.35">
      <c r="A85"/>
      <c r="B85"/>
      <c r="C85"/>
      <c r="D85"/>
      <c r="E85"/>
      <c r="F85"/>
      <c r="G85"/>
      <c r="H85"/>
      <c r="I85"/>
      <c r="J85"/>
      <c r="K85"/>
    </row>
    <row r="86" spans="1:11" ht="15" customHeight="1" x14ac:dyDescent="0.35">
      <c r="A86"/>
      <c r="B86"/>
      <c r="C86"/>
      <c r="D86"/>
      <c r="E86"/>
      <c r="F86"/>
      <c r="G86"/>
      <c r="H86"/>
      <c r="I86"/>
      <c r="J86"/>
      <c r="K86"/>
    </row>
    <row r="87" spans="1:11" ht="15" customHeight="1" x14ac:dyDescent="0.35">
      <c r="A87"/>
      <c r="B87"/>
      <c r="C87"/>
      <c r="D87"/>
      <c r="E87"/>
      <c r="F87"/>
      <c r="G87"/>
      <c r="H87"/>
      <c r="I87"/>
      <c r="J87"/>
      <c r="K87"/>
    </row>
    <row r="88" spans="1:11" ht="15" customHeight="1" x14ac:dyDescent="0.35">
      <c r="A88"/>
      <c r="B88"/>
      <c r="C88"/>
      <c r="D88"/>
      <c r="E88"/>
      <c r="F88"/>
      <c r="G88"/>
      <c r="H88"/>
      <c r="I88"/>
      <c r="J88"/>
      <c r="K88"/>
    </row>
    <row r="89" spans="1:11" ht="15" customHeight="1" x14ac:dyDescent="0.35">
      <c r="A89"/>
      <c r="B89"/>
      <c r="C89"/>
      <c r="D89"/>
      <c r="E89"/>
      <c r="F89"/>
      <c r="G89"/>
      <c r="H89"/>
      <c r="I89"/>
      <c r="J89"/>
      <c r="K89"/>
    </row>
    <row r="90" spans="1:11" ht="15" customHeight="1" x14ac:dyDescent="0.35">
      <c r="A90"/>
      <c r="B90"/>
      <c r="C90"/>
      <c r="D90"/>
      <c r="E90"/>
      <c r="F90"/>
      <c r="G90"/>
      <c r="H90"/>
      <c r="I90"/>
      <c r="J90"/>
      <c r="K90"/>
    </row>
    <row r="91" spans="1:11" ht="15" customHeight="1" x14ac:dyDescent="0.35">
      <c r="A91"/>
      <c r="B91"/>
      <c r="C91"/>
      <c r="D91"/>
      <c r="E91"/>
      <c r="F91"/>
      <c r="G91"/>
      <c r="H91"/>
      <c r="I91"/>
      <c r="J91"/>
      <c r="K91"/>
    </row>
    <row r="92" spans="1:11" ht="15" customHeight="1" x14ac:dyDescent="0.35">
      <c r="A92"/>
      <c r="B92"/>
      <c r="C92"/>
      <c r="D92"/>
      <c r="E92"/>
      <c r="F92"/>
      <c r="G92"/>
      <c r="H92"/>
      <c r="I92"/>
      <c r="J92"/>
      <c r="K92"/>
    </row>
    <row r="93" spans="1:11" ht="15" customHeight="1" x14ac:dyDescent="0.35">
      <c r="A93"/>
      <c r="B93"/>
      <c r="C93"/>
      <c r="D93"/>
      <c r="E93"/>
      <c r="F93"/>
      <c r="G93"/>
      <c r="H93"/>
      <c r="I93"/>
      <c r="J93"/>
      <c r="K93"/>
    </row>
    <row r="94" spans="1:11" ht="15" customHeight="1" x14ac:dyDescent="0.35">
      <c r="A94"/>
      <c r="B94"/>
      <c r="C94"/>
      <c r="D94"/>
      <c r="E94"/>
      <c r="F94"/>
      <c r="G94"/>
      <c r="H94"/>
      <c r="I94"/>
      <c r="J94"/>
      <c r="K94"/>
    </row>
    <row r="95" spans="1:11" ht="15" customHeight="1" x14ac:dyDescent="0.35">
      <c r="A95"/>
      <c r="B95"/>
      <c r="C95"/>
      <c r="D95"/>
      <c r="E95"/>
      <c r="F95"/>
      <c r="G95"/>
      <c r="H95"/>
      <c r="I95"/>
      <c r="J95"/>
      <c r="K95"/>
    </row>
    <row r="96" spans="1:11" ht="15" customHeight="1" x14ac:dyDescent="0.35">
      <c r="A96"/>
      <c r="B96"/>
      <c r="C96"/>
      <c r="D96"/>
      <c r="E96"/>
      <c r="F96"/>
      <c r="G96"/>
      <c r="H96"/>
      <c r="I96"/>
      <c r="J96"/>
      <c r="K96"/>
    </row>
    <row r="97" spans="1:11" ht="15" customHeight="1" x14ac:dyDescent="0.35">
      <c r="A97"/>
      <c r="B97"/>
      <c r="C97"/>
      <c r="D97"/>
      <c r="E97"/>
      <c r="F97"/>
      <c r="G97"/>
      <c r="H97"/>
      <c r="I97"/>
      <c r="J97"/>
      <c r="K97"/>
    </row>
    <row r="98" spans="1:11" ht="15" customHeight="1" x14ac:dyDescent="0.35">
      <c r="A98"/>
      <c r="B98"/>
      <c r="C98"/>
      <c r="D98"/>
      <c r="E98"/>
      <c r="F98"/>
      <c r="G98"/>
      <c r="H98"/>
      <c r="I98"/>
      <c r="J98"/>
      <c r="K98"/>
    </row>
    <row r="99" spans="1:11" ht="15" customHeight="1" x14ac:dyDescent="0.35">
      <c r="A99"/>
      <c r="B99"/>
      <c r="C99"/>
      <c r="D99"/>
      <c r="E99"/>
      <c r="F99"/>
      <c r="G99"/>
      <c r="H99"/>
      <c r="I99"/>
      <c r="J99"/>
      <c r="K99"/>
    </row>
    <row r="100" spans="1:11" ht="15" customHeight="1" x14ac:dyDescent="0.35">
      <c r="A100"/>
      <c r="B100"/>
      <c r="C100"/>
      <c r="D100"/>
      <c r="E100"/>
      <c r="F100"/>
      <c r="G100"/>
      <c r="H100"/>
      <c r="I100"/>
      <c r="J100"/>
      <c r="K100"/>
    </row>
    <row r="101" spans="1:11" ht="15" customHeight="1" x14ac:dyDescent="0.35">
      <c r="A101"/>
      <c r="B101"/>
      <c r="C101"/>
      <c r="D101"/>
      <c r="E101"/>
      <c r="F101"/>
      <c r="G101"/>
      <c r="H101"/>
      <c r="I101"/>
      <c r="J101"/>
      <c r="K101"/>
    </row>
    <row r="102" spans="1:11" ht="15" customHeight="1" x14ac:dyDescent="0.35">
      <c r="A102"/>
      <c r="B102"/>
      <c r="C102"/>
      <c r="D102"/>
      <c r="E102"/>
      <c r="F102"/>
      <c r="G102"/>
      <c r="H102"/>
      <c r="I102"/>
      <c r="J102"/>
      <c r="K102"/>
    </row>
    <row r="103" spans="1:11" ht="15" customHeight="1" x14ac:dyDescent="0.35">
      <c r="A103"/>
      <c r="B103"/>
      <c r="C103"/>
      <c r="D103"/>
      <c r="E103"/>
      <c r="F103"/>
      <c r="G103"/>
      <c r="H103"/>
      <c r="I103"/>
      <c r="J103"/>
      <c r="K103"/>
    </row>
    <row r="104" spans="1:11" ht="15" customHeight="1" x14ac:dyDescent="0.35">
      <c r="A104"/>
      <c r="B104"/>
      <c r="C104"/>
      <c r="D104"/>
      <c r="E104"/>
      <c r="F104"/>
      <c r="G104"/>
      <c r="H104"/>
      <c r="I104"/>
      <c r="J104"/>
      <c r="K104"/>
    </row>
    <row r="105" spans="1:11" ht="15" customHeight="1" x14ac:dyDescent="0.35">
      <c r="A105"/>
      <c r="B105"/>
      <c r="C105"/>
      <c r="D105"/>
      <c r="E105"/>
      <c r="F105"/>
      <c r="G105"/>
      <c r="H105"/>
      <c r="I105"/>
      <c r="J105"/>
      <c r="K105"/>
    </row>
    <row r="106" spans="1:11" ht="15" customHeight="1" x14ac:dyDescent="0.35">
      <c r="A106"/>
      <c r="B106"/>
      <c r="C106"/>
      <c r="D106"/>
      <c r="E106"/>
      <c r="F106"/>
      <c r="G106"/>
      <c r="H106"/>
      <c r="I106"/>
      <c r="J106"/>
      <c r="K106"/>
    </row>
    <row r="107" spans="1:11" ht="15" customHeight="1" x14ac:dyDescent="0.35">
      <c r="A107"/>
      <c r="B107"/>
      <c r="C107"/>
      <c r="D107"/>
      <c r="E107"/>
      <c r="F107"/>
      <c r="G107"/>
      <c r="H107"/>
      <c r="I107"/>
      <c r="J107"/>
      <c r="K107"/>
    </row>
    <row r="108" spans="1:11" ht="15" customHeight="1" x14ac:dyDescent="0.35">
      <c r="A108"/>
      <c r="B108"/>
      <c r="C108"/>
      <c r="D108"/>
      <c r="E108"/>
      <c r="F108"/>
      <c r="G108"/>
      <c r="H108"/>
      <c r="I108"/>
      <c r="J108"/>
      <c r="K108"/>
    </row>
    <row r="109" spans="1:11" ht="15" customHeight="1" x14ac:dyDescent="0.35">
      <c r="A109"/>
      <c r="B109"/>
      <c r="C109"/>
      <c r="D109"/>
      <c r="E109"/>
      <c r="F109"/>
      <c r="G109"/>
      <c r="H109"/>
      <c r="I109"/>
      <c r="J109"/>
      <c r="K109"/>
    </row>
    <row r="110" spans="1:11" ht="15" customHeight="1" x14ac:dyDescent="0.35">
      <c r="A110"/>
      <c r="B110"/>
      <c r="C110"/>
      <c r="D110"/>
      <c r="E110"/>
      <c r="F110"/>
      <c r="G110"/>
      <c r="H110"/>
      <c r="I110"/>
      <c r="J110"/>
      <c r="K110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E6BB3-F788-43E9-928F-6418A7D2606C}">
  <dimension ref="A1:K125"/>
  <sheetViews>
    <sheetView zoomScaleNormal="100" workbookViewId="0">
      <pane ySplit="2" topLeftCell="A3" activePane="bottomLeft" state="frozen"/>
      <selection pane="bottomLeft"/>
    </sheetView>
  </sheetViews>
  <sheetFormatPr defaultColWidth="9.08984375" defaultRowHeight="15" customHeight="1" x14ac:dyDescent="0.35"/>
  <cols>
    <col min="1" max="1" width="1.6328125" style="13" customWidth="1"/>
    <col min="2" max="2" width="51" style="49" bestFit="1" customWidth="1"/>
    <col min="3" max="3" width="10.6328125" style="49" customWidth="1"/>
    <col min="4" max="5" width="11.6328125" style="49" customWidth="1"/>
    <col min="6" max="6" width="11.90625" style="49" customWidth="1"/>
    <col min="7" max="11" width="11.6328125" style="49" customWidth="1"/>
    <col min="12" max="13" width="9.08984375" style="49" customWidth="1"/>
    <col min="14" max="16384" width="9.08984375" style="49"/>
  </cols>
  <sheetData>
    <row r="1" spans="1:11" ht="45" customHeight="1" x14ac:dyDescent="0.65">
      <c r="A1" s="5" t="str">
        <f>Welcome!A2</f>
        <v>REIT Operating and Valuation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ht="30" customHeight="1" x14ac:dyDescent="0.5">
      <c r="A2" s="12"/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ht="15" customHeight="1" x14ac:dyDescent="0.5">
      <c r="A4" s="118" t="s">
        <v>111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</row>
    <row r="5" spans="1:11" ht="15" customHeight="1" x14ac:dyDescent="0.35">
      <c r="A5"/>
      <c r="B5" t="s">
        <v>116</v>
      </c>
      <c r="C5"/>
      <c r="D5"/>
      <c r="E5" s="57">
        <f>E15/D15-1</f>
        <v>5.3356749470920173E-2</v>
      </c>
      <c r="F5" s="57">
        <f>F15/E15-1</f>
        <v>2.6983921879903283E-2</v>
      </c>
      <c r="G5" s="52">
        <v>0.03</v>
      </c>
      <c r="H5" s="52">
        <v>0.03</v>
      </c>
      <c r="I5" s="52">
        <v>0.03</v>
      </c>
      <c r="J5" s="52">
        <v>0.03</v>
      </c>
      <c r="K5" s="52">
        <v>0.03</v>
      </c>
    </row>
    <row r="6" spans="1:11" ht="15" customHeight="1" x14ac:dyDescent="0.35">
      <c r="A6" s="49"/>
      <c r="B6" s="54" t="s">
        <v>115</v>
      </c>
      <c r="D6" s="57">
        <f>D20/D15</f>
        <v>2.3418730161940012E-2</v>
      </c>
      <c r="E6" s="57">
        <f>E20/E15</f>
        <v>2.2266442692854375E-2</v>
      </c>
      <c r="F6" s="57">
        <f>F20/F15</f>
        <v>2.2332784516166139E-2</v>
      </c>
      <c r="G6" s="52">
        <v>2.3E-2</v>
      </c>
      <c r="H6" s="52">
        <v>2.3E-2</v>
      </c>
      <c r="I6" s="52">
        <v>2.3E-2</v>
      </c>
      <c r="J6" s="52">
        <v>2.3E-2</v>
      </c>
      <c r="K6" s="52">
        <v>2.3E-2</v>
      </c>
    </row>
    <row r="7" spans="1:11" ht="15" customHeight="1" x14ac:dyDescent="0.35">
      <c r="A7"/>
      <c r="B7" t="s">
        <v>112</v>
      </c>
      <c r="C7"/>
      <c r="D7" s="57" t="e">
        <f>D21/C46</f>
        <v>#DIV/0!</v>
      </c>
      <c r="E7" s="57">
        <f>E21/D46</f>
        <v>4.3996549945192094E-2</v>
      </c>
      <c r="F7" s="57">
        <f>F21/E46</f>
        <v>4.3830983044178339E-2</v>
      </c>
      <c r="G7" s="52">
        <v>4.3999999999999997E-2</v>
      </c>
      <c r="H7" s="52">
        <v>4.3999999999999997E-2</v>
      </c>
      <c r="I7" s="52">
        <v>4.3999999999999997E-2</v>
      </c>
      <c r="J7" s="52">
        <v>4.3999999999999997E-2</v>
      </c>
      <c r="K7" s="52">
        <v>4.3999999999999997E-2</v>
      </c>
    </row>
    <row r="8" spans="1:11" ht="15" customHeight="1" x14ac:dyDescent="0.35">
      <c r="A8"/>
      <c r="B8" t="s">
        <v>114</v>
      </c>
      <c r="D8" s="57">
        <f>D22/D17</f>
        <v>3.1492247687598389E-2</v>
      </c>
      <c r="E8" s="57">
        <f>E22/E17</f>
        <v>3.0343155908172086E-2</v>
      </c>
      <c r="F8" s="57">
        <f>F22/F17</f>
        <v>3.8177840410327325E-2</v>
      </c>
      <c r="G8" s="52">
        <v>3.1E-2</v>
      </c>
      <c r="H8" s="52">
        <v>3.1E-2</v>
      </c>
      <c r="I8" s="52">
        <v>3.1E-2</v>
      </c>
      <c r="J8" s="52">
        <v>3.1E-2</v>
      </c>
      <c r="K8" s="52">
        <v>3.1E-2</v>
      </c>
    </row>
    <row r="9" spans="1:11" ht="15" customHeight="1" x14ac:dyDescent="0.35">
      <c r="A9"/>
      <c r="B9" t="s">
        <v>117</v>
      </c>
      <c r="D9" s="57">
        <f>D23/D17</f>
        <v>1.4227191478213695E-3</v>
      </c>
      <c r="E9" s="57">
        <f>E23/E17</f>
        <v>1.1503784371130121E-3</v>
      </c>
      <c r="F9" s="57">
        <f>F23/F17</f>
        <v>1.3856618285164917E-4</v>
      </c>
      <c r="G9" s="52">
        <v>1E-3</v>
      </c>
      <c r="H9" s="52">
        <v>1E-3</v>
      </c>
      <c r="I9" s="52">
        <v>1E-3</v>
      </c>
      <c r="J9" s="52">
        <v>1E-3</v>
      </c>
      <c r="K9" s="52">
        <v>1E-3</v>
      </c>
    </row>
    <row r="10" spans="1:11" ht="15" customHeight="1" x14ac:dyDescent="0.35">
      <c r="A10" s="49"/>
      <c r="B10" s="49" t="s">
        <v>120</v>
      </c>
      <c r="D10" s="57"/>
      <c r="E10" s="57"/>
      <c r="F10" s="57"/>
      <c r="G10" s="84">
        <v>0</v>
      </c>
      <c r="H10" s="84">
        <v>0</v>
      </c>
      <c r="I10" s="84">
        <v>0</v>
      </c>
      <c r="J10" s="84">
        <v>0</v>
      </c>
      <c r="K10" s="84">
        <v>0</v>
      </c>
    </row>
    <row r="11" spans="1:11" ht="15" customHeight="1" x14ac:dyDescent="0.35">
      <c r="A11" s="49"/>
      <c r="B11" s="49" t="s">
        <v>369</v>
      </c>
      <c r="D11" s="57"/>
      <c r="E11" s="57"/>
      <c r="F11" s="57"/>
      <c r="G11" s="60">
        <v>0.03</v>
      </c>
      <c r="H11" s="60">
        <v>0.03</v>
      </c>
      <c r="I11" s="60">
        <v>0.03</v>
      </c>
      <c r="J11" s="60">
        <v>0.03</v>
      </c>
      <c r="K11" s="60">
        <v>0.03</v>
      </c>
    </row>
    <row r="12" spans="1:11" ht="15" customHeight="1" x14ac:dyDescent="0.35">
      <c r="A12"/>
      <c r="B12"/>
      <c r="C12"/>
      <c r="D12"/>
      <c r="E12"/>
      <c r="F12"/>
      <c r="G12"/>
      <c r="H12"/>
      <c r="I12"/>
      <c r="J12"/>
      <c r="K12"/>
    </row>
    <row r="13" spans="1:11" ht="15" customHeight="1" x14ac:dyDescent="0.5">
      <c r="A13" s="118" t="s">
        <v>109</v>
      </c>
      <c r="B13" s="118"/>
      <c r="C13" s="118"/>
      <c r="D13" s="118"/>
      <c r="E13" s="118"/>
      <c r="F13" s="118"/>
      <c r="G13" s="118"/>
      <c r="H13" s="118"/>
      <c r="I13" s="118"/>
      <c r="J13" s="118"/>
      <c r="K13" s="118"/>
    </row>
    <row r="14" spans="1:11" ht="15" customHeight="1" x14ac:dyDescent="0.35">
      <c r="A14" s="49"/>
      <c r="B14" t="s">
        <v>93</v>
      </c>
      <c r="C14"/>
      <c r="D14"/>
      <c r="E14"/>
      <c r="F14"/>
      <c r="G14"/>
      <c r="H14"/>
      <c r="I14"/>
      <c r="J14"/>
      <c r="K14"/>
    </row>
    <row r="15" spans="1:11" ht="15" customHeight="1" x14ac:dyDescent="0.35">
      <c r="A15" s="49"/>
      <c r="B15" s="53" t="s">
        <v>95</v>
      </c>
      <c r="C15" s="78"/>
      <c r="D15" s="80">
        <v>1285723</v>
      </c>
      <c r="E15" s="80">
        <v>1354325</v>
      </c>
      <c r="F15" s="80">
        <v>1390870</v>
      </c>
      <c r="G15" s="78">
        <f>Calculations!G11</f>
        <v>1470184.8898655912</v>
      </c>
      <c r="H15" s="78">
        <f>Calculations!H11</f>
        <v>1502934.6595984315</v>
      </c>
      <c r="I15" s="78">
        <f>Calculations!I11</f>
        <v>1537422.4578595846</v>
      </c>
      <c r="J15" s="78">
        <f>Calculations!J11</f>
        <v>1577563.433532788</v>
      </c>
      <c r="K15" s="78">
        <f>Calculations!K11</f>
        <v>1616010.9523603607</v>
      </c>
    </row>
    <row r="16" spans="1:11" ht="15" customHeight="1" x14ac:dyDescent="0.35">
      <c r="A16" s="54"/>
      <c r="B16" s="53" t="s">
        <v>96</v>
      </c>
      <c r="C16" s="78"/>
      <c r="D16" s="80">
        <v>8278</v>
      </c>
      <c r="E16" s="80">
        <v>9574</v>
      </c>
      <c r="F16" s="80">
        <v>9183</v>
      </c>
      <c r="G16" s="78">
        <f>(1+G5)*F16</f>
        <v>9458.49</v>
      </c>
      <c r="H16" s="78">
        <f t="shared" ref="H16:K16" si="0">(1+H5)*G16</f>
        <v>9742.2446999999993</v>
      </c>
      <c r="I16" s="78">
        <f t="shared" si="0"/>
        <v>10034.512041</v>
      </c>
      <c r="J16" s="78">
        <f t="shared" si="0"/>
        <v>10335.54740223</v>
      </c>
      <c r="K16" s="78">
        <f t="shared" si="0"/>
        <v>10645.613824296901</v>
      </c>
    </row>
    <row r="17" spans="1:11" ht="15" customHeight="1" x14ac:dyDescent="0.35">
      <c r="A17" s="54"/>
      <c r="B17" s="81" t="s">
        <v>97</v>
      </c>
      <c r="C17" s="79"/>
      <c r="D17" s="79">
        <f>SUM(D15:D16)</f>
        <v>1294001</v>
      </c>
      <c r="E17" s="79">
        <f>SUM(E15:E16)</f>
        <v>1363899</v>
      </c>
      <c r="F17" s="79">
        <f>SUM(F15:F16)</f>
        <v>1400053</v>
      </c>
      <c r="G17" s="79">
        <f>SUM(G15:G16)</f>
        <v>1479643.3798655912</v>
      </c>
      <c r="H17" s="79">
        <f t="shared" ref="H17:K17" si="1">SUM(H15:H16)</f>
        <v>1512676.9042984315</v>
      </c>
      <c r="I17" s="79">
        <f t="shared" si="1"/>
        <v>1547456.9699005845</v>
      </c>
      <c r="J17" s="79">
        <f t="shared" si="1"/>
        <v>1587898.980935018</v>
      </c>
      <c r="K17" s="79">
        <f t="shared" si="1"/>
        <v>1626656.5661846576</v>
      </c>
    </row>
    <row r="18" spans="1:11" ht="15" customHeight="1" x14ac:dyDescent="0.35">
      <c r="A18" s="49"/>
      <c r="B18" s="54" t="s">
        <v>94</v>
      </c>
      <c r="C18" s="78"/>
      <c r="D18" s="78"/>
      <c r="E18" s="78"/>
      <c r="F18" s="78"/>
      <c r="G18" s="78"/>
      <c r="H18" s="78"/>
      <c r="I18" s="78"/>
      <c r="J18" s="78"/>
      <c r="K18" s="78"/>
    </row>
    <row r="19" spans="1:11" ht="15" customHeight="1" x14ac:dyDescent="0.35">
      <c r="A19" s="54"/>
      <c r="B19" s="53" t="s">
        <v>156</v>
      </c>
      <c r="C19" s="78"/>
      <c r="D19" s="80">
        <v>358817</v>
      </c>
      <c r="E19" s="80">
        <v>375386</v>
      </c>
      <c r="F19" s="80">
        <v>385334</v>
      </c>
      <c r="G19" s="78">
        <f>Calculations!G20</f>
        <v>432930.07862559153</v>
      </c>
      <c r="H19" s="78">
        <f>Calculations!H20</f>
        <v>440559.21436053165</v>
      </c>
      <c r="I19" s="78">
        <f>Calculations!I20</f>
        <v>449829.03436037834</v>
      </c>
      <c r="J19" s="78">
        <f>Calculations!J20</f>
        <v>460429.9456562401</v>
      </c>
      <c r="K19" s="78">
        <f>Calculations!K20</f>
        <v>470530.40146188869</v>
      </c>
    </row>
    <row r="20" spans="1:11" ht="15" customHeight="1" x14ac:dyDescent="0.35">
      <c r="A20" s="54"/>
      <c r="B20" s="53" t="s">
        <v>106</v>
      </c>
      <c r="C20" s="78"/>
      <c r="D20" s="80">
        <v>30110</v>
      </c>
      <c r="E20" s="80">
        <v>30156</v>
      </c>
      <c r="F20" s="80">
        <v>31062</v>
      </c>
      <c r="G20" s="78">
        <f>G6*G15</f>
        <v>33814.252466908598</v>
      </c>
      <c r="H20" s="78">
        <f t="shared" ref="H20:K20" si="2">H6*H15</f>
        <v>34567.497170763927</v>
      </c>
      <c r="I20" s="78">
        <f t="shared" si="2"/>
        <v>35360.716530770442</v>
      </c>
      <c r="J20" s="78">
        <f t="shared" si="2"/>
        <v>36283.95897125412</v>
      </c>
      <c r="K20" s="78">
        <f t="shared" si="2"/>
        <v>37168.251904288292</v>
      </c>
    </row>
    <row r="21" spans="1:11" ht="15" customHeight="1" x14ac:dyDescent="0.35">
      <c r="A21" s="54"/>
      <c r="B21" s="53" t="s">
        <v>107</v>
      </c>
      <c r="C21" s="78"/>
      <c r="D21" s="80">
        <v>441682</v>
      </c>
      <c r="E21" s="80">
        <v>468881</v>
      </c>
      <c r="F21" s="80">
        <v>479884</v>
      </c>
      <c r="G21" s="78">
        <f>G7*F46</f>
        <v>466892.00799999997</v>
      </c>
      <c r="H21" s="78">
        <f>H7*G46</f>
        <v>464346.25975724519</v>
      </c>
      <c r="I21" s="78">
        <f>I7*H46</f>
        <v>461899.33849593293</v>
      </c>
      <c r="J21" s="78">
        <f>J7*I46</f>
        <v>459934.56289086118</v>
      </c>
      <c r="K21" s="78">
        <f>K7*J46</f>
        <v>458162.20958818984</v>
      </c>
    </row>
    <row r="22" spans="1:11" ht="15" customHeight="1" x14ac:dyDescent="0.35">
      <c r="A22" s="54"/>
      <c r="B22" s="53" t="s">
        <v>108</v>
      </c>
      <c r="C22" s="78"/>
      <c r="D22" s="80">
        <v>40751</v>
      </c>
      <c r="E22" s="80">
        <v>41385</v>
      </c>
      <c r="F22" s="80">
        <v>53451</v>
      </c>
      <c r="G22" s="78">
        <f>G8*G15</f>
        <v>45575.731585833324</v>
      </c>
      <c r="H22" s="78">
        <f t="shared" ref="H22:K22" si="3">H8*H15</f>
        <v>46590.97444755138</v>
      </c>
      <c r="I22" s="78">
        <f t="shared" si="3"/>
        <v>47660.096193647121</v>
      </c>
      <c r="J22" s="78">
        <f t="shared" si="3"/>
        <v>48904.466439516429</v>
      </c>
      <c r="K22" s="78">
        <f t="shared" si="3"/>
        <v>50096.339523171177</v>
      </c>
    </row>
    <row r="23" spans="1:11" ht="15" customHeight="1" x14ac:dyDescent="0.35">
      <c r="A23" s="54"/>
      <c r="B23" s="53" t="s">
        <v>113</v>
      </c>
      <c r="C23" s="78"/>
      <c r="D23" s="80">
        <v>1841</v>
      </c>
      <c r="E23" s="80">
        <v>1569</v>
      </c>
      <c r="F23" s="80">
        <v>194</v>
      </c>
      <c r="G23" s="78">
        <f>G9*G17</f>
        <v>1479.6433798655912</v>
      </c>
      <c r="H23" s="78">
        <f t="shared" ref="H23:K23" si="4">H9*H17</f>
        <v>1512.6769042984315</v>
      </c>
      <c r="I23" s="78">
        <f t="shared" si="4"/>
        <v>1547.4569699005847</v>
      </c>
      <c r="J23" s="78">
        <f t="shared" si="4"/>
        <v>1587.898980935018</v>
      </c>
      <c r="K23" s="78">
        <f t="shared" si="4"/>
        <v>1626.6565661846575</v>
      </c>
    </row>
    <row r="24" spans="1:11" ht="15" customHeight="1" x14ac:dyDescent="0.35">
      <c r="A24" s="54"/>
      <c r="B24" s="82" t="s">
        <v>97</v>
      </c>
      <c r="C24" s="79"/>
      <c r="D24" s="79">
        <f>SUM(D19:D23)</f>
        <v>873201</v>
      </c>
      <c r="E24" s="79">
        <f>SUM(E19:E23)</f>
        <v>917377</v>
      </c>
      <c r="F24" s="79">
        <f>SUM(F19:F23)</f>
        <v>949925</v>
      </c>
      <c r="G24" s="79">
        <f>SUM(G19:G23)</f>
        <v>980691.71405819897</v>
      </c>
      <c r="H24" s="79">
        <f t="shared" ref="H24:K24" si="5">SUM(H19:H23)</f>
        <v>987576.62264039065</v>
      </c>
      <c r="I24" s="79">
        <f t="shared" si="5"/>
        <v>996296.64255062956</v>
      </c>
      <c r="J24" s="79">
        <f t="shared" si="5"/>
        <v>1007140.8329388069</v>
      </c>
      <c r="K24" s="79">
        <f t="shared" si="5"/>
        <v>1017583.8590437227</v>
      </c>
    </row>
    <row r="25" spans="1:11" ht="15" customHeight="1" x14ac:dyDescent="0.35">
      <c r="A25" s="49"/>
      <c r="B25" s="54" t="s">
        <v>98</v>
      </c>
      <c r="C25" s="78"/>
      <c r="D25" s="78">
        <f>D17-D24</f>
        <v>420800</v>
      </c>
      <c r="E25" s="78">
        <f>E17-E24</f>
        <v>446522</v>
      </c>
      <c r="F25" s="78">
        <f>F17-F24</f>
        <v>450128</v>
      </c>
      <c r="G25" s="78">
        <f>G17-G24</f>
        <v>498951.66580739222</v>
      </c>
      <c r="H25" s="78">
        <f t="shared" ref="H25:K25" si="6">H17-H24</f>
        <v>525100.28165804083</v>
      </c>
      <c r="I25" s="78">
        <f t="shared" si="6"/>
        <v>551160.32734995498</v>
      </c>
      <c r="J25" s="78">
        <f t="shared" si="6"/>
        <v>580758.14799621119</v>
      </c>
      <c r="K25" s="78">
        <f t="shared" si="6"/>
        <v>609072.70714093489</v>
      </c>
    </row>
    <row r="26" spans="1:11" ht="15" customHeight="1" x14ac:dyDescent="0.35">
      <c r="A26" s="49"/>
      <c r="B26" s="53" t="s">
        <v>99</v>
      </c>
      <c r="C26" s="78"/>
      <c r="D26" s="80">
        <v>219654</v>
      </c>
      <c r="E26" s="80">
        <v>222894</v>
      </c>
      <c r="F26" s="80">
        <v>220492</v>
      </c>
      <c r="G26" s="93">
        <f>IF(Switch=1,Financing!G27,0)</f>
        <v>0</v>
      </c>
      <c r="H26" s="93">
        <f>IF(Switch=1,Financing!H27,0)</f>
        <v>0</v>
      </c>
      <c r="I26" s="93">
        <f>IF(Switch=1,Financing!I27,0)</f>
        <v>0</v>
      </c>
      <c r="J26" s="93">
        <f>IF(Switch=1,Financing!J27,0)</f>
        <v>0</v>
      </c>
      <c r="K26" s="93">
        <f>IF(Switch=1,Financing!K27,0)</f>
        <v>0</v>
      </c>
    </row>
    <row r="27" spans="1:11" ht="15" customHeight="1" x14ac:dyDescent="0.35">
      <c r="A27" s="49"/>
      <c r="B27" s="53" t="s">
        <v>100</v>
      </c>
      <c r="C27" s="78"/>
      <c r="D27" s="80">
        <v>39021</v>
      </c>
      <c r="E27" s="80">
        <v>34702</v>
      </c>
      <c r="F27" s="80">
        <v>31717</v>
      </c>
      <c r="G27" s="93">
        <f>IF(Switch=1,Financing!G30,0)</f>
        <v>0</v>
      </c>
      <c r="H27" s="93">
        <f>IF(Switch=1,Financing!H30,0)</f>
        <v>0</v>
      </c>
      <c r="I27" s="93">
        <f>IF(Switch=1,Financing!I30,0)</f>
        <v>0</v>
      </c>
      <c r="J27" s="93">
        <f>IF(Switch=1,Financing!J30,0)</f>
        <v>0</v>
      </c>
      <c r="K27" s="93">
        <f>IF(Switch=1,Financing!K30,0)</f>
        <v>0</v>
      </c>
    </row>
    <row r="28" spans="1:11" ht="15" customHeight="1" x14ac:dyDescent="0.35">
      <c r="A28" s="49"/>
      <c r="B28" s="53" t="s">
        <v>101</v>
      </c>
      <c r="C28" s="78">
        <f>D25-D26+D28-D30</f>
        <v>99693</v>
      </c>
      <c r="D28" s="80">
        <v>48698</v>
      </c>
      <c r="E28" s="80">
        <v>86445</v>
      </c>
      <c r="F28" s="80">
        <v>89132</v>
      </c>
      <c r="G28" s="78">
        <f>Calculations!G42</f>
        <v>84083.749750000017</v>
      </c>
      <c r="H28" s="78">
        <f>Calculations!H42</f>
        <v>92492.124725000031</v>
      </c>
      <c r="I28" s="78">
        <f>Calculations!I42</f>
        <v>101741.33719750005</v>
      </c>
      <c r="J28" s="78">
        <f>Calculations!J42</f>
        <v>111915.47091725003</v>
      </c>
      <c r="K28" s="78">
        <f>Calculations!K42</f>
        <v>123107.01800897508</v>
      </c>
    </row>
    <row r="29" spans="1:11" ht="15" customHeight="1" x14ac:dyDescent="0.35">
      <c r="A29" s="49"/>
      <c r="B29" s="53" t="s">
        <v>102</v>
      </c>
      <c r="C29" s="78"/>
      <c r="D29" s="80">
        <v>606</v>
      </c>
      <c r="E29" s="80">
        <v>1796</v>
      </c>
      <c r="F29" s="80">
        <v>0</v>
      </c>
      <c r="G29" s="78">
        <f>G10</f>
        <v>0</v>
      </c>
      <c r="H29" s="78">
        <f t="shared" ref="H29:K29" si="7">H10</f>
        <v>0</v>
      </c>
      <c r="I29" s="78">
        <f t="shared" si="7"/>
        <v>0</v>
      </c>
      <c r="J29" s="78">
        <f t="shared" si="7"/>
        <v>0</v>
      </c>
      <c r="K29" s="78">
        <f t="shared" si="7"/>
        <v>0</v>
      </c>
    </row>
    <row r="30" spans="1:11" ht="15" customHeight="1" x14ac:dyDescent="0.35">
      <c r="A30" s="49"/>
      <c r="B30" s="53" t="s">
        <v>135</v>
      </c>
      <c r="C30" s="78"/>
      <c r="D30" s="80">
        <f>154561-4410</f>
        <v>150151</v>
      </c>
      <c r="E30" s="80">
        <f>26423+88641</f>
        <v>115064</v>
      </c>
      <c r="F30" s="80">
        <f>61861+1253</f>
        <v>63114</v>
      </c>
      <c r="G30" s="78">
        <f>Calculations!G153</f>
        <v>25000</v>
      </c>
      <c r="H30" s="78">
        <f>Calculations!H153</f>
        <v>25000</v>
      </c>
      <c r="I30" s="78">
        <f>Calculations!I153</f>
        <v>25000</v>
      </c>
      <c r="J30" s="78">
        <f>Calculations!J153</f>
        <v>25000</v>
      </c>
      <c r="K30" s="78">
        <f>Calculations!K153</f>
        <v>25000</v>
      </c>
    </row>
    <row r="31" spans="1:11" ht="15" customHeight="1" x14ac:dyDescent="0.35">
      <c r="A31" s="49"/>
      <c r="B31" s="58" t="s">
        <v>103</v>
      </c>
      <c r="C31" s="79"/>
      <c r="D31" s="83">
        <f t="shared" ref="D31:K31" si="8">D25-D26+D27+D28-D29+D30</f>
        <v>438410</v>
      </c>
      <c r="E31" s="83">
        <f t="shared" si="8"/>
        <v>458043</v>
      </c>
      <c r="F31" s="83">
        <f t="shared" si="8"/>
        <v>413599</v>
      </c>
      <c r="G31" s="95">
        <f t="shared" si="8"/>
        <v>608035.41555739217</v>
      </c>
      <c r="H31" s="95">
        <f t="shared" si="8"/>
        <v>642592.40638304083</v>
      </c>
      <c r="I31" s="95">
        <f t="shared" si="8"/>
        <v>677901.66454745503</v>
      </c>
      <c r="J31" s="95">
        <f t="shared" si="8"/>
        <v>717673.61891346122</v>
      </c>
      <c r="K31" s="95">
        <f t="shared" si="8"/>
        <v>757179.72514990997</v>
      </c>
    </row>
    <row r="32" spans="1:11" ht="15" customHeight="1" x14ac:dyDescent="0.35">
      <c r="A32" s="49"/>
      <c r="B32" s="53" t="s">
        <v>134</v>
      </c>
      <c r="C32" s="78"/>
      <c r="D32" s="80">
        <v>23431</v>
      </c>
      <c r="E32" s="80">
        <v>24984</v>
      </c>
      <c r="F32" s="80">
        <v>23446</v>
      </c>
      <c r="G32" s="78">
        <f>(1+G11)*F32</f>
        <v>24149.38</v>
      </c>
      <c r="H32" s="78">
        <f t="shared" ref="H32:K32" si="9">(1+H11)*G32</f>
        <v>24873.861400000002</v>
      </c>
      <c r="I32" s="78">
        <f t="shared" si="9"/>
        <v>25620.077242000003</v>
      </c>
      <c r="J32" s="78">
        <f t="shared" si="9"/>
        <v>26388.679559260003</v>
      </c>
      <c r="K32" s="78">
        <f t="shared" si="9"/>
        <v>27180.339946037802</v>
      </c>
    </row>
    <row r="33" spans="1:11" ht="15" customHeight="1" x14ac:dyDescent="0.35">
      <c r="A33" s="49"/>
      <c r="B33" s="58" t="s">
        <v>105</v>
      </c>
      <c r="C33" s="79"/>
      <c r="D33" s="83">
        <f>D31-D32</f>
        <v>414979</v>
      </c>
      <c r="E33" s="83">
        <f t="shared" ref="E33:F33" si="10">E31-E32</f>
        <v>433059</v>
      </c>
      <c r="F33" s="83">
        <f t="shared" si="10"/>
        <v>390153</v>
      </c>
      <c r="G33" s="95">
        <f>G31-G32</f>
        <v>583886.03555739217</v>
      </c>
      <c r="H33" s="95">
        <f>H31-H32</f>
        <v>617718.54498304077</v>
      </c>
      <c r="I33" s="95">
        <f>I31-I32</f>
        <v>652281.587305455</v>
      </c>
      <c r="J33" s="95">
        <f>J31-J32</f>
        <v>691284.9393542012</v>
      </c>
      <c r="K33" s="95">
        <f>K31-K32</f>
        <v>729999.38520387211</v>
      </c>
    </row>
    <row r="34" spans="1:11" ht="15" customHeight="1" x14ac:dyDescent="0.35">
      <c r="A34"/>
      <c r="B34"/>
      <c r="C34" s="78"/>
      <c r="D34" s="78"/>
      <c r="E34" s="78"/>
      <c r="F34" s="78"/>
      <c r="G34"/>
      <c r="H34"/>
      <c r="I34"/>
      <c r="J34"/>
      <c r="K34"/>
    </row>
    <row r="35" spans="1:11" ht="15" customHeight="1" x14ac:dyDescent="0.5">
      <c r="A35" s="118" t="s">
        <v>118</v>
      </c>
      <c r="B35" s="118"/>
      <c r="C35" s="119"/>
      <c r="D35" s="119"/>
      <c r="E35" s="119"/>
      <c r="F35" s="119"/>
      <c r="G35" s="118"/>
      <c r="H35" s="118"/>
      <c r="I35" s="118"/>
      <c r="J35" s="118"/>
      <c r="K35" s="118"/>
    </row>
    <row r="36" spans="1:11" ht="15" customHeight="1" x14ac:dyDescent="0.35">
      <c r="A36" s="64"/>
      <c r="B36" s="49" t="s">
        <v>208</v>
      </c>
      <c r="C36" s="78"/>
      <c r="D36" s="57">
        <f>D48/D15</f>
        <v>0.24071359071899623</v>
      </c>
      <c r="E36" s="57">
        <f>E48/E15</f>
        <v>0.18542816532220849</v>
      </c>
      <c r="F36" s="57">
        <f>F48/F15</f>
        <v>0.25950663972909044</v>
      </c>
      <c r="G36" s="52">
        <v>0.25</v>
      </c>
      <c r="H36" s="52">
        <v>0.25</v>
      </c>
      <c r="I36" s="52">
        <v>0.25</v>
      </c>
      <c r="J36" s="52">
        <v>0.25</v>
      </c>
      <c r="K36" s="52">
        <v>0.25</v>
      </c>
    </row>
    <row r="37" spans="1:11" ht="15" customHeight="1" x14ac:dyDescent="0.35">
      <c r="A37" s="64"/>
      <c r="B37" s="49" t="s">
        <v>137</v>
      </c>
      <c r="C37" s="78"/>
      <c r="D37" s="57">
        <f t="shared" ref="D37:F38" si="11">D49/D$15</f>
        <v>3.1865339579365076E-2</v>
      </c>
      <c r="E37" s="57">
        <f t="shared" si="11"/>
        <v>7.4521255976224318E-2</v>
      </c>
      <c r="F37" s="57">
        <f t="shared" si="11"/>
        <v>5.169066843055066E-2</v>
      </c>
      <c r="G37" s="52">
        <v>0.05</v>
      </c>
      <c r="H37" s="52">
        <v>0.05</v>
      </c>
      <c r="I37" s="52">
        <v>0.05</v>
      </c>
      <c r="J37" s="52">
        <v>0.05</v>
      </c>
      <c r="K37" s="52">
        <v>0.05</v>
      </c>
    </row>
    <row r="38" spans="1:11" ht="15" customHeight="1" x14ac:dyDescent="0.35">
      <c r="A38" s="64"/>
      <c r="B38" s="49" t="s">
        <v>138</v>
      </c>
      <c r="C38" s="78"/>
      <c r="D38" s="57">
        <f t="shared" si="11"/>
        <v>3.7683077925805171E-2</v>
      </c>
      <c r="E38" s="57">
        <f t="shared" si="11"/>
        <v>2.8911081165894449E-2</v>
      </c>
      <c r="F38" s="57">
        <f t="shared" si="11"/>
        <v>2.8355633524340881E-2</v>
      </c>
      <c r="G38" s="52">
        <v>2.8000000000000001E-2</v>
      </c>
      <c r="H38" s="52">
        <v>2.8000000000000001E-2</v>
      </c>
      <c r="I38" s="52">
        <v>2.8000000000000001E-2</v>
      </c>
      <c r="J38" s="52">
        <v>2.8000000000000001E-2</v>
      </c>
      <c r="K38" s="52">
        <v>2.8000000000000001E-2</v>
      </c>
    </row>
    <row r="39" spans="1:11" ht="15" customHeight="1" x14ac:dyDescent="0.35">
      <c r="A39" s="64"/>
      <c r="B39" s="49" t="s">
        <v>163</v>
      </c>
      <c r="C39" s="78"/>
      <c r="D39" s="57">
        <f>Calculations!D27/OpModel!D15</f>
        <v>5.0375547454622804E-2</v>
      </c>
      <c r="E39" s="57">
        <f>Calculations!E27/OpModel!E15</f>
        <v>5.3762575452716295E-2</v>
      </c>
      <c r="F39" s="57">
        <f>Calculations!F27/OpModel!F15</f>
        <v>5.872870936895612E-2</v>
      </c>
      <c r="G39" s="52">
        <v>0.06</v>
      </c>
      <c r="H39" s="52">
        <v>0.06</v>
      </c>
      <c r="I39" s="52">
        <v>0.06</v>
      </c>
      <c r="J39" s="52">
        <v>0.06</v>
      </c>
      <c r="K39" s="52">
        <v>0.06</v>
      </c>
    </row>
    <row r="40" spans="1:11" ht="15" customHeight="1" x14ac:dyDescent="0.35">
      <c r="A40" s="64"/>
      <c r="B40" s="49" t="s">
        <v>139</v>
      </c>
      <c r="C40" s="78"/>
      <c r="D40" s="57">
        <f>D54/D15</f>
        <v>0.22112461237762721</v>
      </c>
      <c r="E40" s="57">
        <f>E54/E15</f>
        <v>0.24914034666715892</v>
      </c>
      <c r="F40" s="57">
        <f>F54/F15</f>
        <v>0.22644819429565669</v>
      </c>
      <c r="G40" s="52">
        <v>0.22600000000000001</v>
      </c>
      <c r="H40" s="52">
        <v>0.22600000000000001</v>
      </c>
      <c r="I40" s="52">
        <v>0.22600000000000001</v>
      </c>
      <c r="J40" s="52">
        <v>0.22600000000000001</v>
      </c>
      <c r="K40" s="52">
        <v>0.22600000000000001</v>
      </c>
    </row>
    <row r="41" spans="1:11" ht="15" customHeight="1" x14ac:dyDescent="0.35">
      <c r="A41" s="64"/>
      <c r="B41" s="49" t="s">
        <v>140</v>
      </c>
      <c r="C41" s="78"/>
      <c r="D41" s="57">
        <f>D55/D15</f>
        <v>2.560582644939851E-2</v>
      </c>
      <c r="E41" s="57">
        <f>E55/E15</f>
        <v>2.4463847304007531E-2</v>
      </c>
      <c r="F41" s="57">
        <f>F55/F15</f>
        <v>2.3995772430205554E-2</v>
      </c>
      <c r="G41" s="52">
        <v>2.4E-2</v>
      </c>
      <c r="H41" s="52">
        <v>2.4E-2</v>
      </c>
      <c r="I41" s="52">
        <v>2.4E-2</v>
      </c>
      <c r="J41" s="52">
        <v>2.4E-2</v>
      </c>
      <c r="K41" s="52">
        <v>2.4E-2</v>
      </c>
    </row>
    <row r="42" spans="1:11" s="131" customFormat="1" ht="15" customHeight="1" x14ac:dyDescent="0.35">
      <c r="A42" s="64"/>
      <c r="B42" s="131" t="s">
        <v>368</v>
      </c>
      <c r="C42" s="78"/>
      <c r="D42" s="78">
        <f>D58</f>
        <v>44684</v>
      </c>
      <c r="E42" s="78">
        <f t="shared" ref="E42:F42" si="12">E58</f>
        <v>39206</v>
      </c>
      <c r="F42" s="78">
        <f t="shared" si="12"/>
        <v>35475</v>
      </c>
      <c r="G42" s="84">
        <f>F42</f>
        <v>35475</v>
      </c>
      <c r="H42" s="84">
        <f t="shared" ref="H42:K42" si="13">G42</f>
        <v>35475</v>
      </c>
      <c r="I42" s="84">
        <f t="shared" si="13"/>
        <v>35475</v>
      </c>
      <c r="J42" s="84">
        <f t="shared" si="13"/>
        <v>35475</v>
      </c>
      <c r="K42" s="84">
        <f t="shared" si="13"/>
        <v>35475</v>
      </c>
    </row>
    <row r="43" spans="1:11" ht="15" customHeight="1" x14ac:dyDescent="0.35">
      <c r="A43" s="64"/>
      <c r="B43" s="49" t="s">
        <v>175</v>
      </c>
      <c r="C43" s="78"/>
      <c r="D43" s="57">
        <f>Calculations!D58</f>
        <v>0.58192240732615252</v>
      </c>
      <c r="E43" s="57">
        <f>Calculations!E58</f>
        <v>0.57267599977633066</v>
      </c>
      <c r="F43" s="57">
        <f>Calculations!F58</f>
        <v>0.60003494757244491</v>
      </c>
      <c r="G43" s="52">
        <v>0.6</v>
      </c>
      <c r="H43" s="52">
        <v>0.6</v>
      </c>
      <c r="I43" s="52">
        <v>0.6</v>
      </c>
      <c r="J43" s="52">
        <v>0.6</v>
      </c>
      <c r="K43" s="52">
        <v>0.6</v>
      </c>
    </row>
    <row r="44" spans="1:11" ht="15" customHeight="1" x14ac:dyDescent="0.35">
      <c r="A44" s="64"/>
      <c r="C44" s="78"/>
      <c r="D44" s="78"/>
      <c r="E44" s="78"/>
      <c r="F44" s="78"/>
    </row>
    <row r="45" spans="1:11" ht="15" customHeight="1" x14ac:dyDescent="0.5">
      <c r="A45" s="118" t="s">
        <v>129</v>
      </c>
      <c r="B45" s="118"/>
      <c r="C45" s="119"/>
      <c r="D45" s="119"/>
      <c r="E45" s="119"/>
      <c r="F45" s="119"/>
      <c r="G45" s="118"/>
      <c r="H45" s="118"/>
      <c r="I45" s="118"/>
      <c r="J45" s="118"/>
      <c r="K45" s="118"/>
    </row>
    <row r="46" spans="1:11" ht="15" customHeight="1" x14ac:dyDescent="0.35">
      <c r="A46"/>
      <c r="B46" t="s">
        <v>119</v>
      </c>
      <c r="C46" s="78"/>
      <c r="D46" s="80">
        <v>10657222</v>
      </c>
      <c r="E46" s="80">
        <v>10948511</v>
      </c>
      <c r="F46" s="80">
        <v>10611182</v>
      </c>
      <c r="G46" s="78">
        <f>Calculations!G30</f>
        <v>10553324.085391937</v>
      </c>
      <c r="H46" s="78">
        <f>Calculations!H30</f>
        <v>10497712.238543931</v>
      </c>
      <c r="I46" s="78">
        <f>Calculations!I30</f>
        <v>10453058.247519573</v>
      </c>
      <c r="J46" s="78">
        <f>Calculations!J30</f>
        <v>10412777.490640679</v>
      </c>
      <c r="K46" s="78">
        <f>Calculations!K30</f>
        <v>10376575.938194111</v>
      </c>
    </row>
    <row r="47" spans="1:11" ht="15" customHeight="1" x14ac:dyDescent="0.35">
      <c r="A47"/>
      <c r="B47" t="s">
        <v>121</v>
      </c>
      <c r="C47" s="78"/>
      <c r="D47" s="80">
        <v>1161275</v>
      </c>
      <c r="E47" s="80">
        <v>1155984</v>
      </c>
      <c r="F47" s="80">
        <v>1300140</v>
      </c>
      <c r="G47" s="78">
        <f>Calculations!G43</f>
        <v>1384223.74975</v>
      </c>
      <c r="H47" s="78">
        <f>Calculations!H43</f>
        <v>1476715.874475</v>
      </c>
      <c r="I47" s="78">
        <f>Calculations!I43</f>
        <v>1578457.2116725</v>
      </c>
      <c r="J47" s="78">
        <f>Calculations!J43</f>
        <v>1690372.68258975</v>
      </c>
      <c r="K47" s="78">
        <f>Calculations!K43</f>
        <v>1813479.7005987251</v>
      </c>
    </row>
    <row r="48" spans="1:11" ht="15" customHeight="1" x14ac:dyDescent="0.35">
      <c r="A48"/>
      <c r="B48" t="s">
        <v>124</v>
      </c>
      <c r="C48" s="78"/>
      <c r="D48" s="80">
        <v>309491</v>
      </c>
      <c r="E48" s="80">
        <f>190004+61126</f>
        <v>251130</v>
      </c>
      <c r="F48" s="80">
        <f>16930+134465+209545</f>
        <v>360940</v>
      </c>
      <c r="G48" s="78">
        <f>MAX(G93,0)</f>
        <v>367546.22246639745</v>
      </c>
      <c r="H48" s="78">
        <f>MAX(H93,0)</f>
        <v>375733.66489960742</v>
      </c>
      <c r="I48" s="78">
        <f>MAX(I93,0)</f>
        <v>384355.61446489603</v>
      </c>
      <c r="J48" s="78">
        <f>MAX(J93,0)</f>
        <v>394390.85838319734</v>
      </c>
      <c r="K48" s="78">
        <f>MAX(K93,0)</f>
        <v>404002.73809009022</v>
      </c>
    </row>
    <row r="49" spans="1:11" ht="15" customHeight="1" x14ac:dyDescent="0.35">
      <c r="A49"/>
      <c r="B49" t="s">
        <v>125</v>
      </c>
      <c r="C49" s="78"/>
      <c r="D49" s="80">
        <v>40970</v>
      </c>
      <c r="E49" s="80">
        <v>100926</v>
      </c>
      <c r="F49" s="80">
        <v>71895</v>
      </c>
      <c r="G49" s="78">
        <f>G37*G15</f>
        <v>73509.244493279562</v>
      </c>
      <c r="H49" s="78">
        <f>H37*H15</f>
        <v>75146.73297992158</v>
      </c>
      <c r="I49" s="78">
        <f>I37*I15</f>
        <v>76871.122892979227</v>
      </c>
      <c r="J49" s="78">
        <f>J37*J15</f>
        <v>78878.171676639409</v>
      </c>
      <c r="K49" s="78">
        <f>K37*K15</f>
        <v>80800.547618018041</v>
      </c>
    </row>
    <row r="50" spans="1:11" ht="15" customHeight="1" x14ac:dyDescent="0.35">
      <c r="A50"/>
      <c r="B50" t="s">
        <v>122</v>
      </c>
      <c r="C50" s="78"/>
      <c r="D50" s="80">
        <v>48450</v>
      </c>
      <c r="E50" s="80">
        <v>39155</v>
      </c>
      <c r="F50" s="80">
        <v>39439</v>
      </c>
      <c r="G50" s="78">
        <f>G38*G15</f>
        <v>41165.176916236553</v>
      </c>
      <c r="H50" s="78">
        <f>H38*H15</f>
        <v>42082.170468756085</v>
      </c>
      <c r="I50" s="78">
        <f>I38*I15</f>
        <v>43047.828820068367</v>
      </c>
      <c r="J50" s="78">
        <f>J38*J15</f>
        <v>44171.776138918067</v>
      </c>
      <c r="K50" s="78">
        <f>K38*K15</f>
        <v>45248.306666090102</v>
      </c>
    </row>
    <row r="51" spans="1:11" ht="15" customHeight="1" x14ac:dyDescent="0.35">
      <c r="A51"/>
      <c r="B51" s="50" t="s">
        <v>123</v>
      </c>
      <c r="C51" s="79"/>
      <c r="D51" s="79">
        <f t="shared" ref="D51:K51" si="14">SUM(D46:D50)</f>
        <v>12217408</v>
      </c>
      <c r="E51" s="79">
        <f t="shared" si="14"/>
        <v>12495706</v>
      </c>
      <c r="F51" s="79">
        <f t="shared" si="14"/>
        <v>12383596</v>
      </c>
      <c r="G51" s="79">
        <f t="shared" si="14"/>
        <v>12419768.47901785</v>
      </c>
      <c r="H51" s="79">
        <f t="shared" si="14"/>
        <v>12467390.681367218</v>
      </c>
      <c r="I51" s="79">
        <f t="shared" si="14"/>
        <v>12535790.025370017</v>
      </c>
      <c r="J51" s="79">
        <f t="shared" si="14"/>
        <v>12620590.979429185</v>
      </c>
      <c r="K51" s="79">
        <f t="shared" si="14"/>
        <v>12720107.231167033</v>
      </c>
    </row>
    <row r="52" spans="1:11" ht="15" customHeight="1" x14ac:dyDescent="0.35">
      <c r="A52"/>
      <c r="B52"/>
      <c r="C52" s="78"/>
      <c r="D52" s="78"/>
      <c r="E52" s="78"/>
      <c r="F52" s="78"/>
      <c r="G52" s="78"/>
      <c r="H52" s="78"/>
      <c r="I52" s="78"/>
      <c r="J52" s="78"/>
      <c r="K52" s="78"/>
    </row>
    <row r="53" spans="1:11" ht="15" customHeight="1" x14ac:dyDescent="0.35">
      <c r="A53"/>
      <c r="B53" t="s">
        <v>130</v>
      </c>
      <c r="C53" s="78"/>
      <c r="D53" s="80">
        <v>5563260</v>
      </c>
      <c r="E53" s="80">
        <v>5689126</v>
      </c>
      <c r="F53" s="80">
        <v>5605942</v>
      </c>
      <c r="G53" s="93">
        <f>Financing!G26</f>
        <v>5630638.333564247</v>
      </c>
      <c r="H53" s="93">
        <f>Financing!H26</f>
        <v>5658678.9517528899</v>
      </c>
      <c r="I53" s="93">
        <f>Financing!I26</f>
        <v>5688871.0944383349</v>
      </c>
      <c r="J53" s="93">
        <f>Financing!J26</f>
        <v>5717782.9907255564</v>
      </c>
      <c r="K53" s="93">
        <f>Financing!K26</f>
        <v>5745593.7926036986</v>
      </c>
    </row>
    <row r="54" spans="1:11" ht="15" customHeight="1" x14ac:dyDescent="0.35">
      <c r="A54"/>
      <c r="B54" t="s">
        <v>131</v>
      </c>
      <c r="C54" s="78"/>
      <c r="D54" s="80">
        <v>284305</v>
      </c>
      <c r="E54" s="80">
        <f>300691+36726</f>
        <v>337417</v>
      </c>
      <c r="F54" s="80">
        <v>314960</v>
      </c>
      <c r="G54" s="78">
        <f>G40*G15</f>
        <v>332261.78510962363</v>
      </c>
      <c r="H54" s="78">
        <f>H40*H15</f>
        <v>339663.23306924553</v>
      </c>
      <c r="I54" s="78">
        <f>I40*I15</f>
        <v>347457.47547626612</v>
      </c>
      <c r="J54" s="78">
        <f>J40*J15</f>
        <v>356529.33597841009</v>
      </c>
      <c r="K54" s="78">
        <f>K40*K15</f>
        <v>365218.47523344151</v>
      </c>
    </row>
    <row r="55" spans="1:11" ht="15" customHeight="1" x14ac:dyDescent="0.35">
      <c r="A55"/>
      <c r="B55" t="s">
        <v>126</v>
      </c>
      <c r="C55" s="78"/>
      <c r="D55" s="80">
        <v>32922</v>
      </c>
      <c r="E55" s="80">
        <v>33132</v>
      </c>
      <c r="F55" s="80">
        <v>33375</v>
      </c>
      <c r="G55" s="78">
        <f>G41*G15</f>
        <v>35284.437356774186</v>
      </c>
      <c r="H55" s="78">
        <f>H41*H15</f>
        <v>36070.431830362359</v>
      </c>
      <c r="I55" s="78">
        <f>I41*I15</f>
        <v>36898.138988630031</v>
      </c>
      <c r="J55" s="78">
        <f>J41*J15</f>
        <v>37861.522404786912</v>
      </c>
      <c r="K55" s="78">
        <f>K41*K15</f>
        <v>38784.262856648653</v>
      </c>
    </row>
    <row r="56" spans="1:11" ht="15" customHeight="1" x14ac:dyDescent="0.35">
      <c r="A56"/>
      <c r="B56" s="50" t="s">
        <v>127</v>
      </c>
      <c r="C56" s="79"/>
      <c r="D56" s="79">
        <f t="shared" ref="D56:K56" si="15">SUM(D53:D55)</f>
        <v>5880487</v>
      </c>
      <c r="E56" s="79">
        <f t="shared" si="15"/>
        <v>6059675</v>
      </c>
      <c r="F56" s="79">
        <f t="shared" si="15"/>
        <v>5954277</v>
      </c>
      <c r="G56" s="79">
        <f t="shared" si="15"/>
        <v>5998184.5560306441</v>
      </c>
      <c r="H56" s="79">
        <f t="shared" si="15"/>
        <v>6034412.616652498</v>
      </c>
      <c r="I56" s="79">
        <f t="shared" si="15"/>
        <v>6073226.7089032307</v>
      </c>
      <c r="J56" s="79">
        <f t="shared" si="15"/>
        <v>6112173.8491087537</v>
      </c>
      <c r="K56" s="79">
        <f t="shared" si="15"/>
        <v>6149596.5306937881</v>
      </c>
    </row>
    <row r="57" spans="1:11" ht="15" customHeight="1" x14ac:dyDescent="0.35">
      <c r="A57" s="49"/>
      <c r="B57" s="76"/>
      <c r="C57" s="78"/>
      <c r="D57" s="78"/>
      <c r="E57" s="78"/>
      <c r="F57" s="78"/>
      <c r="G57" s="78"/>
      <c r="H57" s="78"/>
      <c r="I57" s="78"/>
      <c r="J57" s="78"/>
      <c r="K57" s="78"/>
    </row>
    <row r="58" spans="1:11" ht="15" customHeight="1" x14ac:dyDescent="0.35">
      <c r="A58"/>
      <c r="B58" s="20" t="s">
        <v>128</v>
      </c>
      <c r="C58" s="93"/>
      <c r="D58" s="80">
        <v>44684</v>
      </c>
      <c r="E58" s="80">
        <v>39206</v>
      </c>
      <c r="F58" s="80">
        <v>35475</v>
      </c>
      <c r="G58" s="93">
        <f>G42</f>
        <v>35475</v>
      </c>
      <c r="H58" s="93">
        <f t="shared" ref="H58:K58" si="16">H42</f>
        <v>35475</v>
      </c>
      <c r="I58" s="93">
        <f t="shared" si="16"/>
        <v>35475</v>
      </c>
      <c r="J58" s="93">
        <f t="shared" si="16"/>
        <v>35475</v>
      </c>
      <c r="K58" s="93">
        <f t="shared" si="16"/>
        <v>35475</v>
      </c>
    </row>
    <row r="59" spans="1:11" ht="15" customHeight="1" x14ac:dyDescent="0.35">
      <c r="A59"/>
      <c r="B59"/>
      <c r="C59" s="78"/>
      <c r="D59" s="78"/>
      <c r="E59" s="78"/>
      <c r="F59" s="78"/>
      <c r="G59" s="78"/>
      <c r="H59" s="78"/>
      <c r="I59" s="78"/>
      <c r="J59" s="78"/>
      <c r="K59" s="78"/>
    </row>
    <row r="60" spans="1:11" ht="15" customHeight="1" x14ac:dyDescent="0.35">
      <c r="A60"/>
      <c r="B60" s="76" t="s">
        <v>367</v>
      </c>
      <c r="C60" s="150"/>
      <c r="D60" s="151">
        <f>6292237-100059</f>
        <v>6192178</v>
      </c>
      <c r="E60" s="151">
        <f>6396825-119419</f>
        <v>6277406</v>
      </c>
      <c r="F60" s="151">
        <f>6393844-126771</f>
        <v>6267073</v>
      </c>
      <c r="G60" s="152">
        <f>Calculations!G65</f>
        <v>6260188.5429872042</v>
      </c>
      <c r="H60" s="152">
        <f>Calculations!H65</f>
        <v>6271708.8233147161</v>
      </c>
      <c r="I60" s="152">
        <f>Calculations!I65</f>
        <v>6300673.9978247834</v>
      </c>
      <c r="J60" s="152">
        <f>Calculations!J65</f>
        <v>6345139.1321191685</v>
      </c>
      <c r="K60" s="152">
        <f>Calculations!K65</f>
        <v>6405052.3623259459</v>
      </c>
    </row>
    <row r="61" spans="1:11" ht="15" customHeight="1" x14ac:dyDescent="0.35">
      <c r="A61" s="49"/>
      <c r="B61" s="21" t="s">
        <v>342</v>
      </c>
      <c r="C61" s="78"/>
      <c r="D61" s="78">
        <v>100059</v>
      </c>
      <c r="E61" s="78">
        <v>119419</v>
      </c>
      <c r="F61" s="78">
        <v>126771</v>
      </c>
      <c r="G61" s="78">
        <f>Calculations!G49</f>
        <v>125920.38</v>
      </c>
      <c r="H61" s="78">
        <f>Calculations!H49</f>
        <v>125794.2414</v>
      </c>
      <c r="I61" s="78">
        <f>Calculations!I49</f>
        <v>126414.318642</v>
      </c>
      <c r="J61" s="78">
        <f>Calculations!J49</f>
        <v>127802.99820125999</v>
      </c>
      <c r="K61" s="78">
        <f>Calculations!K49</f>
        <v>129983.33814729779</v>
      </c>
    </row>
    <row r="62" spans="1:11" s="131" customFormat="1" ht="15" customHeight="1" x14ac:dyDescent="0.35">
      <c r="B62" s="153" t="s">
        <v>132</v>
      </c>
      <c r="C62" s="154"/>
      <c r="D62" s="154">
        <f>D60+D61</f>
        <v>6292237</v>
      </c>
      <c r="E62" s="154">
        <f t="shared" ref="E62:K62" si="17">E60+E61</f>
        <v>6396825</v>
      </c>
      <c r="F62" s="154">
        <f t="shared" si="17"/>
        <v>6393844</v>
      </c>
      <c r="G62" s="154">
        <f t="shared" si="17"/>
        <v>6386108.922987204</v>
      </c>
      <c r="H62" s="154">
        <f t="shared" si="17"/>
        <v>6397503.0647147158</v>
      </c>
      <c r="I62" s="154">
        <f t="shared" si="17"/>
        <v>6427088.3164667832</v>
      </c>
      <c r="J62" s="154">
        <f t="shared" si="17"/>
        <v>6472942.1303204289</v>
      </c>
      <c r="K62" s="154">
        <f t="shared" si="17"/>
        <v>6535035.7004732434</v>
      </c>
    </row>
    <row r="63" spans="1:11" ht="15" customHeight="1" x14ac:dyDescent="0.35">
      <c r="A63"/>
      <c r="B63" s="77" t="s">
        <v>133</v>
      </c>
      <c r="C63" s="79"/>
      <c r="D63" s="79">
        <f>SUM(D62,D58,D56)</f>
        <v>12217408</v>
      </c>
      <c r="E63" s="79">
        <f t="shared" ref="E63:K63" si="18">SUM(E62,E58,E56)</f>
        <v>12495706</v>
      </c>
      <c r="F63" s="79">
        <f t="shared" si="18"/>
        <v>12383596</v>
      </c>
      <c r="G63" s="79">
        <f t="shared" si="18"/>
        <v>12419768.479017848</v>
      </c>
      <c r="H63" s="79">
        <f t="shared" si="18"/>
        <v>12467390.681367215</v>
      </c>
      <c r="I63" s="79">
        <f t="shared" si="18"/>
        <v>12535790.025370013</v>
      </c>
      <c r="J63" s="79">
        <f t="shared" si="18"/>
        <v>12620590.979429182</v>
      </c>
      <c r="K63" s="79">
        <f t="shared" si="18"/>
        <v>12720107.231167031</v>
      </c>
    </row>
    <row r="64" spans="1:11" ht="15" customHeight="1" x14ac:dyDescent="0.35">
      <c r="A64"/>
      <c r="B64"/>
      <c r="C64"/>
      <c r="D64"/>
      <c r="E64"/>
      <c r="F64"/>
      <c r="G64"/>
    </row>
    <row r="65" spans="1:11" ht="15" customHeight="1" x14ac:dyDescent="0.35">
      <c r="A65" s="49"/>
      <c r="B65" s="49" t="s">
        <v>197</v>
      </c>
      <c r="D65" s="49">
        <f t="shared" ref="D65:K65" si="19">D51-D63</f>
        <v>0</v>
      </c>
      <c r="E65" s="49">
        <f t="shared" si="19"/>
        <v>0</v>
      </c>
      <c r="F65" s="49">
        <f t="shared" si="19"/>
        <v>0</v>
      </c>
      <c r="G65" s="49">
        <f t="shared" si="19"/>
        <v>0</v>
      </c>
      <c r="H65" s="49">
        <f t="shared" si="19"/>
        <v>0</v>
      </c>
      <c r="I65" s="49">
        <f t="shared" si="19"/>
        <v>0</v>
      </c>
      <c r="J65" s="49">
        <f t="shared" si="19"/>
        <v>0</v>
      </c>
      <c r="K65" s="49">
        <f t="shared" si="19"/>
        <v>0</v>
      </c>
    </row>
    <row r="66" spans="1:11" ht="15" customHeight="1" x14ac:dyDescent="0.35">
      <c r="A66" s="49"/>
    </row>
    <row r="67" spans="1:11" ht="15" customHeight="1" x14ac:dyDescent="0.5">
      <c r="A67" s="118" t="s">
        <v>181</v>
      </c>
      <c r="B67" s="118"/>
      <c r="C67" s="118"/>
      <c r="D67" s="118"/>
      <c r="E67" s="118"/>
      <c r="F67" s="118"/>
      <c r="G67" s="118"/>
      <c r="H67" s="118"/>
      <c r="I67" s="118"/>
      <c r="J67" s="118"/>
      <c r="K67" s="118"/>
    </row>
    <row r="68" spans="1:11" ht="15" customHeight="1" x14ac:dyDescent="0.35">
      <c r="A68" s="64"/>
      <c r="B68" s="64" t="s">
        <v>185</v>
      </c>
    </row>
    <row r="69" spans="1:11" ht="15" customHeight="1" x14ac:dyDescent="0.35">
      <c r="A69"/>
      <c r="B69" s="53" t="s">
        <v>103</v>
      </c>
      <c r="C69"/>
      <c r="D69"/>
      <c r="E69"/>
      <c r="F69"/>
      <c r="G69" s="78">
        <f>G33</f>
        <v>583886.03555739217</v>
      </c>
      <c r="H69" s="78">
        <f>H33</f>
        <v>617718.54498304077</v>
      </c>
      <c r="I69" s="78">
        <f>I33</f>
        <v>652281.587305455</v>
      </c>
      <c r="J69" s="78">
        <f>J33</f>
        <v>691284.9393542012</v>
      </c>
      <c r="K69" s="78">
        <f>K33</f>
        <v>729999.38520387211</v>
      </c>
    </row>
    <row r="70" spans="1:11" ht="15" customHeight="1" x14ac:dyDescent="0.35">
      <c r="A70"/>
      <c r="B70" s="53" t="str">
        <f>B21</f>
        <v>Depreciation and amortization</v>
      </c>
      <c r="C70"/>
      <c r="D70"/>
      <c r="E70"/>
      <c r="F70"/>
      <c r="G70" s="78">
        <f>G21</f>
        <v>466892.00799999997</v>
      </c>
      <c r="H70" s="78">
        <f t="shared" ref="H70:K70" si="20">H21</f>
        <v>464346.25975724519</v>
      </c>
      <c r="I70" s="78">
        <f t="shared" si="20"/>
        <v>461899.33849593293</v>
      </c>
      <c r="J70" s="78">
        <f t="shared" si="20"/>
        <v>459934.56289086118</v>
      </c>
      <c r="K70" s="78">
        <f t="shared" si="20"/>
        <v>458162.20958818984</v>
      </c>
    </row>
    <row r="71" spans="1:11" ht="15" customHeight="1" x14ac:dyDescent="0.35">
      <c r="A71" s="49"/>
      <c r="B71" s="53" t="s">
        <v>188</v>
      </c>
      <c r="G71" s="78">
        <f>-G30</f>
        <v>-25000</v>
      </c>
      <c r="H71" s="78">
        <f>-H30</f>
        <v>-25000</v>
      </c>
      <c r="I71" s="78">
        <f>-I30</f>
        <v>-25000</v>
      </c>
      <c r="J71" s="78">
        <f>-J30</f>
        <v>-25000</v>
      </c>
      <c r="K71" s="78">
        <f>-K30</f>
        <v>-25000</v>
      </c>
    </row>
    <row r="72" spans="1:11" ht="15" customHeight="1" x14ac:dyDescent="0.35">
      <c r="A72" s="49"/>
      <c r="B72" s="53" t="s">
        <v>104</v>
      </c>
      <c r="G72" s="78">
        <f>G32</f>
        <v>24149.38</v>
      </c>
      <c r="H72" s="78">
        <f t="shared" ref="H72:K72" si="21">H32</f>
        <v>24873.861400000002</v>
      </c>
      <c r="I72" s="78">
        <f t="shared" si="21"/>
        <v>25620.077242000003</v>
      </c>
      <c r="J72" s="78">
        <f t="shared" si="21"/>
        <v>26388.679559260003</v>
      </c>
      <c r="K72" s="78">
        <f t="shared" si="21"/>
        <v>27180.339946037802</v>
      </c>
    </row>
    <row r="73" spans="1:11" ht="15" customHeight="1" x14ac:dyDescent="0.35">
      <c r="A73"/>
      <c r="B73" s="53" t="s">
        <v>182</v>
      </c>
      <c r="C73"/>
      <c r="D73"/>
      <c r="E73"/>
      <c r="F73"/>
      <c r="G73" s="78">
        <f>-G28</f>
        <v>-84083.749750000017</v>
      </c>
      <c r="H73" s="78">
        <f>-H28</f>
        <v>-92492.124725000031</v>
      </c>
      <c r="I73" s="78">
        <f>-I28</f>
        <v>-101741.33719750005</v>
      </c>
      <c r="J73" s="78">
        <f>-J28</f>
        <v>-111915.47091725003</v>
      </c>
      <c r="K73" s="78">
        <f>-K28</f>
        <v>-123107.01800897508</v>
      </c>
    </row>
    <row r="74" spans="1:11" ht="15" customHeight="1" x14ac:dyDescent="0.35">
      <c r="A74"/>
      <c r="B74" s="53" t="s">
        <v>183</v>
      </c>
      <c r="C74"/>
      <c r="D74"/>
      <c r="E74"/>
      <c r="F74"/>
      <c r="G74" s="78">
        <f>(F49-G49)+(F50-G50)+(G54-F54)+(G55-F55)</f>
        <v>15870.801056881697</v>
      </c>
      <c r="H74" s="78">
        <f>(G49-H49)+(G50-H50)+(H54-G54)+(H55-G55)</f>
        <v>5632.9603940485249</v>
      </c>
      <c r="I74" s="78">
        <f>(H49-I49)+(H50-I50)+(I54-H54)+(I55-H55)</f>
        <v>5931.9013009183327</v>
      </c>
      <c r="J74" s="78">
        <f>(I49-J49)+(I50-J50)+(J54-I54)+(J55-I55)</f>
        <v>6904.2478157909718</v>
      </c>
      <c r="K74" s="78">
        <f>(J49-K49)+(J50-K50)+(K54-J54)+(K55-J55)</f>
        <v>6612.9732383424926</v>
      </c>
    </row>
    <row r="75" spans="1:11" ht="15" customHeight="1" x14ac:dyDescent="0.35">
      <c r="A75"/>
      <c r="B75" s="50" t="s">
        <v>184</v>
      </c>
      <c r="C75" s="50"/>
      <c r="D75" s="50"/>
      <c r="E75" s="50"/>
      <c r="F75" s="50"/>
      <c r="G75" s="79">
        <f>SUM(G69:G74)</f>
        <v>981714.4748642738</v>
      </c>
      <c r="H75" s="79">
        <f>SUM(H69:H74)</f>
        <v>995079.5018093345</v>
      </c>
      <c r="I75" s="79">
        <f>SUM(I69:I74)</f>
        <v>1018991.5671468063</v>
      </c>
      <c r="J75" s="79">
        <f>SUM(J69:J74)</f>
        <v>1047596.9587028633</v>
      </c>
      <c r="K75" s="79">
        <f>SUM(K69:K74)</f>
        <v>1073847.8899674672</v>
      </c>
    </row>
    <row r="76" spans="1:11" ht="15" customHeight="1" x14ac:dyDescent="0.35">
      <c r="A76"/>
      <c r="B76"/>
      <c r="C76"/>
      <c r="D76"/>
      <c r="E76"/>
      <c r="F76"/>
      <c r="G76" s="78"/>
      <c r="H76" s="78"/>
      <c r="I76" s="78"/>
      <c r="J76" s="78"/>
      <c r="K76" s="78"/>
    </row>
    <row r="77" spans="1:11" ht="15" customHeight="1" x14ac:dyDescent="0.35">
      <c r="A77"/>
      <c r="B77" s="63" t="s">
        <v>186</v>
      </c>
      <c r="C77"/>
      <c r="D77"/>
      <c r="E77"/>
      <c r="F77"/>
      <c r="G77" s="78"/>
      <c r="H77" s="78"/>
      <c r="I77" s="78"/>
      <c r="J77" s="78"/>
      <c r="K77" s="78"/>
    </row>
    <row r="78" spans="1:11" ht="15" customHeight="1" x14ac:dyDescent="0.35">
      <c r="A78"/>
      <c r="B78" s="53" t="str">
        <f>Calculations!B24</f>
        <v>Acquistions</v>
      </c>
      <c r="C78"/>
      <c r="D78"/>
      <c r="E78"/>
      <c r="F78"/>
      <c r="G78" s="78">
        <f>-Calculations!G24</f>
        <v>-200000</v>
      </c>
      <c r="H78" s="78">
        <f>-Calculations!H24</f>
        <v>-200000</v>
      </c>
      <c r="I78" s="78">
        <f>-Calculations!I24</f>
        <v>-200000</v>
      </c>
      <c r="J78" s="78">
        <f>-Calculations!J24</f>
        <v>-200000</v>
      </c>
      <c r="K78" s="78">
        <f>-Calculations!K24</f>
        <v>-200000</v>
      </c>
    </row>
    <row r="79" spans="1:11" ht="15" customHeight="1" x14ac:dyDescent="0.35">
      <c r="A79"/>
      <c r="B79" s="53" t="str">
        <f>Calculations!B25</f>
        <v>Developments</v>
      </c>
      <c r="C79"/>
      <c r="D79"/>
      <c r="E79"/>
      <c r="F79"/>
      <c r="G79" s="78">
        <f>-Calculations!G25</f>
        <v>-162939.33333333331</v>
      </c>
      <c r="H79" s="78">
        <f>-Calculations!H25</f>
        <v>-150225</v>
      </c>
      <c r="I79" s="78">
        <f>-Calculations!I25</f>
        <v>-150000</v>
      </c>
      <c r="J79" s="78">
        <f>-Calculations!J25</f>
        <v>-150000</v>
      </c>
      <c r="K79" s="78">
        <f>-Calculations!K25</f>
        <v>-150000</v>
      </c>
    </row>
    <row r="80" spans="1:11" ht="15" customHeight="1" x14ac:dyDescent="0.35">
      <c r="A80"/>
      <c r="B80" s="53" t="str">
        <f>Calculations!B26</f>
        <v>Redevelopment</v>
      </c>
      <c r="C80"/>
      <c r="D80"/>
      <c r="E80"/>
      <c r="F80"/>
      <c r="G80" s="78">
        <f>-Calculations!G26</f>
        <v>-57883.666666666664</v>
      </c>
      <c r="H80" s="78">
        <f>-Calculations!H26</f>
        <v>-68333.333333333328</v>
      </c>
      <c r="I80" s="78">
        <f>-Calculations!I26</f>
        <v>-75000</v>
      </c>
      <c r="J80" s="78">
        <f>-Calculations!J26</f>
        <v>-75000</v>
      </c>
      <c r="K80" s="78">
        <f>-Calculations!K26</f>
        <v>-75000</v>
      </c>
    </row>
    <row r="81" spans="1:11" ht="15" customHeight="1" x14ac:dyDescent="0.35">
      <c r="A81"/>
      <c r="B81" s="53" t="str">
        <f>Calculations!B27</f>
        <v>Capital expenditure on rentals</v>
      </c>
      <c r="C81"/>
      <c r="D81"/>
      <c r="E81"/>
      <c r="F81"/>
      <c r="G81" s="78">
        <f>-Calculations!G27</f>
        <v>-88211.093391935472</v>
      </c>
      <c r="H81" s="78">
        <f>-Calculations!H27</f>
        <v>-90176.079575905896</v>
      </c>
      <c r="I81" s="78">
        <f>-Calculations!I27</f>
        <v>-92245.347471575078</v>
      </c>
      <c r="J81" s="78">
        <f>-Calculations!J27</f>
        <v>-94653.806011967274</v>
      </c>
      <c r="K81" s="78">
        <f>-Calculations!K27</f>
        <v>-96960.657141621632</v>
      </c>
    </row>
    <row r="82" spans="1:11" ht="15" customHeight="1" x14ac:dyDescent="0.35">
      <c r="A82"/>
      <c r="B82" s="53" t="s">
        <v>187</v>
      </c>
      <c r="C82"/>
      <c r="D82"/>
      <c r="E82"/>
      <c r="F82"/>
      <c r="G82" s="78">
        <f>Calculations!G152</f>
        <v>125000</v>
      </c>
      <c r="H82" s="78">
        <f>Calculations!H152</f>
        <v>125000</v>
      </c>
      <c r="I82" s="78">
        <f>Calculations!I152</f>
        <v>125000</v>
      </c>
      <c r="J82" s="78">
        <f>Calculations!J152</f>
        <v>125000</v>
      </c>
      <c r="K82" s="78">
        <f>Calculations!K152</f>
        <v>125000</v>
      </c>
    </row>
    <row r="83" spans="1:11" ht="15" customHeight="1" x14ac:dyDescent="0.35">
      <c r="A83"/>
      <c r="B83" s="50" t="s">
        <v>189</v>
      </c>
      <c r="C83" s="50"/>
      <c r="D83" s="50"/>
      <c r="E83" s="50"/>
      <c r="F83" s="50"/>
      <c r="G83" s="79">
        <f>SUM(G78:G82)</f>
        <v>-384034.09339193546</v>
      </c>
      <c r="H83" s="79">
        <f t="shared" ref="H83:K83" si="22">SUM(H78:H82)</f>
        <v>-383734.41290923918</v>
      </c>
      <c r="I83" s="79">
        <f t="shared" si="22"/>
        <v>-392245.34747157508</v>
      </c>
      <c r="J83" s="79">
        <f t="shared" si="22"/>
        <v>-394653.80601196724</v>
      </c>
      <c r="K83" s="79">
        <f t="shared" si="22"/>
        <v>-396960.65714162163</v>
      </c>
    </row>
    <row r="84" spans="1:11" ht="15" customHeight="1" x14ac:dyDescent="0.35">
      <c r="A84"/>
      <c r="B84"/>
      <c r="C84"/>
      <c r="D84"/>
      <c r="E84"/>
      <c r="F84"/>
      <c r="G84" s="78"/>
      <c r="H84" s="78"/>
      <c r="I84" s="78"/>
      <c r="J84" s="78"/>
      <c r="K84" s="78"/>
    </row>
    <row r="85" spans="1:11" ht="15" customHeight="1" x14ac:dyDescent="0.35">
      <c r="A85"/>
      <c r="B85" s="64" t="s">
        <v>190</v>
      </c>
      <c r="C85"/>
      <c r="D85"/>
      <c r="E85"/>
      <c r="F85"/>
      <c r="G85" s="78"/>
      <c r="H85" s="78"/>
      <c r="I85" s="78"/>
      <c r="J85" s="78"/>
      <c r="K85" s="78"/>
    </row>
    <row r="86" spans="1:11" ht="15" customHeight="1" x14ac:dyDescent="0.35">
      <c r="A86"/>
      <c r="B86" s="53" t="s">
        <v>378</v>
      </c>
      <c r="C86"/>
      <c r="D86"/>
      <c r="E86"/>
      <c r="F86"/>
      <c r="G86" s="78">
        <f>G53-F53</f>
        <v>24696.333564247005</v>
      </c>
      <c r="H86" s="78">
        <f>H53-G53</f>
        <v>28040.618188642897</v>
      </c>
      <c r="I86" s="78">
        <f>I53-H53</f>
        <v>30192.142685445026</v>
      </c>
      <c r="J86" s="78">
        <f>J53-I53</f>
        <v>28911.896287221462</v>
      </c>
      <c r="K86" s="78">
        <f>K53-J53</f>
        <v>27810.801878142171</v>
      </c>
    </row>
    <row r="87" spans="1:11" ht="15" customHeight="1" x14ac:dyDescent="0.35">
      <c r="A87"/>
      <c r="B87" s="53" t="s">
        <v>191</v>
      </c>
      <c r="C87"/>
      <c r="D87"/>
      <c r="E87"/>
      <c r="F87"/>
      <c r="G87" s="78">
        <f>Calculations!G63</f>
        <v>24696.333564247354</v>
      </c>
      <c r="H87" s="78">
        <f>Calculations!H63</f>
        <v>28040.618188643362</v>
      </c>
      <c r="I87" s="78">
        <f>Calculations!I63</f>
        <v>30192.142685445142</v>
      </c>
      <c r="J87" s="78">
        <f>Calculations!J63</f>
        <v>28911.89628722117</v>
      </c>
      <c r="K87" s="78">
        <f>Calculations!K63</f>
        <v>27810.801878142258</v>
      </c>
    </row>
    <row r="88" spans="1:11" ht="15" customHeight="1" x14ac:dyDescent="0.35">
      <c r="A88"/>
      <c r="B88" s="53" t="s">
        <v>192</v>
      </c>
      <c r="C88"/>
      <c r="D88"/>
      <c r="E88"/>
      <c r="F88"/>
      <c r="G88" s="78">
        <f>-Calculations!G57</f>
        <v>-615466.82613443525</v>
      </c>
      <c r="H88" s="78">
        <f>-Calculations!H57</f>
        <v>-634238.8828441716</v>
      </c>
      <c r="I88" s="78">
        <f>-Calculations!I57</f>
        <v>-653508.55548083282</v>
      </c>
      <c r="J88" s="78">
        <f>-Calculations!J57</f>
        <v>-675731.70134703745</v>
      </c>
      <c r="K88" s="78">
        <f>-Calculations!K57</f>
        <v>-697896.95687523717</v>
      </c>
    </row>
    <row r="89" spans="1:11" ht="15" customHeight="1" x14ac:dyDescent="0.35">
      <c r="A89"/>
      <c r="B89" s="53" t="s">
        <v>193</v>
      </c>
      <c r="C89"/>
      <c r="D89"/>
      <c r="E89"/>
      <c r="F89"/>
      <c r="G89" s="78">
        <f>-Calculations!G48</f>
        <v>-25000</v>
      </c>
      <c r="H89" s="78">
        <f>-Calculations!H48</f>
        <v>-25000</v>
      </c>
      <c r="I89" s="78">
        <f>-Calculations!I48</f>
        <v>-25000</v>
      </c>
      <c r="J89" s="78">
        <f>-Calculations!J48</f>
        <v>-25000</v>
      </c>
      <c r="K89" s="78">
        <f>-Calculations!K48</f>
        <v>-25000</v>
      </c>
    </row>
    <row r="90" spans="1:11" ht="15" customHeight="1" x14ac:dyDescent="0.35">
      <c r="A90"/>
      <c r="B90" s="58" t="s">
        <v>195</v>
      </c>
      <c r="C90" s="50"/>
      <c r="D90" s="50"/>
      <c r="E90" s="50"/>
      <c r="F90" s="50"/>
      <c r="G90" s="79">
        <f>SUM(G86:G89)</f>
        <v>-591074.15900594089</v>
      </c>
      <c r="H90" s="79">
        <f>SUM(H86:H89)</f>
        <v>-603157.64646688534</v>
      </c>
      <c r="I90" s="79">
        <f>SUM(I86:I89)</f>
        <v>-618124.27010994265</v>
      </c>
      <c r="J90" s="79">
        <f>SUM(J86:J89)</f>
        <v>-642907.90877259476</v>
      </c>
      <c r="K90" s="79">
        <f>SUM(K86:K89)</f>
        <v>-667275.35311895271</v>
      </c>
    </row>
    <row r="91" spans="1:11" ht="15" customHeight="1" x14ac:dyDescent="0.35">
      <c r="A91" s="49"/>
      <c r="B91" s="91"/>
      <c r="C91" s="76"/>
      <c r="D91" s="76"/>
      <c r="E91" s="76"/>
      <c r="F91" s="76"/>
      <c r="G91" s="76"/>
      <c r="H91" s="76"/>
      <c r="I91" s="76"/>
      <c r="J91" s="76"/>
      <c r="K91" s="76"/>
    </row>
    <row r="92" spans="1:11" ht="15" customHeight="1" x14ac:dyDescent="0.35">
      <c r="A92"/>
      <c r="B92" t="s">
        <v>194</v>
      </c>
      <c r="C92"/>
      <c r="D92"/>
      <c r="E92"/>
      <c r="F92" s="78"/>
      <c r="G92" s="78">
        <f>SUM(G90,G83,G75)</f>
        <v>6606.2224663974484</v>
      </c>
      <c r="H92" s="78">
        <f>SUM(H90,H83,H75)</f>
        <v>8187.4424332099734</v>
      </c>
      <c r="I92" s="78">
        <f>SUM(I90,I83,I75)</f>
        <v>8621.9495652886108</v>
      </c>
      <c r="J92" s="78">
        <f>SUM(J90,J83,J75)</f>
        <v>10035.243918301305</v>
      </c>
      <c r="K92" s="78">
        <f>SUM(K90,K83,K75)</f>
        <v>9611.8797068928834</v>
      </c>
    </row>
    <row r="93" spans="1:11" ht="15" customHeight="1" x14ac:dyDescent="0.35">
      <c r="A93"/>
      <c r="B93" t="s">
        <v>196</v>
      </c>
      <c r="C93"/>
      <c r="D93"/>
      <c r="E93"/>
      <c r="F93" s="78">
        <f>F48</f>
        <v>360940</v>
      </c>
      <c r="G93" s="78">
        <f>F93+G92</f>
        <v>367546.22246639745</v>
      </c>
      <c r="H93" s="78">
        <f>G93+H92</f>
        <v>375733.66489960742</v>
      </c>
      <c r="I93" s="78">
        <f>H93+I92</f>
        <v>384355.61446489603</v>
      </c>
      <c r="J93" s="78">
        <f>I93+J92</f>
        <v>394390.85838319734</v>
      </c>
      <c r="K93" s="78">
        <f>J93+K92</f>
        <v>404002.73809009022</v>
      </c>
    </row>
    <row r="95" spans="1:11" ht="15" customHeight="1" x14ac:dyDescent="0.5">
      <c r="A95" s="12" t="s">
        <v>218</v>
      </c>
      <c r="B95" s="118"/>
      <c r="C95" s="118"/>
      <c r="D95" s="118"/>
      <c r="E95" s="118"/>
      <c r="F95" s="118"/>
      <c r="G95" s="118"/>
      <c r="H95" s="118"/>
      <c r="I95" s="118"/>
      <c r="J95" s="118"/>
      <c r="K95" s="118"/>
    </row>
    <row r="96" spans="1:11" ht="15" customHeight="1" x14ac:dyDescent="0.35">
      <c r="B96" s="49" t="s">
        <v>219</v>
      </c>
      <c r="D96" s="78">
        <f>D25+D21</f>
        <v>862482</v>
      </c>
      <c r="E96" s="78">
        <f>E25+E21</f>
        <v>915403</v>
      </c>
      <c r="F96" s="78">
        <f t="shared" ref="F96:K96" si="23">F25+F21</f>
        <v>930012</v>
      </c>
      <c r="G96" s="78">
        <f t="shared" si="23"/>
        <v>965843.67380739213</v>
      </c>
      <c r="H96" s="78">
        <f t="shared" si="23"/>
        <v>989446.54141528602</v>
      </c>
      <c r="I96" s="78">
        <f t="shared" si="23"/>
        <v>1013059.665845888</v>
      </c>
      <c r="J96" s="78">
        <f t="shared" si="23"/>
        <v>1040692.7108870724</v>
      </c>
      <c r="K96" s="78">
        <f t="shared" si="23"/>
        <v>1067234.9167291247</v>
      </c>
    </row>
    <row r="97" spans="2:11" ht="15" customHeight="1" x14ac:dyDescent="0.35">
      <c r="B97" s="49" t="s">
        <v>220</v>
      </c>
      <c r="E97" s="57">
        <f>E96/D96-1</f>
        <v>6.1358961694273129E-2</v>
      </c>
      <c r="F97" s="57">
        <f t="shared" ref="F97:K97" si="24">F96/E96-1</f>
        <v>1.5959091241780854E-2</v>
      </c>
      <c r="G97" s="57">
        <f t="shared" si="24"/>
        <v>3.8528184375461905E-2</v>
      </c>
      <c r="H97" s="57">
        <f t="shared" si="24"/>
        <v>2.4437565051133481E-2</v>
      </c>
      <c r="I97" s="57">
        <f t="shared" si="24"/>
        <v>2.386498253541447E-2</v>
      </c>
      <c r="J97" s="57">
        <f t="shared" si="24"/>
        <v>2.7276818900998645E-2</v>
      </c>
      <c r="K97" s="57">
        <f t="shared" si="24"/>
        <v>2.5504364126302193E-2</v>
      </c>
    </row>
    <row r="98" spans="2:11" ht="15" customHeight="1" x14ac:dyDescent="0.35">
      <c r="B98" s="49" t="s">
        <v>221</v>
      </c>
      <c r="E98" s="57">
        <f>E96/E17</f>
        <v>0.67116626671036494</v>
      </c>
      <c r="F98" s="57">
        <f t="shared" ref="F98:K98" si="25">F96/F17</f>
        <v>0.66426913838261836</v>
      </c>
      <c r="G98" s="57">
        <f t="shared" si="25"/>
        <v>0.65275436429494793</v>
      </c>
      <c r="H98" s="57">
        <f t="shared" si="25"/>
        <v>0.65410302663025333</v>
      </c>
      <c r="I98" s="57">
        <f t="shared" si="25"/>
        <v>0.65466096024044618</v>
      </c>
      <c r="J98" s="57">
        <f t="shared" si="25"/>
        <v>0.65538974669173922</v>
      </c>
      <c r="K98" s="57">
        <f t="shared" si="25"/>
        <v>0.65609111284770882</v>
      </c>
    </row>
    <row r="100" spans="2:11" ht="15" customHeight="1" x14ac:dyDescent="0.35">
      <c r="B100" s="49" t="s">
        <v>222</v>
      </c>
      <c r="D100" s="78">
        <f>D17-D19</f>
        <v>935184</v>
      </c>
      <c r="E100" s="78">
        <f t="shared" ref="E100:K100" si="26">E17-E19</f>
        <v>988513</v>
      </c>
      <c r="F100" s="78">
        <f t="shared" si="26"/>
        <v>1014719</v>
      </c>
      <c r="G100" s="78">
        <f t="shared" si="26"/>
        <v>1046713.3012399997</v>
      </c>
      <c r="H100" s="78">
        <f t="shared" si="26"/>
        <v>1072117.6899378998</v>
      </c>
      <c r="I100" s="78">
        <f t="shared" si="26"/>
        <v>1097627.9355402063</v>
      </c>
      <c r="J100" s="78">
        <f t="shared" si="26"/>
        <v>1127469.0352787781</v>
      </c>
      <c r="K100" s="78">
        <f t="shared" si="26"/>
        <v>1156126.1647227691</v>
      </c>
    </row>
    <row r="101" spans="2:11" ht="15" customHeight="1" x14ac:dyDescent="0.35">
      <c r="B101" s="49" t="s">
        <v>223</v>
      </c>
      <c r="E101" s="57">
        <f>E100/D100-1</f>
        <v>5.7025141576417138E-2</v>
      </c>
      <c r="F101" s="57">
        <f t="shared" ref="F101:K101" si="27">F100/E100-1</f>
        <v>2.6510526416951619E-2</v>
      </c>
      <c r="G101" s="57">
        <f t="shared" si="27"/>
        <v>3.153020810687468E-2</v>
      </c>
      <c r="H101" s="57">
        <f t="shared" si="27"/>
        <v>2.427062756134335E-2</v>
      </c>
      <c r="I101" s="57">
        <f t="shared" si="27"/>
        <v>2.3794258635713827E-2</v>
      </c>
      <c r="J101" s="57">
        <f t="shared" si="27"/>
        <v>2.7186898922980873E-2</v>
      </c>
      <c r="K101" s="57">
        <f t="shared" si="27"/>
        <v>2.5417220825852072E-2</v>
      </c>
    </row>
    <row r="102" spans="2:11" ht="15" customHeight="1" x14ac:dyDescent="0.35">
      <c r="B102" s="49" t="s">
        <v>235</v>
      </c>
      <c r="E102" s="57">
        <f>E100/E17</f>
        <v>0.72476994264238037</v>
      </c>
      <c r="F102" s="57">
        <f t="shared" ref="F102:K102" si="28">F100/F17</f>
        <v>0.72477184792290006</v>
      </c>
      <c r="G102" s="57">
        <f t="shared" si="28"/>
        <v>0.7074091740504943</v>
      </c>
      <c r="H102" s="57">
        <f t="shared" si="28"/>
        <v>0.70875524501720355</v>
      </c>
      <c r="I102" s="57">
        <f t="shared" si="28"/>
        <v>0.70931079628709981</v>
      </c>
      <c r="J102" s="57">
        <f t="shared" si="28"/>
        <v>0.71003826365256528</v>
      </c>
      <c r="K102" s="57">
        <f t="shared" si="28"/>
        <v>0.71073771117801265</v>
      </c>
    </row>
    <row r="104" spans="2:11" ht="15" customHeight="1" x14ac:dyDescent="0.35">
      <c r="B104" s="49" t="s">
        <v>233</v>
      </c>
      <c r="D104" s="78">
        <f>Calculations!D56</f>
        <v>706510</v>
      </c>
      <c r="E104" s="78">
        <f>Calculations!E56</f>
        <v>786876</v>
      </c>
      <c r="F104" s="78">
        <f>Calculations!F56</f>
        <v>806923</v>
      </c>
      <c r="G104" s="78">
        <f>Calculations!G56</f>
        <v>1025778.0435573922</v>
      </c>
      <c r="H104" s="78">
        <f>Calculations!H56</f>
        <v>1057064.804740286</v>
      </c>
      <c r="I104" s="78">
        <f>Calculations!I56</f>
        <v>1089180.925801388</v>
      </c>
      <c r="J104" s="78">
        <f>Calculations!J56</f>
        <v>1126219.5022450625</v>
      </c>
      <c r="K104" s="78">
        <f>Calculations!K56</f>
        <v>1163161.594792062</v>
      </c>
    </row>
    <row r="105" spans="2:11" ht="15" customHeight="1" x14ac:dyDescent="0.35">
      <c r="B105" s="49" t="s">
        <v>234</v>
      </c>
      <c r="D105" s="78">
        <f>D104-Calculations!D27+D29</f>
        <v>642347</v>
      </c>
      <c r="E105" s="78">
        <f>E104-Calculations!E27+E29</f>
        <v>715860</v>
      </c>
      <c r="F105" s="78">
        <f>F104-Calculations!F27+F29</f>
        <v>725239</v>
      </c>
      <c r="G105" s="78">
        <f>G104-Calculations!G27+G29</f>
        <v>937566.95016545674</v>
      </c>
      <c r="H105" s="78">
        <f>H104-Calculations!H27+H29</f>
        <v>966888.72516438004</v>
      </c>
      <c r="I105" s="78">
        <f>I104-Calculations!I27+I29</f>
        <v>996935.57832981297</v>
      </c>
      <c r="J105" s="78">
        <f>J104-Calculations!J27+J29</f>
        <v>1031565.6962330953</v>
      </c>
      <c r="K105" s="78">
        <f>K104-Calculations!K27+K29</f>
        <v>1066200.9376504403</v>
      </c>
    </row>
    <row r="107" spans="2:11" ht="15" customHeight="1" x14ac:dyDescent="0.35">
      <c r="B107" s="49" t="s">
        <v>236</v>
      </c>
      <c r="D107" s="57">
        <f>OpModel!E25/(OpModel!D46+3209)</f>
        <v>4.1885923749236782E-2</v>
      </c>
      <c r="E107" s="57">
        <f>OpModel!F25/OpModel!E46</f>
        <v>4.1113170548944963E-2</v>
      </c>
      <c r="F107" s="57">
        <f>OpModel!G25/OpModel!F46</f>
        <v>4.7021308823785343E-2</v>
      </c>
      <c r="G107" s="57">
        <f>OpModel!H25/OpModel!G46</f>
        <v>4.9756861194558799E-2</v>
      </c>
      <c r="H107" s="57">
        <f>OpModel!I25/OpModel!H46</f>
        <v>5.2502899186575802E-2</v>
      </c>
      <c r="I107" s="57">
        <f>OpModel!J25/OpModel!I46</f>
        <v>5.5558682850927424E-2</v>
      </c>
      <c r="J107" s="57">
        <f>OpModel!K25/OpModel!J46</f>
        <v>5.8492818816918729E-2</v>
      </c>
      <c r="K107" s="57">
        <f>OpModel!L25/OpModel!K46</f>
        <v>0</v>
      </c>
    </row>
    <row r="109" spans="2:11" ht="15" customHeight="1" x14ac:dyDescent="0.35">
      <c r="B109" s="49" t="s">
        <v>224</v>
      </c>
      <c r="G109" s="73">
        <f>Calculations!G57/basic_shares</f>
        <v>9.3893486268376432</v>
      </c>
      <c r="H109" s="73">
        <f>Calculations!H57/basic_shares</f>
        <v>9.6757286190745955</v>
      </c>
      <c r="I109" s="73">
        <f>Calculations!I57/basic_shares</f>
        <v>9.9697000674579481</v>
      </c>
      <c r="J109" s="73">
        <f>Calculations!J57/basic_shares</f>
        <v>10.308728679988374</v>
      </c>
      <c r="K109" s="73">
        <f>Calculations!K57/basic_shares</f>
        <v>10.646874137582458</v>
      </c>
    </row>
    <row r="110" spans="2:11" ht="15" customHeight="1" x14ac:dyDescent="0.35">
      <c r="B110" s="49" t="s">
        <v>240</v>
      </c>
      <c r="D110" s="57"/>
      <c r="E110" s="57"/>
      <c r="G110" s="57">
        <f>G109/Share_Price</f>
        <v>6.1484831555481914E-2</v>
      </c>
      <c r="H110" s="57">
        <f>H109/Share_Price</f>
        <v>6.3360150737178933E-2</v>
      </c>
      <c r="I110" s="57">
        <f>I109/Share_Price</f>
        <v>6.5285181503882836E-2</v>
      </c>
      <c r="J110" s="57">
        <f>J109/Share_Price</f>
        <v>6.7505262785596057E-2</v>
      </c>
      <c r="K110" s="57">
        <f>K109/Share_Price</f>
        <v>6.9719560851171883E-2</v>
      </c>
    </row>
    <row r="112" spans="2:11" ht="15" customHeight="1" x14ac:dyDescent="0.35">
      <c r="B112" s="49" t="s">
        <v>225</v>
      </c>
      <c r="D112" s="94">
        <f>D53/D96</f>
        <v>6.4502911365106748</v>
      </c>
      <c r="E112" s="94">
        <f t="shared" ref="E112:F112" si="29">E53/E96</f>
        <v>6.2148867766437297</v>
      </c>
      <c r="F112" s="94">
        <f t="shared" si="29"/>
        <v>6.0278168453740379</v>
      </c>
      <c r="G112" s="94">
        <f>G53/G96</f>
        <v>5.8297615714228979</v>
      </c>
      <c r="H112" s="94">
        <f>H53/H96</f>
        <v>5.7190345459784213</v>
      </c>
      <c r="I112" s="94">
        <f>I53/I96</f>
        <v>5.6155340956035618</v>
      </c>
      <c r="J112" s="94">
        <f>J53/J96</f>
        <v>5.4942087428015096</v>
      </c>
      <c r="K112" s="94">
        <f>K53/K96</f>
        <v>5.3836261375451135</v>
      </c>
    </row>
    <row r="113" spans="2:11" ht="15" customHeight="1" x14ac:dyDescent="0.35">
      <c r="B113" s="49" t="s">
        <v>226</v>
      </c>
      <c r="D113" s="94">
        <f>(D53-D48)/D96</f>
        <v>6.0914535027977399</v>
      </c>
      <c r="E113" s="94">
        <f t="shared" ref="E113:F113" si="30">(E53-E48)/E96</f>
        <v>5.9405485889821206</v>
      </c>
      <c r="F113" s="94">
        <f t="shared" si="30"/>
        <v>5.6397143262667582</v>
      </c>
      <c r="G113" s="94">
        <f>(G53-G48)/G96</f>
        <v>5.4492173566251596</v>
      </c>
      <c r="H113" s="94">
        <f>(H53-H48)/H96</f>
        <v>5.3392932975405172</v>
      </c>
      <c r="I113" s="94">
        <f>(I53-I48)/I96</f>
        <v>5.2361333283802756</v>
      </c>
      <c r="J113" s="94">
        <f>(J53-J48)/J96</f>
        <v>5.1152391831444382</v>
      </c>
      <c r="K113" s="94">
        <f>(K53-K48)/K96</f>
        <v>5.0050752376848626</v>
      </c>
    </row>
    <row r="114" spans="2:11" ht="15" customHeight="1" x14ac:dyDescent="0.35">
      <c r="B114" s="49" t="s">
        <v>227</v>
      </c>
      <c r="D114" s="94">
        <f>D96/D26</f>
        <v>3.926548116583354</v>
      </c>
      <c r="E114" s="94">
        <f t="shared" ref="E114:F114" si="31">E96/E26</f>
        <v>4.106898346299138</v>
      </c>
      <c r="F114" s="94">
        <f t="shared" si="31"/>
        <v>4.2178945267855523</v>
      </c>
      <c r="G114" s="94" t="e">
        <f>G96/G26</f>
        <v>#DIV/0!</v>
      </c>
      <c r="H114" s="94" t="e">
        <f>H96/H26</f>
        <v>#DIV/0!</v>
      </c>
      <c r="I114" s="94" t="e">
        <f>I96/I26</f>
        <v>#DIV/0!</v>
      </c>
      <c r="J114" s="94" t="e">
        <f>J96/J26</f>
        <v>#DIV/0!</v>
      </c>
      <c r="K114" s="94" t="e">
        <f>K96/K26</f>
        <v>#DIV/0!</v>
      </c>
    </row>
    <row r="116" spans="2:11" ht="15" customHeight="1" x14ac:dyDescent="0.35">
      <c r="B116" s="49" t="s">
        <v>238</v>
      </c>
      <c r="D116" s="57">
        <f>D53/D60</f>
        <v>0.89843347526508444</v>
      </c>
      <c r="E116" s="57">
        <f t="shared" ref="E116:F116" si="32">E53/E60</f>
        <v>0.90628613156453475</v>
      </c>
      <c r="F116" s="57">
        <f t="shared" si="32"/>
        <v>0.89450721253765508</v>
      </c>
      <c r="G116" s="57">
        <f>G53/G60</f>
        <v>0.89943590275277052</v>
      </c>
      <c r="H116" s="57">
        <f>H53/H60</f>
        <v>0.90225473011710577</v>
      </c>
      <c r="I116" s="57">
        <f>I53/I60</f>
        <v>0.90289881628573954</v>
      </c>
      <c r="J116" s="57">
        <f>J53/J60</f>
        <v>0.90112807168909381</v>
      </c>
      <c r="K116" s="57">
        <f>K53/K60</f>
        <v>0.8970408776669595</v>
      </c>
    </row>
    <row r="117" spans="2:11" ht="15" customHeight="1" x14ac:dyDescent="0.35">
      <c r="B117" s="49" t="s">
        <v>239</v>
      </c>
      <c r="D117" s="57">
        <f>D53/(D53+D60)</f>
        <v>0.4732499120832418</v>
      </c>
      <c r="E117" s="57">
        <f t="shared" ref="E117:F117" si="33">E53/(E53+E60)</f>
        <v>0.47541977909723554</v>
      </c>
      <c r="F117" s="57">
        <f t="shared" si="33"/>
        <v>0.47215825129505856</v>
      </c>
      <c r="G117" s="57">
        <f>G53/(G53+G60)</f>
        <v>0.47352790449483284</v>
      </c>
      <c r="H117" s="57">
        <f>H53/(H53+H60)</f>
        <v>0.47430804919673486</v>
      </c>
      <c r="I117" s="57">
        <f>I53/(I53+I60)</f>
        <v>0.47448598346816157</v>
      </c>
      <c r="J117" s="57">
        <f>J53/(J53+J60)</f>
        <v>0.47399651033950024</v>
      </c>
      <c r="K117" s="57">
        <f>K53/(K53+K60)</f>
        <v>0.4728632304276798</v>
      </c>
    </row>
    <row r="118" spans="2:11" ht="15" customHeight="1" x14ac:dyDescent="0.35">
      <c r="B118" s="49" t="s">
        <v>228</v>
      </c>
      <c r="D118" s="57">
        <f>D53/D51</f>
        <v>0.45535517844701595</v>
      </c>
      <c r="E118" s="57">
        <f t="shared" ref="E118:F118" si="34">E53/E51</f>
        <v>0.45528648001161359</v>
      </c>
      <c r="F118" s="57">
        <f t="shared" si="34"/>
        <v>0.45269096310958462</v>
      </c>
      <c r="G118" s="57">
        <f>G53/G51</f>
        <v>0.45336097392449265</v>
      </c>
      <c r="H118" s="57">
        <f>H53/H51</f>
        <v>0.45387836928940606</v>
      </c>
      <c r="I118" s="57">
        <f>I53/I51</f>
        <v>0.45381033687746519</v>
      </c>
      <c r="J118" s="57">
        <f>J53/J51</f>
        <v>0.45305192126463834</v>
      </c>
      <c r="K118" s="57">
        <f>K53/K51</f>
        <v>0.45169381737016667</v>
      </c>
    </row>
    <row r="119" spans="2:11" ht="15" customHeight="1" x14ac:dyDescent="0.35">
      <c r="B119" s="49" t="s">
        <v>237</v>
      </c>
      <c r="D119" s="57">
        <f>D53/D46</f>
        <v>0.52201783917047051</v>
      </c>
      <c r="E119" s="57">
        <f t="shared" ref="E119:F119" si="35">E53/E46</f>
        <v>0.51962554542804951</v>
      </c>
      <c r="F119" s="57">
        <f t="shared" si="35"/>
        <v>0.52830514074680845</v>
      </c>
      <c r="G119" s="57">
        <f>G53/G46</f>
        <v>0.53354168677130442</v>
      </c>
      <c r="H119" s="57">
        <f>H53/H46</f>
        <v>0.53903925190254287</v>
      </c>
      <c r="I119" s="57">
        <f>I53/I46</f>
        <v>0.54423030655055027</v>
      </c>
      <c r="J119" s="57">
        <f>J53/J46</f>
        <v>0.54911218412809393</v>
      </c>
      <c r="K119" s="57">
        <f>K53/K46</f>
        <v>0.55370806582307286</v>
      </c>
    </row>
    <row r="121" spans="2:11" ht="15" customHeight="1" x14ac:dyDescent="0.35">
      <c r="B121" s="20" t="s">
        <v>229</v>
      </c>
      <c r="C121" s="20"/>
      <c r="D121" s="20">
        <f t="shared" ref="D121:K122" si="36">(Share_Price*diluted_shares)/D104</f>
        <v>14.23289069210627</v>
      </c>
      <c r="E121" s="20">
        <f t="shared" si="36"/>
        <v>12.779242984765073</v>
      </c>
      <c r="F121" s="20">
        <f t="shared" si="36"/>
        <v>12.461758560457442</v>
      </c>
      <c r="G121" s="20">
        <f t="shared" si="36"/>
        <v>9.8029780087775755</v>
      </c>
      <c r="H121" s="20">
        <f t="shared" si="36"/>
        <v>9.5128317183454207</v>
      </c>
      <c r="I121" s="20">
        <f t="shared" si="36"/>
        <v>9.2323317133756468</v>
      </c>
      <c r="J121" s="20">
        <f t="shared" si="36"/>
        <v>8.9287031372077159</v>
      </c>
      <c r="K121" s="20">
        <f t="shared" si="36"/>
        <v>8.645126909195838</v>
      </c>
    </row>
    <row r="122" spans="2:11" ht="15" customHeight="1" x14ac:dyDescent="0.35">
      <c r="B122" s="20" t="s">
        <v>230</v>
      </c>
      <c r="C122" s="20"/>
      <c r="D122" s="20">
        <f t="shared" si="36"/>
        <v>15.65459105885137</v>
      </c>
      <c r="E122" s="20">
        <f t="shared" si="36"/>
        <v>14.046991873941833</v>
      </c>
      <c r="F122" s="20">
        <f t="shared" si="36"/>
        <v>13.865332122072862</v>
      </c>
      <c r="G122" s="20">
        <f t="shared" si="36"/>
        <v>10.725292312304129</v>
      </c>
      <c r="H122" s="20">
        <f t="shared" si="36"/>
        <v>10.400038123487729</v>
      </c>
      <c r="I122" s="20">
        <f t="shared" si="36"/>
        <v>10.086589165296409</v>
      </c>
      <c r="J122" s="20">
        <f t="shared" si="36"/>
        <v>9.7479778937974633</v>
      </c>
      <c r="K122" s="20">
        <f t="shared" si="36"/>
        <v>9.4313175385490133</v>
      </c>
    </row>
    <row r="123" spans="2:11" ht="15" customHeight="1" x14ac:dyDescent="0.35">
      <c r="B123" s="20"/>
      <c r="C123" s="20"/>
      <c r="D123" s="20"/>
      <c r="E123" s="20"/>
      <c r="F123" s="20"/>
      <c r="G123" s="20"/>
      <c r="H123" s="20"/>
      <c r="I123" s="20"/>
      <c r="J123" s="20"/>
      <c r="K123" s="20"/>
    </row>
    <row r="124" spans="2:11" ht="15" customHeight="1" x14ac:dyDescent="0.35">
      <c r="B124" s="20" t="s">
        <v>231</v>
      </c>
      <c r="C124" s="20"/>
      <c r="D124" s="134">
        <f>1/D121</f>
        <v>7.0259796244666717E-2</v>
      </c>
      <c r="E124" s="134">
        <f t="shared" ref="E124:K124" si="37">1/E121</f>
        <v>7.8251896547562469E-2</v>
      </c>
      <c r="F124" s="134">
        <f t="shared" si="37"/>
        <v>8.0245496263513905E-2</v>
      </c>
      <c r="G124" s="134">
        <f t="shared" si="37"/>
        <v>0.10200981774156803</v>
      </c>
      <c r="H124" s="134">
        <f t="shared" si="37"/>
        <v>0.10512116997418423</v>
      </c>
      <c r="I124" s="134">
        <f t="shared" si="37"/>
        <v>0.10831499896729413</v>
      </c>
      <c r="J124" s="134">
        <f t="shared" si="37"/>
        <v>0.11199834787123757</v>
      </c>
      <c r="K124" s="134">
        <f t="shared" si="37"/>
        <v>0.11567210180989917</v>
      </c>
    </row>
    <row r="125" spans="2:11" ht="15" customHeight="1" x14ac:dyDescent="0.35">
      <c r="B125" s="20" t="s">
        <v>232</v>
      </c>
      <c r="C125" s="20"/>
      <c r="D125" s="134">
        <f>1/D122</f>
        <v>6.3879024130405707E-2</v>
      </c>
      <c r="E125" s="134">
        <f t="shared" ref="E125:K125" si="38">1/E122</f>
        <v>7.1189619028332388E-2</v>
      </c>
      <c r="F125" s="134">
        <f t="shared" si="38"/>
        <v>7.2122325754321731E-2</v>
      </c>
      <c r="G125" s="134">
        <f t="shared" si="38"/>
        <v>9.3237552029495102E-2</v>
      </c>
      <c r="H125" s="134">
        <f t="shared" si="38"/>
        <v>9.6153493682063801E-2</v>
      </c>
      <c r="I125" s="134">
        <f t="shared" si="38"/>
        <v>9.9141541666093375E-2</v>
      </c>
      <c r="J125" s="134">
        <f t="shared" si="38"/>
        <v>0.10258537831074582</v>
      </c>
      <c r="K125" s="134">
        <f t="shared" si="38"/>
        <v>0.10602972446984833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297228-DDE4-4845-8125-C582BDCCC99B}">
  <dimension ref="A1:J151"/>
  <sheetViews>
    <sheetView zoomScaleNormal="100" workbookViewId="0">
      <selection activeCell="A2" sqref="A2"/>
    </sheetView>
  </sheetViews>
  <sheetFormatPr defaultColWidth="9.08984375" defaultRowHeight="15" customHeight="1" x14ac:dyDescent="0.35"/>
  <cols>
    <col min="1" max="1" width="1.6328125" style="13" customWidth="1"/>
    <col min="2" max="2" width="47" style="49" customWidth="1"/>
    <col min="3" max="3" width="10.6328125" style="49" customWidth="1"/>
    <col min="4" max="4" width="18.54296875" style="49" bestFit="1" customWidth="1"/>
    <col min="5" max="8" width="15.6328125" style="49" customWidth="1"/>
    <col min="9" max="10" width="11.6328125" style="49" customWidth="1"/>
    <col min="11" max="12" width="9.08984375" style="49" customWidth="1"/>
    <col min="13" max="16384" width="9.08984375" style="49"/>
  </cols>
  <sheetData>
    <row r="1" spans="1:10" ht="45" customHeight="1" x14ac:dyDescent="0.65">
      <c r="A1" s="5" t="str">
        <f>Welcome!A2</f>
        <v>REIT Operating and Valuation Model</v>
      </c>
      <c r="B1" s="8"/>
      <c r="C1" s="8"/>
      <c r="D1" s="10"/>
      <c r="E1" s="10"/>
      <c r="F1" s="10"/>
      <c r="G1" s="10"/>
      <c r="H1" s="10"/>
      <c r="I1" s="10"/>
      <c r="J1" s="10"/>
    </row>
    <row r="2" spans="1:10" ht="30" customHeight="1" x14ac:dyDescent="0.5">
      <c r="A2" s="12" t="str">
        <f ca="1">MID(CELL("filename",A1),FIND("]",CELL("filename",A1))+1,255)</f>
        <v>NAV</v>
      </c>
      <c r="B2" s="7"/>
      <c r="C2" s="7"/>
      <c r="D2" s="9"/>
      <c r="E2" s="9"/>
      <c r="F2" s="9"/>
      <c r="G2" s="9"/>
      <c r="H2" s="9"/>
      <c r="I2" s="9"/>
      <c r="J2" s="9"/>
    </row>
    <row r="4" spans="1:10" ht="15" customHeight="1" x14ac:dyDescent="0.35">
      <c r="B4" s="49" t="str">
        <f>DCF!B4</f>
        <v>Company Name:</v>
      </c>
      <c r="C4" s="49" t="str">
        <f>DCF!C4</f>
        <v>Apartment Realty Management Co (ARMCO)</v>
      </c>
      <c r="F4" s="111"/>
      <c r="G4" s="111"/>
      <c r="H4" s="112"/>
      <c r="I4" s="112" t="s">
        <v>243</v>
      </c>
      <c r="J4" s="112"/>
    </row>
    <row r="5" spans="1:10" ht="15" customHeight="1" x14ac:dyDescent="0.35">
      <c r="B5" s="49" t="str">
        <f>DCF!B5</f>
        <v>Ticker:</v>
      </c>
      <c r="C5" s="49" t="str">
        <f>DCF!C5</f>
        <v>ARMCO</v>
      </c>
      <c r="F5" s="111" t="s">
        <v>244</v>
      </c>
      <c r="G5" s="111"/>
      <c r="H5" s="112" t="s">
        <v>245</v>
      </c>
      <c r="I5" s="112" t="s">
        <v>246</v>
      </c>
      <c r="J5" s="112" t="s">
        <v>247</v>
      </c>
    </row>
    <row r="6" spans="1:10" ht="15" customHeight="1" x14ac:dyDescent="0.35">
      <c r="F6" s="99" t="s">
        <v>248</v>
      </c>
      <c r="G6" s="99"/>
      <c r="H6" s="148">
        <v>612</v>
      </c>
      <c r="I6" s="102">
        <v>137.12</v>
      </c>
      <c r="J6" s="101">
        <f>IF(Share_Price&gt;I6,((Share_Price-I6)/Share_Price)*H6,0)</f>
        <v>62.478423154999682</v>
      </c>
    </row>
    <row r="7" spans="1:10" ht="15" customHeight="1" x14ac:dyDescent="0.35">
      <c r="B7" s="49" t="str">
        <f>DCF!B7</f>
        <v>Valuation Date:</v>
      </c>
      <c r="C7" s="96">
        <f>Info!N6</f>
        <v>43543</v>
      </c>
      <c r="F7" s="99" t="s">
        <v>249</v>
      </c>
      <c r="G7" s="99"/>
      <c r="H7" s="148">
        <v>145.19999999999999</v>
      </c>
      <c r="I7" s="102"/>
      <c r="J7" s="101">
        <f>H7</f>
        <v>145.19999999999999</v>
      </c>
    </row>
    <row r="8" spans="1:10" ht="15" customHeight="1" x14ac:dyDescent="0.35">
      <c r="B8" s="49" t="str">
        <f>DCF!B8</f>
        <v>Share Price as of Valuation Date:</v>
      </c>
      <c r="C8" s="74">
        <v>152.71</v>
      </c>
      <c r="F8" s="99" t="s">
        <v>250</v>
      </c>
      <c r="G8" s="99"/>
      <c r="H8" s="148">
        <v>91.058000000000007</v>
      </c>
      <c r="I8" s="102"/>
      <c r="J8" s="103">
        <f>+H8</f>
        <v>91.058000000000007</v>
      </c>
    </row>
    <row r="9" spans="1:10" ht="15" customHeight="1" x14ac:dyDescent="0.35">
      <c r="B9" s="49" t="str">
        <f>DCF!B9</f>
        <v>Basic Shares Outstanding:</v>
      </c>
      <c r="C9" s="80">
        <v>65549.47</v>
      </c>
      <c r="F9" s="100" t="s">
        <v>251</v>
      </c>
      <c r="G9" s="100"/>
      <c r="H9" s="104">
        <f>SUM(H6:H8)</f>
        <v>848.25800000000004</v>
      </c>
      <c r="I9" s="105"/>
      <c r="J9" s="106">
        <f>SUM(J6:J8)</f>
        <v>298.73642315499967</v>
      </c>
    </row>
    <row r="10" spans="1:10" ht="15" customHeight="1" x14ac:dyDescent="0.35">
      <c r="B10" s="49" t="str">
        <f>DCF!B10</f>
        <v>Fully Diluted Shares</v>
      </c>
      <c r="C10" s="78">
        <f>basic_shares+J9</f>
        <v>65848.206423155003</v>
      </c>
      <c r="F10" s="99"/>
      <c r="G10" s="99"/>
      <c r="H10" s="99"/>
      <c r="I10" s="99"/>
      <c r="J10" s="99"/>
    </row>
    <row r="12" spans="1:10" ht="15" customHeight="1" x14ac:dyDescent="0.35">
      <c r="B12" s="49" t="s">
        <v>324</v>
      </c>
      <c r="C12" s="60">
        <v>0.08</v>
      </c>
    </row>
    <row r="14" spans="1:10" ht="15" customHeight="1" x14ac:dyDescent="0.35">
      <c r="C14"/>
      <c r="I14"/>
      <c r="J14"/>
    </row>
    <row r="15" spans="1:10" ht="15" customHeight="1" x14ac:dyDescent="0.5">
      <c r="A15" s="118" t="s">
        <v>308</v>
      </c>
      <c r="B15" s="118"/>
      <c r="C15" s="118"/>
      <c r="D15" s="118"/>
      <c r="E15" s="118"/>
      <c r="F15" s="118"/>
      <c r="G15" s="118"/>
      <c r="H15" s="118"/>
      <c r="I15"/>
      <c r="J15"/>
    </row>
    <row r="16" spans="1:10" ht="15" customHeight="1" x14ac:dyDescent="0.35">
      <c r="A16"/>
      <c r="B16"/>
      <c r="C16"/>
      <c r="D16"/>
      <c r="E16"/>
      <c r="F16"/>
      <c r="G16"/>
      <c r="H16"/>
    </row>
    <row r="17" spans="1:10" ht="15" customHeight="1" x14ac:dyDescent="0.35">
      <c r="A17" s="49"/>
      <c r="D17" s="1" t="s">
        <v>316</v>
      </c>
      <c r="E17" s="1" t="s">
        <v>317</v>
      </c>
      <c r="F17" s="1" t="s">
        <v>318</v>
      </c>
      <c r="G17" s="1" t="s">
        <v>318</v>
      </c>
      <c r="H17" s="1" t="s">
        <v>319</v>
      </c>
    </row>
    <row r="18" spans="1:10" ht="15" customHeight="1" x14ac:dyDescent="0.35">
      <c r="A18" s="49"/>
      <c r="D18" s="1" t="s">
        <v>376</v>
      </c>
      <c r="E18" s="1" t="s">
        <v>321</v>
      </c>
      <c r="F18" s="1" t="s">
        <v>320</v>
      </c>
      <c r="G18" s="1" t="s">
        <v>322</v>
      </c>
      <c r="H18" s="1" t="s">
        <v>323</v>
      </c>
    </row>
    <row r="19" spans="1:10" ht="15" customHeight="1" x14ac:dyDescent="0.35">
      <c r="A19"/>
      <c r="B19" t="s">
        <v>309</v>
      </c>
      <c r="C19"/>
      <c r="E19"/>
      <c r="F19"/>
      <c r="G19"/>
      <c r="H19"/>
      <c r="I19"/>
      <c r="J19"/>
    </row>
    <row r="20" spans="1:10" ht="15" customHeight="1" x14ac:dyDescent="0.35">
      <c r="A20"/>
      <c r="B20" s="53" t="s">
        <v>18</v>
      </c>
      <c r="C20"/>
      <c r="D20" s="78"/>
      <c r="E20" s="78"/>
      <c r="F20" s="78"/>
      <c r="G20" s="115">
        <v>5.5E-2</v>
      </c>
      <c r="H20" s="78">
        <f>F20/G20</f>
        <v>0</v>
      </c>
      <c r="I20"/>
      <c r="J20"/>
    </row>
    <row r="21" spans="1:10" ht="15" customHeight="1" x14ac:dyDescent="0.35">
      <c r="A21"/>
      <c r="B21" s="53" t="s">
        <v>19</v>
      </c>
      <c r="C21"/>
      <c r="D21" s="78"/>
      <c r="E21" s="78"/>
      <c r="F21" s="78"/>
      <c r="G21" s="115">
        <v>5.2499999999999998E-2</v>
      </c>
      <c r="H21" s="78">
        <f t="shared" ref="H21:H23" si="0">F21/G21</f>
        <v>0</v>
      </c>
      <c r="I21"/>
      <c r="J21"/>
    </row>
    <row r="22" spans="1:10" ht="15" customHeight="1" x14ac:dyDescent="0.35">
      <c r="A22"/>
      <c r="B22" s="53" t="s">
        <v>20</v>
      </c>
      <c r="C22"/>
      <c r="D22" s="78"/>
      <c r="E22" s="78"/>
      <c r="F22" s="78"/>
      <c r="G22" s="115">
        <v>0.06</v>
      </c>
      <c r="H22" s="78">
        <f t="shared" si="0"/>
        <v>0</v>
      </c>
      <c r="I22"/>
      <c r="J22"/>
    </row>
    <row r="23" spans="1:10" ht="15" customHeight="1" x14ac:dyDescent="0.35">
      <c r="A23" s="49"/>
      <c r="B23" s="113" t="s">
        <v>325</v>
      </c>
      <c r="D23" s="78"/>
      <c r="E23" s="78"/>
      <c r="F23" s="78"/>
      <c r="G23" s="116">
        <v>6.5000000000000002E-2</v>
      </c>
      <c r="H23" s="78">
        <f t="shared" si="0"/>
        <v>0</v>
      </c>
    </row>
    <row r="24" spans="1:10" ht="15" customHeight="1" x14ac:dyDescent="0.35">
      <c r="A24" s="49"/>
      <c r="B24" s="81" t="s">
        <v>327</v>
      </c>
      <c r="C24" s="50"/>
      <c r="D24" s="79"/>
      <c r="E24" s="79"/>
      <c r="F24" s="79"/>
      <c r="G24" s="50"/>
      <c r="H24" s="79">
        <f>SUM(H20:H23)</f>
        <v>0</v>
      </c>
    </row>
    <row r="25" spans="1:10" ht="15" customHeight="1" x14ac:dyDescent="0.35">
      <c r="A25"/>
      <c r="B25"/>
      <c r="C25"/>
      <c r="D25" s="78"/>
      <c r="E25"/>
      <c r="F25"/>
      <c r="G25"/>
      <c r="H25"/>
      <c r="I25"/>
      <c r="J25"/>
    </row>
    <row r="26" spans="1:10" ht="15" customHeight="1" x14ac:dyDescent="0.35">
      <c r="A26"/>
      <c r="B26" t="s">
        <v>310</v>
      </c>
      <c r="C26"/>
      <c r="D26" s="78"/>
      <c r="E26"/>
      <c r="F26"/>
      <c r="G26"/>
      <c r="H26"/>
      <c r="I26"/>
      <c r="J26"/>
    </row>
    <row r="27" spans="1:10" ht="15" customHeight="1" x14ac:dyDescent="0.35">
      <c r="A27"/>
      <c r="B27" s="53" t="s">
        <v>311</v>
      </c>
      <c r="C27"/>
      <c r="E27" s="78"/>
      <c r="F27" s="78"/>
      <c r="G27" s="52">
        <v>5.2499999999999998E-2</v>
      </c>
      <c r="H27" s="78">
        <f t="shared" ref="H27:H33" si="1">F27/G27</f>
        <v>0</v>
      </c>
      <c r="I27"/>
      <c r="J27"/>
    </row>
    <row r="28" spans="1:10" ht="15" customHeight="1" x14ac:dyDescent="0.35">
      <c r="A28"/>
      <c r="B28" s="53" t="s">
        <v>312</v>
      </c>
      <c r="C28"/>
      <c r="E28" s="78"/>
      <c r="F28" s="78"/>
      <c r="G28" s="52">
        <v>7.4999999999999997E-2</v>
      </c>
      <c r="H28" s="78">
        <f t="shared" si="1"/>
        <v>0</v>
      </c>
      <c r="I28"/>
      <c r="J28"/>
    </row>
    <row r="29" spans="1:10" ht="15" customHeight="1" x14ac:dyDescent="0.35">
      <c r="A29"/>
      <c r="B29" s="53" t="s">
        <v>313</v>
      </c>
      <c r="C29"/>
      <c r="E29" s="78"/>
      <c r="F29" s="78"/>
      <c r="G29" s="52">
        <v>5.5E-2</v>
      </c>
      <c r="H29" s="78">
        <f t="shared" si="1"/>
        <v>0</v>
      </c>
      <c r="I29"/>
      <c r="J29"/>
    </row>
    <row r="30" spans="1:10" ht="15" customHeight="1" x14ac:dyDescent="0.35">
      <c r="A30"/>
      <c r="B30" s="53" t="s">
        <v>314</v>
      </c>
      <c r="C30"/>
      <c r="E30" s="78"/>
      <c r="F30" s="78"/>
      <c r="G30" s="108">
        <v>6.5000000000000002E-2</v>
      </c>
      <c r="H30" s="78">
        <f t="shared" si="1"/>
        <v>0</v>
      </c>
      <c r="I30"/>
      <c r="J30"/>
    </row>
    <row r="31" spans="1:10" ht="15" customHeight="1" x14ac:dyDescent="0.35">
      <c r="A31"/>
      <c r="B31" s="81" t="s">
        <v>328</v>
      </c>
      <c r="C31" s="50"/>
      <c r="D31" s="79"/>
      <c r="E31" s="50"/>
      <c r="F31" s="50"/>
      <c r="G31" s="50"/>
      <c r="H31" s="79">
        <f>SUM(H27:H30)</f>
        <v>0</v>
      </c>
      <c r="I31"/>
      <c r="J31"/>
    </row>
    <row r="32" spans="1:10" ht="15" customHeight="1" x14ac:dyDescent="0.35">
      <c r="A32" s="49"/>
      <c r="B32" s="117"/>
      <c r="D32" s="78"/>
    </row>
    <row r="33" spans="1:10" ht="15" customHeight="1" x14ac:dyDescent="0.35">
      <c r="A33"/>
      <c r="B33" t="s">
        <v>315</v>
      </c>
      <c r="C33"/>
      <c r="D33" s="78"/>
      <c r="E33" s="78"/>
      <c r="F33" s="78"/>
      <c r="G33" s="52">
        <v>0.06</v>
      </c>
      <c r="H33" s="78">
        <f t="shared" si="1"/>
        <v>0</v>
      </c>
      <c r="I33"/>
      <c r="J33"/>
    </row>
    <row r="34" spans="1:10" ht="15" customHeight="1" x14ac:dyDescent="0.35">
      <c r="A34"/>
      <c r="B34" s="113" t="s">
        <v>326</v>
      </c>
      <c r="C34"/>
      <c r="D34"/>
      <c r="E34"/>
      <c r="F34"/>
      <c r="G34"/>
      <c r="H34" s="52">
        <v>0.5</v>
      </c>
      <c r="I34"/>
      <c r="J34"/>
    </row>
    <row r="35" spans="1:10" ht="15" customHeight="1" x14ac:dyDescent="0.35">
      <c r="A35"/>
      <c r="B35"/>
      <c r="C35"/>
      <c r="D35"/>
      <c r="E35"/>
      <c r="F35"/>
      <c r="G35"/>
      <c r="H35" s="78">
        <f>H33*H34</f>
        <v>0</v>
      </c>
      <c r="I35"/>
      <c r="J35"/>
    </row>
    <row r="36" spans="1:10" ht="15" customHeight="1" x14ac:dyDescent="0.35">
      <c r="A36" s="49"/>
      <c r="H36" s="78"/>
    </row>
    <row r="37" spans="1:10" ht="15" customHeight="1" x14ac:dyDescent="0.35">
      <c r="A37"/>
      <c r="B37" t="s">
        <v>372</v>
      </c>
      <c r="C37"/>
      <c r="D37"/>
      <c r="E37"/>
      <c r="F37"/>
      <c r="G37" s="52">
        <v>0.15</v>
      </c>
      <c r="H37"/>
      <c r="I37"/>
      <c r="J37"/>
    </row>
    <row r="38" spans="1:10" ht="15" customHeight="1" x14ac:dyDescent="0.35">
      <c r="A38"/>
      <c r="B38"/>
      <c r="C38"/>
      <c r="D38"/>
      <c r="E38"/>
      <c r="F38"/>
      <c r="G38"/>
      <c r="H38"/>
      <c r="I38"/>
      <c r="J38"/>
    </row>
    <row r="39" spans="1:10" ht="15" customHeight="1" x14ac:dyDescent="0.35">
      <c r="A39"/>
      <c r="B39" t="s">
        <v>329</v>
      </c>
      <c r="C39"/>
      <c r="D39"/>
      <c r="E39"/>
      <c r="F39"/>
      <c r="G39"/>
      <c r="H39"/>
      <c r="I39"/>
      <c r="J39"/>
    </row>
    <row r="40" spans="1:10" ht="15" customHeight="1" x14ac:dyDescent="0.35">
      <c r="A40"/>
      <c r="B40" s="53" t="s">
        <v>124</v>
      </c>
      <c r="C40"/>
      <c r="D40"/>
      <c r="E40"/>
      <c r="F40"/>
      <c r="G40"/>
      <c r="H40"/>
      <c r="I40"/>
      <c r="J40"/>
    </row>
    <row r="41" spans="1:10" ht="15" customHeight="1" x14ac:dyDescent="0.35">
      <c r="A41"/>
      <c r="B41" s="53" t="s">
        <v>125</v>
      </c>
      <c r="C41"/>
      <c r="D41"/>
      <c r="E41"/>
      <c r="F41"/>
      <c r="G41"/>
      <c r="I41"/>
      <c r="J41"/>
    </row>
    <row r="42" spans="1:10" ht="15" customHeight="1" x14ac:dyDescent="0.35">
      <c r="A42"/>
      <c r="B42" s="53" t="s">
        <v>122</v>
      </c>
      <c r="C42"/>
      <c r="D42"/>
      <c r="E42"/>
      <c r="F42"/>
      <c r="G42"/>
      <c r="I42"/>
      <c r="J42"/>
    </row>
    <row r="43" spans="1:10" ht="15" customHeight="1" x14ac:dyDescent="0.35">
      <c r="A43"/>
      <c r="B43"/>
      <c r="C43"/>
      <c r="D43"/>
      <c r="E43"/>
      <c r="F43"/>
      <c r="G43"/>
      <c r="H43"/>
      <c r="I43"/>
      <c r="J43"/>
    </row>
    <row r="44" spans="1:10" ht="15" customHeight="1" x14ac:dyDescent="0.35">
      <c r="A44"/>
      <c r="B44" s="81" t="s">
        <v>330</v>
      </c>
      <c r="C44" s="50"/>
      <c r="D44" s="50"/>
      <c r="E44" s="50"/>
      <c r="F44" s="50"/>
      <c r="G44" s="50"/>
      <c r="H44" s="50"/>
      <c r="I44"/>
      <c r="J44"/>
    </row>
    <row r="45" spans="1:10" ht="15" customHeight="1" x14ac:dyDescent="0.35">
      <c r="A45"/>
      <c r="B45"/>
      <c r="C45"/>
      <c r="D45"/>
      <c r="E45"/>
      <c r="F45"/>
      <c r="G45"/>
      <c r="H45"/>
      <c r="I45"/>
      <c r="J45"/>
    </row>
    <row r="46" spans="1:10" ht="15" customHeight="1" x14ac:dyDescent="0.5">
      <c r="A46" s="118" t="s">
        <v>331</v>
      </c>
      <c r="B46" s="118"/>
      <c r="C46" s="118"/>
      <c r="D46" s="118"/>
      <c r="E46" s="118"/>
      <c r="F46" s="118"/>
      <c r="G46" s="118"/>
      <c r="H46" s="118"/>
      <c r="I46"/>
      <c r="J46"/>
    </row>
    <row r="47" spans="1:10" ht="15" customHeight="1" x14ac:dyDescent="0.35">
      <c r="A47"/>
      <c r="B47" t="s">
        <v>130</v>
      </c>
      <c r="C47"/>
      <c r="D47"/>
      <c r="E47"/>
      <c r="F47"/>
      <c r="G47"/>
      <c r="H47"/>
      <c r="I47"/>
      <c r="J47"/>
    </row>
    <row r="48" spans="1:10" ht="15" customHeight="1" x14ac:dyDescent="0.35">
      <c r="A48" s="49"/>
      <c r="B48" s="53" t="s">
        <v>332</v>
      </c>
      <c r="H48" s="52">
        <v>1.05</v>
      </c>
    </row>
    <row r="49" spans="1:10" ht="15" customHeight="1" x14ac:dyDescent="0.35">
      <c r="A49"/>
      <c r="B49" s="49" t="s">
        <v>334</v>
      </c>
      <c r="C49"/>
      <c r="D49"/>
      <c r="E49"/>
      <c r="F49"/>
      <c r="G49"/>
      <c r="H49"/>
      <c r="I49"/>
      <c r="J49"/>
    </row>
    <row r="50" spans="1:10" ht="15" customHeight="1" x14ac:dyDescent="0.35">
      <c r="A50" s="49"/>
    </row>
    <row r="51" spans="1:10" ht="15" customHeight="1" x14ac:dyDescent="0.35">
      <c r="A51" s="49"/>
      <c r="B51" s="49" t="s">
        <v>333</v>
      </c>
      <c r="H51" s="59">
        <v>2190765</v>
      </c>
    </row>
    <row r="52" spans="1:10" ht="15" customHeight="1" x14ac:dyDescent="0.35">
      <c r="A52" s="49"/>
      <c r="B52" s="113" t="s">
        <v>326</v>
      </c>
      <c r="H52" s="57"/>
    </row>
    <row r="53" spans="1:10" ht="15" customHeight="1" x14ac:dyDescent="0.35">
      <c r="A53" s="49"/>
      <c r="B53" s="49" t="s">
        <v>335</v>
      </c>
    </row>
    <row r="54" spans="1:10" ht="15" customHeight="1" x14ac:dyDescent="0.35">
      <c r="A54" s="49"/>
    </row>
    <row r="55" spans="1:10" ht="15" customHeight="1" x14ac:dyDescent="0.35">
      <c r="A55"/>
      <c r="B55" t="str">
        <f>OpModel!B54</f>
        <v>Current liabilities</v>
      </c>
      <c r="C55"/>
      <c r="D55"/>
      <c r="E55"/>
      <c r="F55"/>
      <c r="G55"/>
      <c r="H55"/>
      <c r="I55"/>
      <c r="J55"/>
    </row>
    <row r="56" spans="1:10" ht="15" customHeight="1" x14ac:dyDescent="0.35">
      <c r="A56"/>
      <c r="B56" s="147" t="str">
        <f>OpModel!B55</f>
        <v>Other liabilities</v>
      </c>
      <c r="C56"/>
      <c r="D56"/>
      <c r="E56"/>
      <c r="F56"/>
      <c r="G56"/>
      <c r="I56"/>
      <c r="J56"/>
    </row>
    <row r="57" spans="1:10" ht="15" customHeight="1" x14ac:dyDescent="0.35">
      <c r="A57" s="49"/>
      <c r="B57" s="149" t="str">
        <f>OpModel!B58</f>
        <v>Redeemable noncontrolling interest</v>
      </c>
    </row>
    <row r="58" spans="1:10" s="147" customFormat="1" ht="15" customHeight="1" x14ac:dyDescent="0.35">
      <c r="B58" s="147" t="str">
        <f>OpModel!B61</f>
        <v>Noncontrolling interest</v>
      </c>
    </row>
    <row r="59" spans="1:10" ht="15" customHeight="1" x14ac:dyDescent="0.35">
      <c r="A59"/>
      <c r="B59" s="81" t="s">
        <v>336</v>
      </c>
      <c r="C59" s="50"/>
      <c r="D59" s="50"/>
      <c r="E59" s="50"/>
      <c r="F59" s="50"/>
      <c r="G59" s="50"/>
      <c r="H59" s="50"/>
      <c r="I59"/>
      <c r="J59"/>
    </row>
    <row r="60" spans="1:10" ht="15" customHeight="1" x14ac:dyDescent="0.35">
      <c r="A60"/>
      <c r="B60"/>
      <c r="C60"/>
      <c r="D60"/>
      <c r="E60"/>
      <c r="F60"/>
      <c r="G60"/>
      <c r="H60"/>
      <c r="I60"/>
      <c r="J60"/>
    </row>
    <row r="61" spans="1:10" ht="15" customHeight="1" x14ac:dyDescent="0.35">
      <c r="A61"/>
      <c r="B61" s="64" t="s">
        <v>337</v>
      </c>
      <c r="C61"/>
      <c r="D61"/>
      <c r="E61"/>
      <c r="F61"/>
      <c r="G61"/>
      <c r="H61" s="64"/>
      <c r="I61"/>
      <c r="J61"/>
    </row>
    <row r="62" spans="1:10" ht="15" customHeight="1" x14ac:dyDescent="0.35">
      <c r="A62"/>
      <c r="B62" t="s">
        <v>338</v>
      </c>
      <c r="C62"/>
      <c r="D62"/>
      <c r="E62"/>
      <c r="F62"/>
      <c r="G62"/>
      <c r="H62"/>
      <c r="I62"/>
      <c r="J62"/>
    </row>
    <row r="63" spans="1:10" ht="15" customHeight="1" x14ac:dyDescent="0.35">
      <c r="A63"/>
      <c r="B63"/>
      <c r="C63"/>
      <c r="D63"/>
      <c r="E63"/>
      <c r="F63"/>
      <c r="G63"/>
      <c r="H63"/>
      <c r="I63"/>
      <c r="J63"/>
    </row>
    <row r="64" spans="1:10" ht="15" customHeight="1" x14ac:dyDescent="0.35">
      <c r="A64"/>
      <c r="B64" s="64" t="s">
        <v>339</v>
      </c>
      <c r="C64" s="64"/>
      <c r="D64" s="64"/>
      <c r="E64" s="64"/>
      <c r="F64" s="64"/>
      <c r="G64" s="64"/>
      <c r="H64" s="136"/>
      <c r="I64"/>
      <c r="J64"/>
    </row>
    <row r="65" spans="1:10" ht="15" customHeight="1" x14ac:dyDescent="0.35">
      <c r="A65"/>
      <c r="B65" t="s">
        <v>340</v>
      </c>
      <c r="C65"/>
      <c r="D65"/>
      <c r="E65"/>
      <c r="F65"/>
      <c r="G65"/>
      <c r="H65" s="73"/>
      <c r="I65"/>
      <c r="J65"/>
    </row>
    <row r="66" spans="1:10" ht="15" customHeight="1" x14ac:dyDescent="0.35">
      <c r="A66"/>
      <c r="B66" t="s">
        <v>341</v>
      </c>
      <c r="C66"/>
      <c r="D66"/>
      <c r="E66"/>
      <c r="F66"/>
      <c r="G66"/>
      <c r="H66" s="57"/>
      <c r="I66"/>
      <c r="J66"/>
    </row>
    <row r="67" spans="1:10" ht="15" customHeight="1" x14ac:dyDescent="0.35">
      <c r="A67"/>
      <c r="B67"/>
      <c r="C67"/>
      <c r="D67"/>
      <c r="E67"/>
      <c r="F67"/>
      <c r="G67"/>
      <c r="H67"/>
      <c r="I67"/>
      <c r="J67"/>
    </row>
    <row r="68" spans="1:10" ht="15" customHeight="1" x14ac:dyDescent="0.35">
      <c r="A68"/>
      <c r="B68"/>
      <c r="C68"/>
      <c r="D68"/>
      <c r="E68"/>
      <c r="F68"/>
      <c r="G68"/>
      <c r="H68"/>
      <c r="I68"/>
      <c r="J68"/>
    </row>
    <row r="69" spans="1:10" ht="15" customHeight="1" x14ac:dyDescent="0.35">
      <c r="A69"/>
      <c r="B69"/>
      <c r="C69"/>
      <c r="D69"/>
      <c r="E69"/>
      <c r="F69"/>
      <c r="G69"/>
      <c r="H69"/>
      <c r="I69"/>
      <c r="J69"/>
    </row>
    <row r="70" spans="1:10" ht="15" customHeight="1" x14ac:dyDescent="0.35">
      <c r="A70"/>
      <c r="B70"/>
      <c r="C70"/>
      <c r="D70"/>
      <c r="E70"/>
      <c r="F70"/>
      <c r="G70"/>
      <c r="H70"/>
      <c r="I70"/>
      <c r="J70"/>
    </row>
    <row r="71" spans="1:10" ht="15" customHeight="1" x14ac:dyDescent="0.35">
      <c r="A71"/>
      <c r="B71"/>
      <c r="C71"/>
      <c r="D71"/>
      <c r="E71"/>
      <c r="F71"/>
      <c r="G71"/>
      <c r="H71"/>
      <c r="I71"/>
      <c r="J71"/>
    </row>
    <row r="72" spans="1:10" ht="15" customHeight="1" x14ac:dyDescent="0.35">
      <c r="A72"/>
      <c r="B72"/>
      <c r="C72"/>
      <c r="D72"/>
      <c r="E72"/>
      <c r="F72"/>
      <c r="G72"/>
      <c r="H72"/>
      <c r="I72"/>
      <c r="J72"/>
    </row>
    <row r="73" spans="1:10" ht="15" customHeight="1" x14ac:dyDescent="0.35">
      <c r="A73"/>
      <c r="B73"/>
      <c r="C73"/>
      <c r="D73"/>
      <c r="E73"/>
      <c r="F73"/>
      <c r="G73"/>
      <c r="H73"/>
      <c r="I73"/>
      <c r="J73"/>
    </row>
    <row r="74" spans="1:10" ht="15" customHeight="1" x14ac:dyDescent="0.35">
      <c r="A74"/>
      <c r="B74"/>
      <c r="C74"/>
      <c r="D74"/>
      <c r="E74"/>
      <c r="F74"/>
      <c r="G74"/>
      <c r="H74"/>
      <c r="I74"/>
      <c r="J74"/>
    </row>
    <row r="75" spans="1:10" ht="15" customHeight="1" x14ac:dyDescent="0.35">
      <c r="A75"/>
      <c r="B75"/>
      <c r="C75"/>
      <c r="D75"/>
      <c r="E75"/>
      <c r="F75"/>
      <c r="G75"/>
      <c r="H75"/>
      <c r="I75"/>
      <c r="J75"/>
    </row>
    <row r="76" spans="1:10" ht="15" customHeight="1" x14ac:dyDescent="0.35">
      <c r="A76"/>
      <c r="B76"/>
      <c r="C76"/>
      <c r="D76"/>
      <c r="E76"/>
      <c r="F76"/>
      <c r="G76"/>
      <c r="H76"/>
      <c r="I76"/>
      <c r="J76"/>
    </row>
    <row r="77" spans="1:10" ht="15" customHeight="1" x14ac:dyDescent="0.35">
      <c r="A77"/>
      <c r="B77"/>
      <c r="C77"/>
      <c r="D77"/>
      <c r="E77"/>
      <c r="F77"/>
      <c r="G77"/>
      <c r="H77"/>
      <c r="I77"/>
      <c r="J77"/>
    </row>
    <row r="78" spans="1:10" ht="15" customHeight="1" x14ac:dyDescent="0.35">
      <c r="A78"/>
      <c r="B78"/>
      <c r="C78"/>
      <c r="D78"/>
      <c r="E78"/>
      <c r="F78"/>
      <c r="G78"/>
      <c r="H78"/>
      <c r="I78"/>
      <c r="J78"/>
    </row>
    <row r="79" spans="1:10" ht="15" customHeight="1" x14ac:dyDescent="0.35">
      <c r="A79"/>
      <c r="B79"/>
      <c r="C79"/>
      <c r="D79"/>
      <c r="E79"/>
      <c r="F79"/>
      <c r="G79"/>
      <c r="H79"/>
      <c r="I79"/>
      <c r="J79"/>
    </row>
    <row r="80" spans="1:10" ht="15" customHeight="1" x14ac:dyDescent="0.35">
      <c r="A80"/>
      <c r="B80"/>
      <c r="C80"/>
      <c r="D80"/>
      <c r="E80"/>
      <c r="F80"/>
      <c r="G80"/>
      <c r="H80"/>
      <c r="I80"/>
      <c r="J80"/>
    </row>
    <row r="81" spans="1:10" ht="15" customHeight="1" x14ac:dyDescent="0.35">
      <c r="A81"/>
      <c r="B81"/>
      <c r="C81"/>
      <c r="D81"/>
      <c r="E81"/>
      <c r="F81"/>
      <c r="G81"/>
      <c r="H81"/>
      <c r="I81"/>
      <c r="J81"/>
    </row>
    <row r="82" spans="1:10" ht="15" customHeight="1" x14ac:dyDescent="0.35">
      <c r="A82"/>
      <c r="B82"/>
      <c r="C82"/>
      <c r="D82"/>
      <c r="E82"/>
      <c r="F82"/>
      <c r="G82"/>
      <c r="H82"/>
      <c r="I82"/>
      <c r="J82"/>
    </row>
    <row r="83" spans="1:10" ht="15" customHeight="1" x14ac:dyDescent="0.35">
      <c r="A83"/>
      <c r="B83"/>
      <c r="C83"/>
      <c r="D83"/>
      <c r="E83"/>
      <c r="F83"/>
      <c r="G83"/>
      <c r="H83"/>
      <c r="I83"/>
      <c r="J83"/>
    </row>
    <row r="84" spans="1:10" ht="15" customHeight="1" x14ac:dyDescent="0.35">
      <c r="A84"/>
      <c r="B84"/>
      <c r="C84"/>
      <c r="D84"/>
      <c r="E84"/>
      <c r="F84"/>
      <c r="G84"/>
      <c r="H84"/>
      <c r="I84"/>
      <c r="J84"/>
    </row>
    <row r="85" spans="1:10" ht="15" customHeight="1" x14ac:dyDescent="0.35">
      <c r="A85"/>
      <c r="B85"/>
      <c r="C85"/>
      <c r="D85"/>
      <c r="E85"/>
      <c r="F85"/>
      <c r="G85"/>
      <c r="H85"/>
      <c r="I85"/>
      <c r="J85"/>
    </row>
    <row r="86" spans="1:10" ht="15" customHeight="1" x14ac:dyDescent="0.35">
      <c r="A86"/>
      <c r="B86"/>
      <c r="C86"/>
      <c r="D86"/>
      <c r="E86"/>
      <c r="F86"/>
      <c r="G86"/>
      <c r="H86"/>
      <c r="I86"/>
      <c r="J86"/>
    </row>
    <row r="87" spans="1:10" ht="15" customHeight="1" x14ac:dyDescent="0.35">
      <c r="A87"/>
      <c r="B87"/>
      <c r="C87"/>
      <c r="D87"/>
      <c r="E87"/>
      <c r="F87"/>
      <c r="G87"/>
      <c r="H87"/>
      <c r="I87"/>
      <c r="J87"/>
    </row>
    <row r="88" spans="1:10" ht="15" customHeight="1" x14ac:dyDescent="0.35">
      <c r="A88"/>
      <c r="B88"/>
      <c r="C88"/>
      <c r="D88"/>
      <c r="E88"/>
      <c r="F88"/>
      <c r="G88"/>
      <c r="H88"/>
      <c r="I88"/>
      <c r="J88"/>
    </row>
    <row r="89" spans="1:10" ht="15" customHeight="1" x14ac:dyDescent="0.35">
      <c r="A89"/>
      <c r="B89"/>
      <c r="C89"/>
      <c r="D89"/>
      <c r="E89"/>
      <c r="F89"/>
      <c r="G89"/>
      <c r="H89"/>
      <c r="I89"/>
      <c r="J89"/>
    </row>
    <row r="90" spans="1:10" ht="15" customHeight="1" x14ac:dyDescent="0.35">
      <c r="A90"/>
      <c r="B90"/>
      <c r="C90"/>
      <c r="D90"/>
      <c r="E90"/>
      <c r="F90"/>
      <c r="G90"/>
      <c r="H90"/>
      <c r="I90"/>
      <c r="J90"/>
    </row>
    <row r="91" spans="1:10" ht="15" customHeight="1" x14ac:dyDescent="0.35">
      <c r="A91"/>
      <c r="B91"/>
      <c r="C91"/>
      <c r="D91"/>
      <c r="E91"/>
      <c r="F91"/>
      <c r="G91"/>
      <c r="H91"/>
      <c r="I91"/>
      <c r="J91"/>
    </row>
    <row r="92" spans="1:10" ht="15" customHeight="1" x14ac:dyDescent="0.35">
      <c r="A92"/>
      <c r="B92"/>
      <c r="C92"/>
      <c r="D92"/>
      <c r="E92"/>
      <c r="F92"/>
      <c r="G92"/>
      <c r="H92"/>
      <c r="I92"/>
      <c r="J92"/>
    </row>
    <row r="93" spans="1:10" ht="15" customHeight="1" x14ac:dyDescent="0.35">
      <c r="A93"/>
      <c r="B93"/>
      <c r="C93"/>
      <c r="D93"/>
      <c r="E93"/>
      <c r="F93"/>
      <c r="G93"/>
      <c r="H93"/>
      <c r="I93"/>
      <c r="J93"/>
    </row>
    <row r="94" spans="1:10" ht="15" customHeight="1" x14ac:dyDescent="0.35">
      <c r="A94"/>
      <c r="B94"/>
      <c r="C94"/>
      <c r="D94"/>
      <c r="E94"/>
      <c r="F94"/>
      <c r="G94"/>
      <c r="H94"/>
      <c r="I94"/>
      <c r="J94"/>
    </row>
    <row r="95" spans="1:10" ht="15" customHeight="1" x14ac:dyDescent="0.35">
      <c r="A95"/>
      <c r="B95"/>
      <c r="C95"/>
      <c r="D95"/>
      <c r="E95"/>
      <c r="F95"/>
      <c r="G95"/>
      <c r="H95"/>
      <c r="I95"/>
      <c r="J95"/>
    </row>
    <row r="96" spans="1:10" ht="15" customHeight="1" x14ac:dyDescent="0.35">
      <c r="A96"/>
      <c r="B96"/>
      <c r="C96"/>
      <c r="D96"/>
      <c r="E96"/>
      <c r="F96"/>
      <c r="G96"/>
      <c r="H96"/>
      <c r="I96"/>
      <c r="J96"/>
    </row>
    <row r="97" spans="1:10" ht="15" customHeight="1" x14ac:dyDescent="0.35">
      <c r="A97"/>
      <c r="B97"/>
      <c r="C97"/>
      <c r="D97"/>
      <c r="E97"/>
      <c r="F97"/>
      <c r="G97"/>
      <c r="H97"/>
      <c r="I97"/>
      <c r="J97"/>
    </row>
    <row r="98" spans="1:10" ht="15" customHeight="1" x14ac:dyDescent="0.35">
      <c r="A98"/>
      <c r="B98"/>
      <c r="C98"/>
      <c r="D98"/>
      <c r="E98"/>
      <c r="F98"/>
      <c r="G98"/>
      <c r="H98"/>
      <c r="I98"/>
      <c r="J98"/>
    </row>
    <row r="99" spans="1:10" ht="15" customHeight="1" x14ac:dyDescent="0.35">
      <c r="A99"/>
      <c r="B99"/>
      <c r="C99"/>
      <c r="D99"/>
      <c r="E99"/>
      <c r="F99"/>
      <c r="G99"/>
      <c r="H99"/>
      <c r="I99"/>
      <c r="J99"/>
    </row>
    <row r="100" spans="1:10" ht="15" customHeight="1" x14ac:dyDescent="0.35">
      <c r="A100"/>
      <c r="B100"/>
      <c r="C100"/>
      <c r="D100"/>
      <c r="E100"/>
      <c r="F100"/>
      <c r="G100"/>
      <c r="H100"/>
      <c r="I100"/>
      <c r="J100"/>
    </row>
    <row r="101" spans="1:10" ht="15" customHeight="1" x14ac:dyDescent="0.35">
      <c r="A101"/>
      <c r="B101"/>
      <c r="C101"/>
      <c r="D101"/>
      <c r="E101"/>
      <c r="F101"/>
      <c r="G101"/>
      <c r="H101"/>
      <c r="I101"/>
      <c r="J101"/>
    </row>
    <row r="102" spans="1:10" ht="15" customHeight="1" x14ac:dyDescent="0.35">
      <c r="A102"/>
      <c r="B102"/>
      <c r="C102"/>
      <c r="D102"/>
      <c r="E102"/>
      <c r="F102"/>
      <c r="G102"/>
      <c r="H102"/>
      <c r="I102"/>
      <c r="J102"/>
    </row>
    <row r="103" spans="1:10" ht="15" customHeight="1" x14ac:dyDescent="0.35">
      <c r="A103"/>
      <c r="B103"/>
      <c r="C103"/>
      <c r="D103"/>
      <c r="E103"/>
      <c r="F103"/>
      <c r="G103"/>
      <c r="H103"/>
      <c r="I103"/>
      <c r="J103"/>
    </row>
    <row r="104" spans="1:10" ht="15" customHeight="1" x14ac:dyDescent="0.35">
      <c r="A104"/>
      <c r="B104"/>
      <c r="C104"/>
      <c r="D104"/>
      <c r="E104"/>
      <c r="F104"/>
      <c r="G104"/>
      <c r="H104"/>
      <c r="I104"/>
      <c r="J104"/>
    </row>
    <row r="105" spans="1:10" ht="15" customHeight="1" x14ac:dyDescent="0.35">
      <c r="A105"/>
      <c r="B105"/>
      <c r="C105"/>
      <c r="D105"/>
      <c r="E105"/>
      <c r="F105"/>
      <c r="G105"/>
      <c r="H105"/>
      <c r="I105"/>
      <c r="J105"/>
    </row>
    <row r="106" spans="1:10" ht="15" customHeight="1" x14ac:dyDescent="0.35">
      <c r="A106"/>
      <c r="B106"/>
      <c r="C106"/>
      <c r="D106"/>
      <c r="E106"/>
      <c r="F106"/>
      <c r="G106"/>
      <c r="H106"/>
      <c r="I106"/>
      <c r="J106"/>
    </row>
    <row r="107" spans="1:10" ht="15" customHeight="1" x14ac:dyDescent="0.35">
      <c r="A107"/>
      <c r="B107"/>
      <c r="C107"/>
      <c r="D107"/>
      <c r="E107"/>
      <c r="F107"/>
      <c r="G107"/>
      <c r="H107"/>
      <c r="I107"/>
      <c r="J107"/>
    </row>
    <row r="108" spans="1:10" ht="15" customHeight="1" x14ac:dyDescent="0.35">
      <c r="A108"/>
      <c r="B108"/>
      <c r="C108"/>
      <c r="D108"/>
      <c r="E108"/>
      <c r="F108"/>
      <c r="G108"/>
      <c r="H108"/>
      <c r="I108"/>
      <c r="J108"/>
    </row>
    <row r="109" spans="1:10" ht="15" customHeight="1" x14ac:dyDescent="0.35">
      <c r="A109"/>
      <c r="B109"/>
      <c r="C109"/>
      <c r="D109"/>
      <c r="E109"/>
      <c r="F109"/>
      <c r="G109"/>
      <c r="H109"/>
      <c r="I109"/>
      <c r="J109"/>
    </row>
    <row r="110" spans="1:10" ht="15" customHeight="1" x14ac:dyDescent="0.35">
      <c r="A110"/>
      <c r="B110"/>
      <c r="C110"/>
      <c r="D110"/>
      <c r="E110"/>
      <c r="F110"/>
      <c r="G110"/>
      <c r="H110"/>
      <c r="I110"/>
      <c r="J110"/>
    </row>
    <row r="111" spans="1:10" ht="15" customHeight="1" x14ac:dyDescent="0.35">
      <c r="A111"/>
      <c r="B111"/>
      <c r="C111"/>
      <c r="D111"/>
      <c r="E111"/>
      <c r="F111"/>
      <c r="G111"/>
      <c r="H111"/>
      <c r="I111"/>
      <c r="J111"/>
    </row>
    <row r="112" spans="1:10" ht="15" customHeight="1" x14ac:dyDescent="0.35">
      <c r="A112"/>
      <c r="B112"/>
      <c r="C112"/>
      <c r="D112"/>
      <c r="E112"/>
      <c r="F112"/>
      <c r="G112"/>
      <c r="H112"/>
      <c r="I112"/>
      <c r="J112"/>
    </row>
    <row r="113" spans="1:10" ht="15" customHeight="1" x14ac:dyDescent="0.35">
      <c r="A113"/>
      <c r="B113"/>
      <c r="C113"/>
      <c r="D113"/>
      <c r="E113"/>
      <c r="F113"/>
      <c r="G113"/>
      <c r="H113"/>
      <c r="I113"/>
      <c r="J113"/>
    </row>
    <row r="114" spans="1:10" ht="15" customHeight="1" x14ac:dyDescent="0.35">
      <c r="A114"/>
      <c r="B114"/>
      <c r="C114"/>
      <c r="D114"/>
      <c r="E114"/>
      <c r="F114"/>
      <c r="G114"/>
      <c r="H114"/>
      <c r="I114"/>
      <c r="J114"/>
    </row>
    <row r="115" spans="1:10" ht="15" customHeight="1" x14ac:dyDescent="0.35">
      <c r="A115"/>
      <c r="B115"/>
      <c r="C115"/>
      <c r="D115"/>
      <c r="E115"/>
      <c r="F115"/>
      <c r="G115"/>
      <c r="H115"/>
      <c r="I115"/>
      <c r="J115"/>
    </row>
    <row r="116" spans="1:10" ht="15" customHeight="1" x14ac:dyDescent="0.35">
      <c r="A116"/>
      <c r="B116"/>
      <c r="C116"/>
      <c r="D116"/>
      <c r="E116"/>
      <c r="F116"/>
      <c r="G116"/>
      <c r="H116"/>
      <c r="I116"/>
      <c r="J116"/>
    </row>
    <row r="117" spans="1:10" ht="15" customHeight="1" x14ac:dyDescent="0.35">
      <c r="A117"/>
      <c r="B117"/>
      <c r="C117"/>
      <c r="D117"/>
      <c r="E117"/>
      <c r="F117"/>
      <c r="G117"/>
      <c r="H117"/>
      <c r="I117"/>
      <c r="J117"/>
    </row>
    <row r="118" spans="1:10" ht="15" customHeight="1" x14ac:dyDescent="0.35">
      <c r="A118"/>
      <c r="B118"/>
      <c r="C118"/>
      <c r="D118"/>
      <c r="E118"/>
      <c r="F118"/>
      <c r="G118"/>
      <c r="H118"/>
      <c r="I118"/>
      <c r="J118"/>
    </row>
    <row r="119" spans="1:10" ht="15" customHeight="1" x14ac:dyDescent="0.35">
      <c r="A119"/>
      <c r="B119"/>
      <c r="C119"/>
      <c r="D119"/>
      <c r="E119"/>
      <c r="F119"/>
      <c r="G119"/>
      <c r="H119"/>
      <c r="I119"/>
      <c r="J119"/>
    </row>
    <row r="120" spans="1:10" ht="15" customHeight="1" x14ac:dyDescent="0.35">
      <c r="A120"/>
      <c r="B120"/>
      <c r="C120"/>
      <c r="D120"/>
      <c r="E120"/>
      <c r="F120"/>
      <c r="G120"/>
      <c r="H120"/>
      <c r="I120"/>
      <c r="J120"/>
    </row>
    <row r="121" spans="1:10" ht="15" customHeight="1" x14ac:dyDescent="0.35">
      <c r="A121"/>
      <c r="B121"/>
      <c r="C121"/>
      <c r="D121"/>
      <c r="E121"/>
      <c r="F121"/>
      <c r="G121"/>
      <c r="H121"/>
      <c r="I121"/>
      <c r="J121"/>
    </row>
    <row r="122" spans="1:10" ht="15" customHeight="1" x14ac:dyDescent="0.35">
      <c r="A122"/>
      <c r="B122"/>
      <c r="C122"/>
      <c r="D122"/>
      <c r="E122"/>
      <c r="F122"/>
      <c r="G122"/>
      <c r="H122"/>
      <c r="I122"/>
      <c r="J122"/>
    </row>
    <row r="123" spans="1:10" ht="15" customHeight="1" x14ac:dyDescent="0.35">
      <c r="A123"/>
      <c r="B123"/>
      <c r="C123"/>
      <c r="D123"/>
      <c r="E123"/>
      <c r="F123"/>
      <c r="G123"/>
      <c r="H123"/>
      <c r="I123"/>
      <c r="J123"/>
    </row>
    <row r="124" spans="1:10" ht="15" customHeight="1" x14ac:dyDescent="0.35">
      <c r="A124"/>
      <c r="B124"/>
      <c r="C124"/>
      <c r="D124"/>
      <c r="E124"/>
      <c r="F124"/>
      <c r="G124"/>
      <c r="H124"/>
      <c r="I124"/>
      <c r="J124"/>
    </row>
    <row r="125" spans="1:10" ht="15" customHeight="1" x14ac:dyDescent="0.35">
      <c r="A125"/>
      <c r="B125"/>
      <c r="C125"/>
      <c r="D125"/>
      <c r="E125"/>
      <c r="F125"/>
      <c r="G125"/>
      <c r="H125"/>
      <c r="I125"/>
      <c r="J125"/>
    </row>
    <row r="126" spans="1:10" ht="15" customHeight="1" x14ac:dyDescent="0.35">
      <c r="A126"/>
      <c r="B126"/>
      <c r="C126"/>
      <c r="D126"/>
      <c r="E126"/>
      <c r="F126"/>
      <c r="G126"/>
      <c r="H126"/>
      <c r="I126"/>
      <c r="J126"/>
    </row>
    <row r="127" spans="1:10" ht="15" customHeight="1" x14ac:dyDescent="0.35">
      <c r="A127"/>
      <c r="B127"/>
      <c r="C127"/>
      <c r="D127"/>
      <c r="E127"/>
      <c r="F127"/>
      <c r="G127"/>
      <c r="H127"/>
      <c r="I127"/>
      <c r="J127"/>
    </row>
    <row r="128" spans="1:10" ht="15" customHeight="1" x14ac:dyDescent="0.35">
      <c r="A128"/>
      <c r="B128"/>
      <c r="C128"/>
      <c r="D128"/>
      <c r="E128"/>
      <c r="F128"/>
      <c r="G128"/>
      <c r="H128"/>
      <c r="I128"/>
      <c r="J128"/>
    </row>
    <row r="129" spans="1:10" ht="15" customHeight="1" x14ac:dyDescent="0.35">
      <c r="A129"/>
      <c r="B129"/>
      <c r="C129"/>
      <c r="D129"/>
      <c r="E129"/>
      <c r="F129"/>
      <c r="G129"/>
      <c r="H129"/>
      <c r="I129"/>
      <c r="J129"/>
    </row>
    <row r="130" spans="1:10" ht="15" customHeight="1" x14ac:dyDescent="0.35">
      <c r="A130"/>
      <c r="B130"/>
      <c r="C130"/>
      <c r="D130"/>
      <c r="E130"/>
      <c r="F130"/>
      <c r="G130"/>
      <c r="H130"/>
      <c r="I130"/>
      <c r="J130"/>
    </row>
    <row r="131" spans="1:10" ht="15" customHeight="1" x14ac:dyDescent="0.35">
      <c r="A131"/>
      <c r="B131"/>
      <c r="C131"/>
      <c r="D131"/>
      <c r="E131"/>
      <c r="F131"/>
      <c r="G131"/>
      <c r="H131"/>
      <c r="I131"/>
      <c r="J131"/>
    </row>
    <row r="132" spans="1:10" ht="15" customHeight="1" x14ac:dyDescent="0.35">
      <c r="A132"/>
      <c r="B132"/>
      <c r="C132"/>
      <c r="D132"/>
      <c r="E132"/>
      <c r="F132"/>
      <c r="G132"/>
      <c r="H132"/>
      <c r="I132"/>
      <c r="J132"/>
    </row>
    <row r="133" spans="1:10" ht="15" customHeight="1" x14ac:dyDescent="0.35">
      <c r="A133"/>
      <c r="B133"/>
      <c r="C133"/>
      <c r="D133"/>
      <c r="E133"/>
      <c r="F133"/>
      <c r="G133"/>
      <c r="H133"/>
      <c r="I133"/>
      <c r="J133"/>
    </row>
    <row r="134" spans="1:10" ht="15" customHeight="1" x14ac:dyDescent="0.35">
      <c r="A134"/>
      <c r="B134"/>
      <c r="C134"/>
      <c r="D134"/>
      <c r="E134"/>
      <c r="F134"/>
      <c r="G134"/>
      <c r="H134"/>
      <c r="I134"/>
      <c r="J134"/>
    </row>
    <row r="135" spans="1:10" ht="15" customHeight="1" x14ac:dyDescent="0.35">
      <c r="A135"/>
      <c r="B135"/>
      <c r="C135"/>
      <c r="D135"/>
      <c r="E135"/>
      <c r="F135"/>
      <c r="G135"/>
      <c r="H135"/>
      <c r="I135"/>
      <c r="J135"/>
    </row>
    <row r="136" spans="1:10" ht="15" customHeight="1" x14ac:dyDescent="0.35">
      <c r="A136"/>
      <c r="B136"/>
      <c r="C136"/>
      <c r="D136"/>
      <c r="E136"/>
      <c r="F136"/>
      <c r="G136"/>
      <c r="H136"/>
      <c r="I136"/>
      <c r="J136"/>
    </row>
    <row r="137" spans="1:10" ht="15" customHeight="1" x14ac:dyDescent="0.35">
      <c r="A137"/>
      <c r="B137"/>
      <c r="C137"/>
      <c r="D137"/>
      <c r="E137"/>
      <c r="F137"/>
      <c r="G137"/>
      <c r="H137"/>
      <c r="I137"/>
      <c r="J137"/>
    </row>
    <row r="138" spans="1:10" ht="15" customHeight="1" x14ac:dyDescent="0.35">
      <c r="A138"/>
      <c r="B138"/>
      <c r="C138"/>
      <c r="D138"/>
      <c r="E138"/>
      <c r="F138"/>
      <c r="G138"/>
      <c r="H138"/>
      <c r="I138"/>
      <c r="J138"/>
    </row>
    <row r="139" spans="1:10" ht="15" customHeight="1" x14ac:dyDescent="0.35">
      <c r="A139"/>
      <c r="B139"/>
      <c r="C139"/>
      <c r="D139"/>
      <c r="E139"/>
      <c r="F139"/>
      <c r="G139"/>
      <c r="H139"/>
      <c r="I139"/>
      <c r="J139"/>
    </row>
    <row r="140" spans="1:10" ht="15" customHeight="1" x14ac:dyDescent="0.35">
      <c r="A140"/>
      <c r="B140"/>
      <c r="C140"/>
      <c r="D140"/>
      <c r="E140"/>
      <c r="F140"/>
      <c r="G140"/>
      <c r="H140"/>
      <c r="I140"/>
      <c r="J140"/>
    </row>
    <row r="141" spans="1:10" ht="15" customHeight="1" x14ac:dyDescent="0.35">
      <c r="A141"/>
      <c r="B141"/>
      <c r="C141"/>
      <c r="D141"/>
      <c r="E141"/>
      <c r="F141"/>
      <c r="G141"/>
      <c r="H141"/>
      <c r="I141"/>
      <c r="J141"/>
    </row>
    <row r="142" spans="1:10" ht="15" customHeight="1" x14ac:dyDescent="0.35">
      <c r="A142"/>
      <c r="B142"/>
      <c r="C142"/>
      <c r="D142"/>
      <c r="E142"/>
      <c r="F142"/>
      <c r="G142"/>
      <c r="H142"/>
      <c r="I142"/>
      <c r="J142"/>
    </row>
    <row r="143" spans="1:10" ht="15" customHeight="1" x14ac:dyDescent="0.35">
      <c r="A143"/>
      <c r="B143"/>
      <c r="C143"/>
      <c r="D143"/>
      <c r="E143"/>
      <c r="F143"/>
      <c r="G143"/>
      <c r="H143"/>
      <c r="I143"/>
      <c r="J143"/>
    </row>
    <row r="144" spans="1:10" ht="15" customHeight="1" x14ac:dyDescent="0.35">
      <c r="A144"/>
      <c r="B144"/>
      <c r="C144"/>
      <c r="D144"/>
      <c r="E144"/>
      <c r="F144"/>
      <c r="G144"/>
      <c r="H144"/>
      <c r="I144"/>
      <c r="J144"/>
    </row>
    <row r="145" spans="1:10" ht="15" customHeight="1" x14ac:dyDescent="0.35">
      <c r="A145"/>
      <c r="B145"/>
      <c r="C145"/>
      <c r="D145"/>
      <c r="E145"/>
      <c r="F145"/>
      <c r="G145"/>
      <c r="H145"/>
      <c r="I145"/>
      <c r="J145"/>
    </row>
    <row r="146" spans="1:10" ht="15" customHeight="1" x14ac:dyDescent="0.35">
      <c r="A146"/>
      <c r="B146"/>
      <c r="C146"/>
      <c r="D146"/>
      <c r="E146"/>
      <c r="F146"/>
      <c r="G146"/>
      <c r="H146"/>
      <c r="I146"/>
      <c r="J146"/>
    </row>
    <row r="147" spans="1:10" ht="15" customHeight="1" x14ac:dyDescent="0.35">
      <c r="A147"/>
      <c r="B147"/>
      <c r="C147"/>
      <c r="D147"/>
      <c r="E147"/>
      <c r="F147"/>
      <c r="G147"/>
      <c r="H147"/>
      <c r="I147"/>
      <c r="J147"/>
    </row>
    <row r="148" spans="1:10" ht="15" customHeight="1" x14ac:dyDescent="0.35">
      <c r="A148"/>
      <c r="B148"/>
      <c r="C148"/>
      <c r="D148"/>
      <c r="E148"/>
      <c r="F148"/>
      <c r="G148"/>
      <c r="H148"/>
      <c r="I148"/>
      <c r="J148"/>
    </row>
    <row r="149" spans="1:10" ht="15" customHeight="1" x14ac:dyDescent="0.35">
      <c r="A149"/>
      <c r="B149"/>
      <c r="C149"/>
      <c r="D149"/>
      <c r="E149"/>
      <c r="F149"/>
      <c r="G149"/>
      <c r="H149"/>
      <c r="I149"/>
      <c r="J149"/>
    </row>
    <row r="150" spans="1:10" ht="15" customHeight="1" x14ac:dyDescent="0.35">
      <c r="A150"/>
      <c r="B150"/>
      <c r="C150"/>
      <c r="D150"/>
      <c r="E150"/>
      <c r="F150"/>
      <c r="G150"/>
      <c r="H150"/>
      <c r="I150"/>
      <c r="J150"/>
    </row>
    <row r="151" spans="1:10" ht="15" customHeight="1" x14ac:dyDescent="0.35">
      <c r="A151"/>
      <c r="B151"/>
      <c r="C151"/>
      <c r="D151"/>
      <c r="E151"/>
      <c r="F151"/>
      <c r="G151"/>
      <c r="H151"/>
      <c r="I151"/>
      <c r="J151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21E81-0FE4-4396-B229-00D5DF9677C5}">
  <dimension ref="A1:P117"/>
  <sheetViews>
    <sheetView zoomScaleNormal="100" workbookViewId="0">
      <pane ySplit="2" topLeftCell="A3" activePane="bottomLeft" state="frozen"/>
      <selection pane="bottomLeft" activeCell="A3" sqref="A3"/>
    </sheetView>
  </sheetViews>
  <sheetFormatPr defaultColWidth="9.08984375" defaultRowHeight="15" customHeight="1" x14ac:dyDescent="0.35"/>
  <cols>
    <col min="1" max="1" width="1.6328125" style="13" customWidth="1"/>
    <col min="2" max="2" width="46.1796875" style="49" customWidth="1"/>
    <col min="3" max="16" width="12.6328125" style="49" customWidth="1"/>
    <col min="17" max="16384" width="9.08984375" style="49"/>
  </cols>
  <sheetData>
    <row r="1" spans="1:16" ht="45" customHeight="1" x14ac:dyDescent="0.65">
      <c r="A1" s="5" t="str">
        <f>Welcome!A2</f>
        <v>REIT Operating and Valuation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  <c r="L1" s="10" t="s">
        <v>22</v>
      </c>
      <c r="M1" s="10" t="s">
        <v>22</v>
      </c>
      <c r="N1" s="10" t="s">
        <v>22</v>
      </c>
      <c r="O1" s="10" t="s">
        <v>22</v>
      </c>
      <c r="P1" s="10" t="s">
        <v>22</v>
      </c>
    </row>
    <row r="2" spans="1:16" ht="30" customHeight="1" x14ac:dyDescent="0.5">
      <c r="A2" s="12"/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  <c r="L2" s="9" t="s">
        <v>49</v>
      </c>
      <c r="M2" s="9" t="s">
        <v>50</v>
      </c>
      <c r="N2" s="9" t="s">
        <v>51</v>
      </c>
      <c r="O2" s="9" t="s">
        <v>301</v>
      </c>
      <c r="P2" s="9" t="s">
        <v>302</v>
      </c>
    </row>
    <row r="4" spans="1:16" ht="15" customHeight="1" x14ac:dyDescent="0.35">
      <c r="A4" s="49"/>
      <c r="B4" s="49" t="s">
        <v>86</v>
      </c>
      <c r="C4" s="49" t="str">
        <f>Info!N5</f>
        <v>Apartment Realty Management Co (ARMCO)</v>
      </c>
    </row>
    <row r="5" spans="1:16" ht="15" customHeight="1" x14ac:dyDescent="0.35">
      <c r="A5" s="49"/>
      <c r="B5" s="49" t="s">
        <v>87</v>
      </c>
      <c r="C5" s="49" t="s">
        <v>110</v>
      </c>
    </row>
    <row r="6" spans="1:16" ht="15" customHeight="1" x14ac:dyDescent="0.35">
      <c r="A6" s="49"/>
    </row>
    <row r="7" spans="1:16" ht="15" customHeight="1" x14ac:dyDescent="0.35">
      <c r="A7" s="49"/>
      <c r="B7" s="49" t="s">
        <v>88</v>
      </c>
      <c r="C7" s="124">
        <v>43543</v>
      </c>
    </row>
    <row r="8" spans="1:16" ht="15" customHeight="1" x14ac:dyDescent="0.35">
      <c r="A8" s="49"/>
      <c r="B8" s="49" t="s">
        <v>89</v>
      </c>
      <c r="C8" s="73">
        <f>Share_Price</f>
        <v>152.71</v>
      </c>
    </row>
    <row r="9" spans="1:16" ht="15" customHeight="1" x14ac:dyDescent="0.35">
      <c r="A9" s="49"/>
      <c r="B9" s="49" t="s">
        <v>90</v>
      </c>
      <c r="C9" s="78">
        <f>basic_shares</f>
        <v>65549.47</v>
      </c>
    </row>
    <row r="10" spans="1:16" ht="15" customHeight="1" x14ac:dyDescent="0.35">
      <c r="A10" s="49"/>
      <c r="B10" s="49" t="s">
        <v>259</v>
      </c>
      <c r="C10" s="78">
        <f>NAV!C10</f>
        <v>65848.206423155003</v>
      </c>
    </row>
    <row r="11" spans="1:16" ht="15" customHeight="1" x14ac:dyDescent="0.35">
      <c r="A11" s="49"/>
    </row>
    <row r="12" spans="1:16" ht="15" customHeight="1" x14ac:dyDescent="0.5">
      <c r="A12" s="118" t="s">
        <v>273</v>
      </c>
      <c r="B12" s="118"/>
      <c r="C12" s="118"/>
      <c r="F12" s="139" t="s">
        <v>252</v>
      </c>
      <c r="G12" s="100"/>
      <c r="H12" s="100"/>
      <c r="I12" s="100"/>
      <c r="J12" s="140">
        <f>diluted_shares*C8</f>
        <v>10055679.602880001</v>
      </c>
    </row>
    <row r="13" spans="1:16" ht="15" customHeight="1" x14ac:dyDescent="0.35">
      <c r="A13" s="49"/>
      <c r="B13" s="49" t="s">
        <v>365</v>
      </c>
      <c r="C13" s="60">
        <v>2.4899999999999999E-2</v>
      </c>
      <c r="F13" s="141" t="s">
        <v>253</v>
      </c>
      <c r="G13" s="142"/>
      <c r="H13" s="142"/>
      <c r="I13" s="142"/>
      <c r="J13" s="143">
        <f>-OpModel!F48</f>
        <v>-360940</v>
      </c>
    </row>
    <row r="14" spans="1:16" ht="15" customHeight="1" x14ac:dyDescent="0.35">
      <c r="A14" s="49"/>
      <c r="B14" s="49" t="s">
        <v>364</v>
      </c>
      <c r="C14" s="60">
        <v>0.06</v>
      </c>
      <c r="F14" s="141" t="s">
        <v>254</v>
      </c>
      <c r="G14" s="142"/>
      <c r="H14" s="142"/>
      <c r="I14" s="142"/>
      <c r="J14" s="143">
        <f>-SUM(OpModel!F47)</f>
        <v>-1300140</v>
      </c>
    </row>
    <row r="15" spans="1:16" s="132" customFormat="1" ht="15" customHeight="1" x14ac:dyDescent="0.35">
      <c r="C15" s="60"/>
      <c r="F15" s="141" t="s">
        <v>255</v>
      </c>
      <c r="G15" s="142"/>
      <c r="H15" s="142"/>
      <c r="I15" s="142"/>
      <c r="J15" s="143">
        <f>OpModel!F53</f>
        <v>5605942</v>
      </c>
    </row>
    <row r="16" spans="1:16" ht="15" customHeight="1" x14ac:dyDescent="0.35">
      <c r="A16" s="49"/>
      <c r="B16" s="49" t="s">
        <v>366</v>
      </c>
      <c r="C16" s="98">
        <v>0.75</v>
      </c>
      <c r="F16" s="141" t="s">
        <v>373</v>
      </c>
      <c r="G16" s="142"/>
      <c r="H16" s="142"/>
      <c r="I16" s="142"/>
      <c r="J16" s="143">
        <f>OpModel!F58</f>
        <v>35475</v>
      </c>
    </row>
    <row r="17" spans="1:10" ht="15" customHeight="1" x14ac:dyDescent="0.35">
      <c r="A17" s="49"/>
      <c r="B17" s="49" t="s">
        <v>363</v>
      </c>
      <c r="C17" s="57">
        <f>C13+C14*C16</f>
        <v>6.989999999999999E-2</v>
      </c>
      <c r="F17" s="141" t="s">
        <v>256</v>
      </c>
      <c r="G17" s="142"/>
      <c r="H17" s="142"/>
      <c r="I17" s="142"/>
      <c r="J17" s="143">
        <f>OpModel!F61</f>
        <v>126771</v>
      </c>
    </row>
    <row r="18" spans="1:10" ht="15" customHeight="1" x14ac:dyDescent="0.35">
      <c r="A18" s="49"/>
      <c r="F18" s="144" t="s">
        <v>257</v>
      </c>
      <c r="G18" s="145"/>
      <c r="H18" s="145"/>
      <c r="I18" s="145"/>
      <c r="J18" s="146">
        <f>SUM(J12:J17)</f>
        <v>14162787.602880001</v>
      </c>
    </row>
    <row r="19" spans="1:10" ht="15" customHeight="1" x14ac:dyDescent="0.35">
      <c r="A19" s="49"/>
      <c r="B19" s="49" t="s">
        <v>361</v>
      </c>
      <c r="C19" s="60">
        <v>0.65</v>
      </c>
    </row>
    <row r="20" spans="1:10" ht="15" customHeight="1" x14ac:dyDescent="0.35">
      <c r="A20" s="49"/>
      <c r="B20" s="49" t="s">
        <v>362</v>
      </c>
      <c r="C20" s="60">
        <v>0.05</v>
      </c>
    </row>
    <row r="21" spans="1:10" ht="15" customHeight="1" x14ac:dyDescent="0.35">
      <c r="A21" s="49"/>
      <c r="B21" s="49" t="s">
        <v>360</v>
      </c>
      <c r="C21" s="57">
        <f>C19*C20+(1-C19)*(C17)</f>
        <v>5.6964999999999995E-2</v>
      </c>
    </row>
    <row r="22" spans="1:10" ht="15" customHeight="1" x14ac:dyDescent="0.35">
      <c r="A22" s="49"/>
    </row>
    <row r="23" spans="1:10" s="138" customFormat="1" ht="15" customHeight="1" x14ac:dyDescent="0.5">
      <c r="A23" s="118" t="s">
        <v>375</v>
      </c>
      <c r="B23" s="118"/>
      <c r="C23" s="118"/>
    </row>
    <row r="24" spans="1:10" ht="15" customHeight="1" x14ac:dyDescent="0.35">
      <c r="A24" s="49"/>
      <c r="B24" s="49" t="s">
        <v>359</v>
      </c>
      <c r="C24" s="49">
        <f>SUM(G89:P89)</f>
        <v>216090.36503634776</v>
      </c>
    </row>
    <row r="25" spans="1:10" ht="15" customHeight="1" x14ac:dyDescent="0.35">
      <c r="A25" s="49"/>
      <c r="B25" s="49" t="s">
        <v>358</v>
      </c>
      <c r="C25" s="49">
        <f>(P83*(1+Tg)/(Ke-Tg))*P87</f>
        <v>451857.43203360913</v>
      </c>
    </row>
    <row r="26" spans="1:10" ht="15" customHeight="1" x14ac:dyDescent="0.35">
      <c r="A26" s="49"/>
      <c r="B26" s="49" t="s">
        <v>357</v>
      </c>
      <c r="C26" s="49">
        <f>SUM(C24:C25)/Share_Price</f>
        <v>4373.9623932287141</v>
      </c>
    </row>
    <row r="27" spans="1:10" ht="15" customHeight="1" x14ac:dyDescent="0.35">
      <c r="A27" s="49"/>
      <c r="B27" s="49" t="s">
        <v>260</v>
      </c>
      <c r="C27" s="49">
        <f>diluted_shares+C26</f>
        <v>70222.168816383724</v>
      </c>
    </row>
    <row r="28" spans="1:10" ht="15" customHeight="1" x14ac:dyDescent="0.35">
      <c r="A28" s="49"/>
    </row>
    <row r="29" spans="1:10" ht="15" customHeight="1" x14ac:dyDescent="0.5">
      <c r="A29" s="120" t="s">
        <v>370</v>
      </c>
      <c r="B29" s="121"/>
      <c r="C29" s="121"/>
      <c r="E29" s="122" t="s">
        <v>371</v>
      </c>
      <c r="F29" s="123"/>
      <c r="G29" s="123"/>
      <c r="H29" s="123"/>
      <c r="I29" s="123"/>
    </row>
    <row r="30" spans="1:10" ht="15" customHeight="1" x14ac:dyDescent="0.35">
      <c r="A30" s="49"/>
      <c r="B30" s="49" t="s">
        <v>261</v>
      </c>
      <c r="C30" s="109">
        <v>18.5</v>
      </c>
      <c r="E30" s="53" t="s">
        <v>274</v>
      </c>
      <c r="I30" s="107">
        <v>2.35E-2</v>
      </c>
    </row>
    <row r="31" spans="1:10" ht="15" customHeight="1" x14ac:dyDescent="0.35">
      <c r="A31" s="49"/>
      <c r="B31" s="49" t="s">
        <v>304</v>
      </c>
      <c r="C31" s="55">
        <v>17</v>
      </c>
      <c r="E31" s="53" t="s">
        <v>306</v>
      </c>
      <c r="I31" s="107">
        <v>2.35E-2</v>
      </c>
    </row>
    <row r="32" spans="1:10" ht="15" customHeight="1" x14ac:dyDescent="0.35">
      <c r="A32" s="49"/>
      <c r="B32" s="49" t="s">
        <v>305</v>
      </c>
      <c r="C32" s="78">
        <f>TermMult*P80</f>
        <v>21446752.443499826</v>
      </c>
      <c r="E32" s="53" t="s">
        <v>307</v>
      </c>
      <c r="I32" s="78">
        <f>(P71*(1+Tg))/(wacc-Tg)</f>
        <v>21278058.086356767</v>
      </c>
    </row>
    <row r="33" spans="1:9" ht="15" customHeight="1" x14ac:dyDescent="0.35">
      <c r="A33" s="49"/>
      <c r="B33" s="49" t="s">
        <v>262</v>
      </c>
      <c r="C33" s="57">
        <f>(C32*wacc-P71)/(C32-P71)</f>
        <v>2.534782297720159E-2</v>
      </c>
      <c r="E33" s="53" t="s">
        <v>275</v>
      </c>
      <c r="I33" s="49">
        <f>I32/P80</f>
        <v>16.866282595512441</v>
      </c>
    </row>
    <row r="34" spans="1:9" ht="15" customHeight="1" x14ac:dyDescent="0.35">
      <c r="A34" s="49"/>
      <c r="E34" s="53"/>
    </row>
    <row r="35" spans="1:9" ht="15" customHeight="1" x14ac:dyDescent="0.35">
      <c r="A35" s="49"/>
      <c r="B35" s="49" t="s">
        <v>263</v>
      </c>
      <c r="C35" s="78">
        <f>C32*P76</f>
        <v>12324107.396375993</v>
      </c>
      <c r="E35" s="53" t="s">
        <v>263</v>
      </c>
      <c r="I35" s="78">
        <f>I32*P76</f>
        <v>12227169.299101328</v>
      </c>
    </row>
    <row r="36" spans="1:9" ht="15" customHeight="1" x14ac:dyDescent="0.35">
      <c r="A36" s="49"/>
      <c r="B36" s="49" t="s">
        <v>264</v>
      </c>
      <c r="C36" s="78">
        <f>SUM(G78:P78)</f>
        <v>4833242.937731931</v>
      </c>
      <c r="E36" s="53" t="s">
        <v>264</v>
      </c>
      <c r="I36" s="78">
        <f>C36</f>
        <v>4833242.937731931</v>
      </c>
    </row>
    <row r="37" spans="1:9" ht="15" customHeight="1" x14ac:dyDescent="0.35">
      <c r="A37" s="49"/>
      <c r="B37" s="50" t="s">
        <v>265</v>
      </c>
      <c r="C37" s="79">
        <f>SUM(C35:C36)</f>
        <v>17157350.334107924</v>
      </c>
      <c r="E37" s="81" t="s">
        <v>265</v>
      </c>
      <c r="F37" s="50"/>
      <c r="G37" s="50"/>
      <c r="H37" s="50"/>
      <c r="I37" s="79">
        <f>SUM(I35:I36)</f>
        <v>17060412.236833259</v>
      </c>
    </row>
    <row r="38" spans="1:9" ht="15" customHeight="1" x14ac:dyDescent="0.35">
      <c r="A38" s="49"/>
      <c r="E38" s="53"/>
    </row>
    <row r="39" spans="1:9" ht="15" customHeight="1" x14ac:dyDescent="0.35">
      <c r="A39" s="49"/>
      <c r="B39" s="49" t="s">
        <v>266</v>
      </c>
      <c r="C39" s="110">
        <f>C35/C37</f>
        <v>0.71829898885239318</v>
      </c>
      <c r="E39" s="53" t="s">
        <v>266</v>
      </c>
      <c r="I39" s="110">
        <f>I35/I37</f>
        <v>0.71669834992046633</v>
      </c>
    </row>
    <row r="40" spans="1:9" ht="15" customHeight="1" x14ac:dyDescent="0.35">
      <c r="A40" s="49"/>
      <c r="E40" s="53"/>
    </row>
    <row r="41" spans="1:9" ht="15" customHeight="1" x14ac:dyDescent="0.35">
      <c r="A41" s="49"/>
      <c r="B41" s="49" t="s">
        <v>267</v>
      </c>
      <c r="C41" s="78">
        <f>-$J13</f>
        <v>360940</v>
      </c>
      <c r="E41" s="53" t="s">
        <v>267</v>
      </c>
      <c r="I41" s="78">
        <f>C41</f>
        <v>360940</v>
      </c>
    </row>
    <row r="42" spans="1:9" ht="15" customHeight="1" x14ac:dyDescent="0.35">
      <c r="A42" s="49"/>
      <c r="B42" s="49" t="s">
        <v>268</v>
      </c>
      <c r="C42" s="78">
        <f>-$J15</f>
        <v>-5605942</v>
      </c>
      <c r="E42" s="53" t="s">
        <v>268</v>
      </c>
      <c r="I42" s="78">
        <f t="shared" ref="I42:I43" si="0">C42</f>
        <v>-5605942</v>
      </c>
    </row>
    <row r="43" spans="1:9" ht="15" customHeight="1" x14ac:dyDescent="0.35">
      <c r="A43" s="49"/>
      <c r="B43" s="49" t="s">
        <v>269</v>
      </c>
      <c r="C43" s="78">
        <f>-$J17</f>
        <v>-126771</v>
      </c>
      <c r="E43" s="53" t="s">
        <v>269</v>
      </c>
      <c r="I43" s="78">
        <f t="shared" si="0"/>
        <v>-126771</v>
      </c>
    </row>
    <row r="44" spans="1:9" ht="15" customHeight="1" x14ac:dyDescent="0.35">
      <c r="A44" s="49"/>
      <c r="B44" s="49" t="s">
        <v>270</v>
      </c>
      <c r="C44" s="78">
        <f>SUM(C37,C41:C43)</f>
        <v>11785577.334107924</v>
      </c>
      <c r="E44" s="53" t="s">
        <v>270</v>
      </c>
      <c r="I44" s="78">
        <f>SUM(I37,I41:I43)</f>
        <v>11688639.236833259</v>
      </c>
    </row>
    <row r="45" spans="1:9" ht="15" customHeight="1" x14ac:dyDescent="0.35">
      <c r="A45" s="49"/>
      <c r="E45" s="53"/>
    </row>
    <row r="46" spans="1:9" ht="15" customHeight="1" x14ac:dyDescent="0.35">
      <c r="A46" s="49"/>
      <c r="B46" s="49" t="s">
        <v>271</v>
      </c>
      <c r="C46" s="135">
        <f>C44/C27</f>
        <v>167.83271625980026</v>
      </c>
      <c r="E46" s="53" t="s">
        <v>271</v>
      </c>
      <c r="I46" s="135">
        <f>I44/C27</f>
        <v>166.4522676221608</v>
      </c>
    </row>
    <row r="47" spans="1:9" ht="15" customHeight="1" x14ac:dyDescent="0.35">
      <c r="A47" s="49"/>
      <c r="B47" s="49" t="s">
        <v>272</v>
      </c>
      <c r="C47" s="57">
        <f>C46/Share_Price-1</f>
        <v>9.9028984741013959E-2</v>
      </c>
      <c r="E47" s="53" t="s">
        <v>272</v>
      </c>
      <c r="I47" s="57">
        <f>I46/Share_Price-1</f>
        <v>8.9989310602847095E-2</v>
      </c>
    </row>
    <row r="48" spans="1:9" ht="15" customHeight="1" x14ac:dyDescent="0.35">
      <c r="A48" s="49"/>
    </row>
    <row r="49" spans="1:16" ht="15" customHeight="1" x14ac:dyDescent="0.5">
      <c r="A49" s="122" t="s">
        <v>276</v>
      </c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</row>
    <row r="50" spans="1:16" ht="15" customHeight="1" x14ac:dyDescent="0.35">
      <c r="A50" s="49"/>
      <c r="B50" s="49" t="s">
        <v>277</v>
      </c>
      <c r="F50" s="78">
        <f>OpModel!F15</f>
        <v>1390870</v>
      </c>
      <c r="G50" s="78">
        <f>OpModel!G15</f>
        <v>1470184.8898655912</v>
      </c>
      <c r="H50" s="78">
        <f>OpModel!H15</f>
        <v>1502934.6595984315</v>
      </c>
      <c r="I50" s="78">
        <f>OpModel!I15</f>
        <v>1537422.4578595846</v>
      </c>
      <c r="J50" s="78">
        <f>OpModel!J15</f>
        <v>1577563.433532788</v>
      </c>
      <c r="K50" s="78">
        <f>OpModel!K15</f>
        <v>1616010.9523603607</v>
      </c>
      <c r="L50" s="78">
        <f>(1+L51)*K50</f>
        <v>1664491.2809311715</v>
      </c>
      <c r="M50" s="78">
        <f t="shared" ref="M50:P50" si="1">(1+M51)*L50</f>
        <v>1714426.0193591067</v>
      </c>
      <c r="N50" s="78">
        <f t="shared" si="1"/>
        <v>1765858.7999398799</v>
      </c>
      <c r="O50" s="78">
        <f t="shared" si="1"/>
        <v>1810005.2699383767</v>
      </c>
      <c r="P50" s="78">
        <f t="shared" si="1"/>
        <v>1855255.401686836</v>
      </c>
    </row>
    <row r="51" spans="1:16" ht="15" customHeight="1" x14ac:dyDescent="0.35">
      <c r="A51" s="49"/>
      <c r="B51" s="49" t="s">
        <v>278</v>
      </c>
      <c r="G51" s="57">
        <f>G50/F50-1</f>
        <v>5.7025379701619361E-2</v>
      </c>
      <c r="H51" s="57">
        <f t="shared" ref="H51:K51" si="2">H50/G50-1</f>
        <v>2.2275953152963268E-2</v>
      </c>
      <c r="I51" s="57">
        <f t="shared" si="2"/>
        <v>2.2946971141358796E-2</v>
      </c>
      <c r="J51" s="57">
        <f t="shared" si="2"/>
        <v>2.6109268449927558E-2</v>
      </c>
      <c r="K51" s="57">
        <f t="shared" si="2"/>
        <v>2.4371456646579137E-2</v>
      </c>
      <c r="L51" s="60">
        <v>0.03</v>
      </c>
      <c r="M51" s="60">
        <v>0.03</v>
      </c>
      <c r="N51" s="60">
        <v>0.03</v>
      </c>
      <c r="O51" s="60">
        <v>2.5000000000000001E-2</v>
      </c>
      <c r="P51" s="60">
        <v>2.5000000000000001E-2</v>
      </c>
    </row>
    <row r="52" spans="1:16" ht="15" customHeight="1" x14ac:dyDescent="0.35">
      <c r="A52" s="49"/>
    </row>
    <row r="53" spans="1:16" ht="15" customHeight="1" x14ac:dyDescent="0.35">
      <c r="A53" s="49"/>
      <c r="B53" s="49" t="s">
        <v>279</v>
      </c>
      <c r="G53" s="78">
        <f>OpModel!G24</f>
        <v>980691.71405819897</v>
      </c>
      <c r="H53" s="49">
        <f>OpModel!H24</f>
        <v>987576.62264039065</v>
      </c>
      <c r="I53" s="49">
        <f>OpModel!I24</f>
        <v>996296.64255062956</v>
      </c>
      <c r="J53" s="49">
        <f>OpModel!J24</f>
        <v>1007140.8329388069</v>
      </c>
      <c r="K53" s="49">
        <f>OpModel!K24</f>
        <v>1017583.8590437227</v>
      </c>
      <c r="L53" s="49">
        <f>L54*L50</f>
        <v>1043206.3913168898</v>
      </c>
      <c r="M53" s="49">
        <f t="shared" ref="M53:P53" si="3">M54*M50</f>
        <v>1071516.2620994416</v>
      </c>
      <c r="N53" s="49">
        <f t="shared" si="3"/>
        <v>1094832.4559627254</v>
      </c>
      <c r="O53" s="49">
        <f t="shared" si="3"/>
        <v>1122203.2673617937</v>
      </c>
      <c r="P53" s="49">
        <f t="shared" si="3"/>
        <v>1150258.3490458382</v>
      </c>
    </row>
    <row r="54" spans="1:16" ht="15" customHeight="1" x14ac:dyDescent="0.35">
      <c r="A54" s="49"/>
      <c r="B54" s="49" t="s">
        <v>280</v>
      </c>
      <c r="G54" s="57">
        <f>G53/G50</f>
        <v>0.66705332153689645</v>
      </c>
      <c r="H54" s="57">
        <f t="shared" ref="H54:K54" si="4">H53/H50</f>
        <v>0.65709884081338632</v>
      </c>
      <c r="I54" s="57">
        <f t="shared" si="4"/>
        <v>0.64803049900655418</v>
      </c>
      <c r="J54" s="57">
        <f t="shared" si="4"/>
        <v>0.63841542693685571</v>
      </c>
      <c r="K54" s="57">
        <f t="shared" si="4"/>
        <v>0.62968871439728191</v>
      </c>
      <c r="L54" s="60">
        <v>0.62674187799487036</v>
      </c>
      <c r="M54" s="60">
        <v>0.625</v>
      </c>
      <c r="N54" s="60">
        <v>0.62</v>
      </c>
      <c r="O54" s="60">
        <v>0.62</v>
      </c>
      <c r="P54" s="60">
        <v>0.62</v>
      </c>
    </row>
    <row r="55" spans="1:16" ht="15" customHeight="1" x14ac:dyDescent="0.35">
      <c r="A55" s="49"/>
    </row>
    <row r="56" spans="1:16" ht="15" customHeight="1" x14ac:dyDescent="0.35">
      <c r="A56" s="49"/>
      <c r="B56" s="49" t="s">
        <v>281</v>
      </c>
      <c r="G56" s="78">
        <f>G50-G53</f>
        <v>489493.17580739222</v>
      </c>
      <c r="H56" s="78">
        <f t="shared" ref="H56:K56" si="5">H50-H53</f>
        <v>515358.0369580409</v>
      </c>
      <c r="I56" s="78">
        <f t="shared" si="5"/>
        <v>541125.81530895503</v>
      </c>
      <c r="J56" s="78">
        <f t="shared" si="5"/>
        <v>570422.6005939811</v>
      </c>
      <c r="K56" s="78">
        <f t="shared" si="5"/>
        <v>598427.09331663791</v>
      </c>
      <c r="L56" s="78">
        <f t="shared" ref="L56:P56" si="6">L50-L53</f>
        <v>621284.88961428171</v>
      </c>
      <c r="M56" s="78">
        <f t="shared" si="6"/>
        <v>642909.75725966506</v>
      </c>
      <c r="N56" s="78">
        <f t="shared" si="6"/>
        <v>671026.34397715447</v>
      </c>
      <c r="O56" s="78">
        <f t="shared" si="6"/>
        <v>687802.00257658307</v>
      </c>
      <c r="P56" s="78">
        <f t="shared" si="6"/>
        <v>704997.0526409978</v>
      </c>
    </row>
    <row r="57" spans="1:16" ht="15" customHeight="1" x14ac:dyDescent="0.35">
      <c r="A57" s="49"/>
      <c r="B57" s="49" t="s">
        <v>282</v>
      </c>
      <c r="G57" s="57">
        <f>G56/G50</f>
        <v>0.3329466784631035</v>
      </c>
      <c r="H57" s="57">
        <f t="shared" ref="H57:K57" si="7">H56/H50</f>
        <v>0.34290115918661374</v>
      </c>
      <c r="I57" s="57">
        <f t="shared" si="7"/>
        <v>0.35196950099344587</v>
      </c>
      <c r="J57" s="57">
        <f t="shared" si="7"/>
        <v>0.36158457306314429</v>
      </c>
      <c r="K57" s="57">
        <f t="shared" si="7"/>
        <v>0.37031128560271803</v>
      </c>
      <c r="L57" s="57">
        <f t="shared" ref="L57" si="8">L56/L50</f>
        <v>0.37325812200512964</v>
      </c>
      <c r="M57" s="57">
        <f t="shared" ref="M57" si="9">M56/M50</f>
        <v>0.37500000000000006</v>
      </c>
      <c r="N57" s="57">
        <f t="shared" ref="N57" si="10">N56/N50</f>
        <v>0.38000000000000006</v>
      </c>
      <c r="O57" s="57">
        <f t="shared" ref="O57" si="11">O56/O50</f>
        <v>0.37999999999999995</v>
      </c>
      <c r="P57" s="57">
        <f t="shared" ref="P57" si="12">P56/P50</f>
        <v>0.38000000000000006</v>
      </c>
    </row>
    <row r="58" spans="1:16" ht="15" customHeight="1" x14ac:dyDescent="0.35">
      <c r="A58" s="49"/>
      <c r="B58" s="49" t="s">
        <v>303</v>
      </c>
    </row>
    <row r="59" spans="1:16" ht="15" customHeight="1" x14ac:dyDescent="0.35">
      <c r="A59" s="49"/>
      <c r="B59" s="54" t="s">
        <v>284</v>
      </c>
      <c r="G59" s="78">
        <f>OpModel!G21</f>
        <v>466892.00799999997</v>
      </c>
      <c r="H59" s="78">
        <f>OpModel!H21</f>
        <v>464346.25975724519</v>
      </c>
      <c r="I59" s="78">
        <f>OpModel!I21</f>
        <v>461899.33849593293</v>
      </c>
      <c r="J59" s="78">
        <f>OpModel!J21</f>
        <v>459934.56289086118</v>
      </c>
      <c r="K59" s="78">
        <f>OpModel!K21</f>
        <v>458162.20958818984</v>
      </c>
      <c r="L59" s="78">
        <f>L60*L50</f>
        <v>466057.55866072804</v>
      </c>
      <c r="M59" s="78">
        <f t="shared" ref="M59:P59" si="13">M60*M50</f>
        <v>480039.28542054992</v>
      </c>
      <c r="N59" s="78">
        <f t="shared" si="13"/>
        <v>512099.05198256514</v>
      </c>
      <c r="O59" s="78">
        <f t="shared" si="13"/>
        <v>543001.58098151302</v>
      </c>
      <c r="P59" s="78">
        <f t="shared" si="13"/>
        <v>556576.62050605076</v>
      </c>
    </row>
    <row r="60" spans="1:16" ht="15" customHeight="1" x14ac:dyDescent="0.35">
      <c r="A60" s="49"/>
      <c r="B60" s="53" t="s">
        <v>280</v>
      </c>
      <c r="G60" s="57">
        <f>G59/G50</f>
        <v>0.31757366792328051</v>
      </c>
      <c r="H60" s="57">
        <f t="shared" ref="H60:K60" si="14">H59/H50</f>
        <v>0.30895971211503875</v>
      </c>
      <c r="I60" s="57">
        <f t="shared" si="14"/>
        <v>0.30043748621897587</v>
      </c>
      <c r="J60" s="57">
        <f t="shared" si="14"/>
        <v>0.29154742884784413</v>
      </c>
      <c r="K60" s="57">
        <f t="shared" si="14"/>
        <v>0.28351429730039507</v>
      </c>
      <c r="L60" s="52">
        <v>0.28000000000000003</v>
      </c>
      <c r="M60" s="52">
        <v>0.28000000000000003</v>
      </c>
      <c r="N60" s="52">
        <v>0.28999999999999998</v>
      </c>
      <c r="O60" s="52">
        <v>0.3</v>
      </c>
      <c r="P60" s="52">
        <v>0.3</v>
      </c>
    </row>
    <row r="61" spans="1:16" ht="15" customHeight="1" x14ac:dyDescent="0.35">
      <c r="A61" s="49"/>
      <c r="B61" s="54" t="s">
        <v>285</v>
      </c>
      <c r="G61" s="78">
        <f>OpModel!G74</f>
        <v>15870.801056881697</v>
      </c>
      <c r="H61" s="78">
        <f>OpModel!H74</f>
        <v>5632.9603940485249</v>
      </c>
      <c r="I61" s="78">
        <f>OpModel!I74</f>
        <v>5931.9013009183327</v>
      </c>
      <c r="J61" s="78">
        <f>OpModel!J74</f>
        <v>6904.2478157909718</v>
      </c>
      <c r="K61" s="78">
        <f>OpModel!K74</f>
        <v>6612.9732383424926</v>
      </c>
      <c r="L61" s="78">
        <f>L62*L50</f>
        <v>8322.4564046558571</v>
      </c>
      <c r="M61" s="78">
        <f t="shared" ref="M61:P61" si="15">M62*M50</f>
        <v>8572.130096795534</v>
      </c>
      <c r="N61" s="78">
        <f t="shared" si="15"/>
        <v>8829.2939996993991</v>
      </c>
      <c r="O61" s="78">
        <f t="shared" si="15"/>
        <v>9050.0263496918833</v>
      </c>
      <c r="P61" s="78">
        <f t="shared" si="15"/>
        <v>9276.277008434181</v>
      </c>
    </row>
    <row r="62" spans="1:16" ht="15" customHeight="1" x14ac:dyDescent="0.35">
      <c r="A62" s="49"/>
      <c r="B62" s="53" t="s">
        <v>280</v>
      </c>
      <c r="G62" s="57">
        <f>G61/G50</f>
        <v>1.0795105545080562E-2</v>
      </c>
      <c r="H62" s="57">
        <f t="shared" ref="H62:K62" si="16">H61/H50</f>
        <v>3.7479742436398351E-3</v>
      </c>
      <c r="I62" s="57">
        <f t="shared" si="16"/>
        <v>3.8583417788606959E-3</v>
      </c>
      <c r="J62" s="57">
        <f t="shared" si="16"/>
        <v>4.3765262740209643E-3</v>
      </c>
      <c r="K62" s="57">
        <f t="shared" si="16"/>
        <v>4.0921586754616495E-3</v>
      </c>
      <c r="L62" s="52">
        <v>5.0000000000000001E-3</v>
      </c>
      <c r="M62" s="52">
        <v>5.0000000000000001E-3</v>
      </c>
      <c r="N62" s="52">
        <v>5.0000000000000001E-3</v>
      </c>
      <c r="O62" s="52">
        <v>5.0000000000000001E-3</v>
      </c>
      <c r="P62" s="52">
        <v>5.0000000000000001E-3</v>
      </c>
    </row>
    <row r="63" spans="1:16" ht="15" customHeight="1" x14ac:dyDescent="0.35">
      <c r="A63" s="49"/>
      <c r="B63" s="54" t="s">
        <v>286</v>
      </c>
      <c r="G63" s="78">
        <f>OpModel!G81</f>
        <v>-88211.093391935472</v>
      </c>
      <c r="H63" s="78">
        <f>OpModel!H81</f>
        <v>-90176.079575905896</v>
      </c>
      <c r="I63" s="78">
        <f>OpModel!I81</f>
        <v>-92245.347471575078</v>
      </c>
      <c r="J63" s="78">
        <f>OpModel!J81</f>
        <v>-94653.806011967274</v>
      </c>
      <c r="K63" s="78">
        <f>OpModel!K81</f>
        <v>-96960.657141621632</v>
      </c>
      <c r="L63" s="78">
        <f>L64*L50</f>
        <v>-108191.93326052614</v>
      </c>
      <c r="M63" s="78">
        <f t="shared" ref="M63:P63" si="17">M64*M50</f>
        <v>-120009.82135513748</v>
      </c>
      <c r="N63" s="78">
        <f t="shared" si="17"/>
        <v>-141268.70399519039</v>
      </c>
      <c r="O63" s="78">
        <f t="shared" si="17"/>
        <v>-162900.47429445389</v>
      </c>
      <c r="P63" s="78">
        <f t="shared" si="17"/>
        <v>-166972.98615181525</v>
      </c>
    </row>
    <row r="64" spans="1:16" ht="15" customHeight="1" x14ac:dyDescent="0.35">
      <c r="A64" s="49"/>
      <c r="B64" s="53" t="s">
        <v>280</v>
      </c>
      <c r="G64" s="57">
        <f>G63/G50</f>
        <v>-0.06</v>
      </c>
      <c r="H64" s="57">
        <f t="shared" ref="H64:K64" si="18">H63/H50</f>
        <v>-6.0000000000000005E-2</v>
      </c>
      <c r="I64" s="57">
        <f t="shared" si="18"/>
        <v>-6.0000000000000005E-2</v>
      </c>
      <c r="J64" s="57">
        <f t="shared" si="18"/>
        <v>-0.06</v>
      </c>
      <c r="K64" s="57">
        <f t="shared" si="18"/>
        <v>-0.06</v>
      </c>
      <c r="L64" s="52">
        <v>-6.5000000000000002E-2</v>
      </c>
      <c r="M64" s="52">
        <v>-7.0000000000000007E-2</v>
      </c>
      <c r="N64" s="52">
        <v>-0.08</v>
      </c>
      <c r="O64" s="52">
        <v>-0.09</v>
      </c>
      <c r="P64" s="52">
        <v>-0.09</v>
      </c>
    </row>
    <row r="65" spans="1:16" ht="15" customHeight="1" x14ac:dyDescent="0.35">
      <c r="A65" s="49"/>
      <c r="B65" s="54" t="s">
        <v>287</v>
      </c>
      <c r="G65" s="78">
        <f>OpModel!G78</f>
        <v>-200000</v>
      </c>
      <c r="H65" s="78">
        <f>OpModel!H78</f>
        <v>-200000</v>
      </c>
      <c r="I65" s="78">
        <f>OpModel!I78</f>
        <v>-200000</v>
      </c>
      <c r="J65" s="78">
        <f>OpModel!J78</f>
        <v>-200000</v>
      </c>
      <c r="K65" s="78">
        <f>OpModel!K78</f>
        <v>-200000</v>
      </c>
      <c r="L65" s="78">
        <f>L66*L$50</f>
        <v>-201403.44499267175</v>
      </c>
      <c r="M65" s="78">
        <f t="shared" ref="M65:P65" si="19">M66*M$50</f>
        <v>-214303.25241988833</v>
      </c>
      <c r="N65" s="78">
        <f t="shared" si="19"/>
        <v>-229561.6439921844</v>
      </c>
      <c r="O65" s="78">
        <f t="shared" si="19"/>
        <v>-244350.71144168088</v>
      </c>
      <c r="P65" s="78">
        <f t="shared" si="19"/>
        <v>-259735.75623615706</v>
      </c>
    </row>
    <row r="66" spans="1:16" ht="15" customHeight="1" x14ac:dyDescent="0.35">
      <c r="A66" s="49"/>
      <c r="B66" s="53" t="s">
        <v>280</v>
      </c>
      <c r="G66" s="57">
        <f>G65/G50</f>
        <v>-0.13603731161887034</v>
      </c>
      <c r="H66" s="57">
        <f t="shared" ref="H66:K66" si="20">H65/H50</f>
        <v>-0.13307298406002421</v>
      </c>
      <c r="I66" s="57">
        <f t="shared" si="20"/>
        <v>-0.13008786165283553</v>
      </c>
      <c r="J66" s="57">
        <f t="shared" si="20"/>
        <v>-0.12677778639437715</v>
      </c>
      <c r="K66" s="57">
        <f t="shared" si="20"/>
        <v>-0.12376153744990288</v>
      </c>
      <c r="L66" s="52">
        <v>-0.121</v>
      </c>
      <c r="M66" s="52">
        <v>-0.125</v>
      </c>
      <c r="N66" s="52">
        <v>-0.13</v>
      </c>
      <c r="O66" s="52">
        <v>-0.13500000000000001</v>
      </c>
      <c r="P66" s="52">
        <v>-0.14000000000000001</v>
      </c>
    </row>
    <row r="67" spans="1:16" ht="15" customHeight="1" x14ac:dyDescent="0.35">
      <c r="A67" s="49"/>
      <c r="B67" s="54" t="s">
        <v>288</v>
      </c>
      <c r="G67" s="78">
        <f>OpModel!G79+OpModel!G80</f>
        <v>-220822.99999999997</v>
      </c>
      <c r="H67" s="78">
        <f>OpModel!H79+OpModel!H80</f>
        <v>-218558.33333333331</v>
      </c>
      <c r="I67" s="78">
        <f>OpModel!I79+OpModel!I80</f>
        <v>-225000</v>
      </c>
      <c r="J67" s="78">
        <f>OpModel!J79+OpModel!J80</f>
        <v>-225000</v>
      </c>
      <c r="K67" s="78">
        <f>OpModel!K79+OpModel!K80</f>
        <v>-225000</v>
      </c>
      <c r="L67" s="78">
        <f>L68*L$50</f>
        <v>-226370.81420663933</v>
      </c>
      <c r="M67" s="78">
        <f t="shared" ref="M67:P67" si="21">M68*M$50</f>
        <v>-250306.19882642955</v>
      </c>
      <c r="N67" s="78">
        <f t="shared" si="21"/>
        <v>-257815.38479122246</v>
      </c>
      <c r="O67" s="78">
        <f t="shared" si="21"/>
        <v>-271500.79049075651</v>
      </c>
      <c r="P67" s="78">
        <f t="shared" si="21"/>
        <v>-278288.31025302538</v>
      </c>
    </row>
    <row r="68" spans="1:16" ht="15" customHeight="1" x14ac:dyDescent="0.35">
      <c r="A68" s="49"/>
      <c r="B68" s="53" t="s">
        <v>280</v>
      </c>
      <c r="G68" s="57">
        <f>G67/G$50</f>
        <v>-0.15020083631806899</v>
      </c>
      <c r="H68" s="57">
        <f t="shared" ref="H68:K68" si="22">H67/H$50</f>
        <v>-0.14542104803926062</v>
      </c>
      <c r="I68" s="57">
        <f t="shared" si="22"/>
        <v>-0.14634884435943996</v>
      </c>
      <c r="J68" s="57">
        <f t="shared" si="22"/>
        <v>-0.14262500969367431</v>
      </c>
      <c r="K68" s="57">
        <f t="shared" si="22"/>
        <v>-0.13923172963114075</v>
      </c>
      <c r="L68" s="52">
        <v>-0.13600000000000001</v>
      </c>
      <c r="M68" s="52">
        <v>-0.14599999999999999</v>
      </c>
      <c r="N68" s="52">
        <v>-0.14599999999999999</v>
      </c>
      <c r="O68" s="52">
        <v>-0.15</v>
      </c>
      <c r="P68" s="52">
        <v>-0.15</v>
      </c>
    </row>
    <row r="69" spans="1:16" ht="15" customHeight="1" x14ac:dyDescent="0.35">
      <c r="A69" s="49"/>
      <c r="B69" s="54" t="s">
        <v>289</v>
      </c>
      <c r="G69" s="78">
        <f>OpModel!G82</f>
        <v>125000</v>
      </c>
      <c r="H69" s="78">
        <f>OpModel!H82</f>
        <v>125000</v>
      </c>
      <c r="I69" s="78">
        <f>OpModel!I82</f>
        <v>125000</v>
      </c>
      <c r="J69" s="78">
        <f>OpModel!J82</f>
        <v>125000</v>
      </c>
      <c r="K69" s="78">
        <f>OpModel!K82</f>
        <v>125000</v>
      </c>
      <c r="L69" s="78">
        <f>L70*L$50</f>
        <v>116514.38966518201</v>
      </c>
      <c r="M69" s="78">
        <f t="shared" ref="M69:P69" si="23">M70*M$50</f>
        <v>120009.82135513748</v>
      </c>
      <c r="N69" s="78">
        <f t="shared" si="23"/>
        <v>123610.11599579161</v>
      </c>
      <c r="O69" s="78">
        <f t="shared" si="23"/>
        <v>126700.36889568638</v>
      </c>
      <c r="P69" s="78">
        <f t="shared" si="23"/>
        <v>129867.87811807853</v>
      </c>
    </row>
    <row r="70" spans="1:16" ht="15" customHeight="1" x14ac:dyDescent="0.35">
      <c r="A70" s="49"/>
      <c r="B70" s="53" t="s">
        <v>280</v>
      </c>
      <c r="G70" s="57">
        <f>G69/G$50</f>
        <v>8.5023319761793961E-2</v>
      </c>
      <c r="H70" s="57">
        <f t="shared" ref="H70:K70" si="24">H69/H$50</f>
        <v>8.3170615037515133E-2</v>
      </c>
      <c r="I70" s="57">
        <f t="shared" si="24"/>
        <v>8.1304913533022202E-2</v>
      </c>
      <c r="J70" s="57">
        <f t="shared" si="24"/>
        <v>7.9236116496485723E-2</v>
      </c>
      <c r="K70" s="57">
        <f t="shared" si="24"/>
        <v>7.7350960906189301E-2</v>
      </c>
      <c r="L70" s="108">
        <v>7.0000000000000007E-2</v>
      </c>
      <c r="M70" s="108">
        <v>7.0000000000000007E-2</v>
      </c>
      <c r="N70" s="108">
        <v>7.0000000000000007E-2</v>
      </c>
      <c r="O70" s="108">
        <v>7.0000000000000007E-2</v>
      </c>
      <c r="P70" s="108">
        <v>7.0000000000000007E-2</v>
      </c>
    </row>
    <row r="71" spans="1:16" ht="15" customHeight="1" x14ac:dyDescent="0.35">
      <c r="A71" s="49"/>
      <c r="B71" s="50" t="s">
        <v>290</v>
      </c>
      <c r="C71" s="50"/>
      <c r="D71" s="50"/>
      <c r="E71" s="50"/>
      <c r="F71" s="50"/>
      <c r="G71" s="79">
        <f>SUM(G56,G59,G61,G63,G65,G67,G69)</f>
        <v>588221.89147233835</v>
      </c>
      <c r="H71" s="79">
        <f>SUM(H56,H59,H61,H63,H65,H67,H69)</f>
        <v>601602.84420009539</v>
      </c>
      <c r="I71" s="79">
        <f t="shared" ref="I71:P71" si="25">SUM(I56,I59,I61,I63,I65,I67,I69)</f>
        <v>616711.70763423131</v>
      </c>
      <c r="J71" s="79">
        <f t="shared" si="25"/>
        <v>642607.60528866597</v>
      </c>
      <c r="K71" s="79">
        <f t="shared" si="25"/>
        <v>666241.6190015485</v>
      </c>
      <c r="L71" s="79">
        <f t="shared" si="25"/>
        <v>676213.10188501037</v>
      </c>
      <c r="M71" s="79">
        <f t="shared" si="25"/>
        <v>666911.72153069277</v>
      </c>
      <c r="N71" s="79">
        <f t="shared" si="25"/>
        <v>686919.07317661343</v>
      </c>
      <c r="O71" s="79">
        <f t="shared" si="25"/>
        <v>687802.00257658307</v>
      </c>
      <c r="P71" s="79">
        <f t="shared" si="25"/>
        <v>695720.77563256386</v>
      </c>
    </row>
    <row r="72" spans="1:16" ht="15" customHeight="1" x14ac:dyDescent="0.35">
      <c r="A72" s="49"/>
      <c r="B72" s="53" t="s">
        <v>283</v>
      </c>
      <c r="H72" s="57">
        <f>H71/G71-1</f>
        <v>2.2748137942068203E-2</v>
      </c>
      <c r="I72" s="57">
        <f t="shared" ref="I72:P72" si="26">I71/H71-1</f>
        <v>2.5114348410744336E-2</v>
      </c>
      <c r="J72" s="57">
        <f t="shared" si="26"/>
        <v>4.1990280602542729E-2</v>
      </c>
      <c r="K72" s="57">
        <f t="shared" si="26"/>
        <v>3.677829754639439E-2</v>
      </c>
      <c r="L72" s="57">
        <f t="shared" si="26"/>
        <v>1.4966766709058943E-2</v>
      </c>
      <c r="M72" s="57">
        <f t="shared" si="26"/>
        <v>-1.3755102242753225E-2</v>
      </c>
      <c r="N72" s="57">
        <f t="shared" si="26"/>
        <v>2.9999999999999805E-2</v>
      </c>
      <c r="O72" s="57">
        <f t="shared" si="26"/>
        <v>1.2853470437013126E-3</v>
      </c>
      <c r="P72" s="57">
        <f t="shared" si="26"/>
        <v>1.1513157894737391E-2</v>
      </c>
    </row>
    <row r="73" spans="1:16" ht="15" customHeight="1" x14ac:dyDescent="0.35">
      <c r="A73" s="49"/>
    </row>
    <row r="74" spans="1:16" ht="15" customHeight="1" x14ac:dyDescent="0.35">
      <c r="A74" s="49"/>
      <c r="B74" s="49" t="s">
        <v>291</v>
      </c>
      <c r="G74" s="49">
        <v>1</v>
      </c>
      <c r="H74" s="49">
        <v>2</v>
      </c>
      <c r="I74" s="49">
        <v>3</v>
      </c>
      <c r="J74" s="49">
        <v>4</v>
      </c>
      <c r="K74" s="49">
        <v>5</v>
      </c>
      <c r="L74" s="49">
        <v>6</v>
      </c>
      <c r="M74" s="49">
        <v>7</v>
      </c>
      <c r="N74" s="49">
        <v>8</v>
      </c>
      <c r="O74" s="49">
        <v>9</v>
      </c>
      <c r="P74" s="49">
        <v>10</v>
      </c>
    </row>
    <row r="75" spans="1:16" ht="15" customHeight="1" x14ac:dyDescent="0.35">
      <c r="A75" s="49"/>
      <c r="B75" s="49" t="s">
        <v>292</v>
      </c>
      <c r="G75" s="57">
        <f t="shared" ref="G75:P75" si="27">wacc</f>
        <v>5.6964999999999995E-2</v>
      </c>
      <c r="H75" s="57">
        <f t="shared" si="27"/>
        <v>5.6964999999999995E-2</v>
      </c>
      <c r="I75" s="57">
        <f t="shared" si="27"/>
        <v>5.6964999999999995E-2</v>
      </c>
      <c r="J75" s="57">
        <f t="shared" si="27"/>
        <v>5.6964999999999995E-2</v>
      </c>
      <c r="K75" s="57">
        <f t="shared" si="27"/>
        <v>5.6964999999999995E-2</v>
      </c>
      <c r="L75" s="57">
        <f t="shared" si="27"/>
        <v>5.6964999999999995E-2</v>
      </c>
      <c r="M75" s="57">
        <f t="shared" si="27"/>
        <v>5.6964999999999995E-2</v>
      </c>
      <c r="N75" s="57">
        <f t="shared" si="27"/>
        <v>5.6964999999999995E-2</v>
      </c>
      <c r="O75" s="57">
        <f t="shared" si="27"/>
        <v>5.6964999999999995E-2</v>
      </c>
      <c r="P75" s="57">
        <f t="shared" si="27"/>
        <v>5.6964999999999995E-2</v>
      </c>
    </row>
    <row r="76" spans="1:16" ht="15" customHeight="1" x14ac:dyDescent="0.35">
      <c r="A76" s="49"/>
      <c r="B76" s="49" t="s">
        <v>293</v>
      </c>
      <c r="G76" s="97">
        <f>1/((1+G75)^G74)</f>
        <v>0.94610512174007655</v>
      </c>
      <c r="H76" s="97">
        <f t="shared" ref="H76:P76" si="28">1/((1+H75)^H74)</f>
        <v>0.89511490138280514</v>
      </c>
      <c r="I76" s="97">
        <f t="shared" si="28"/>
        <v>0.84687279274413563</v>
      </c>
      <c r="J76" s="97">
        <f t="shared" si="28"/>
        <v>0.80123068667754904</v>
      </c>
      <c r="K76" s="97">
        <f t="shared" si="28"/>
        <v>0.75804845636094764</v>
      </c>
      <c r="L76" s="97">
        <f t="shared" si="28"/>
        <v>0.71719352709025153</v>
      </c>
      <c r="M76" s="97">
        <f t="shared" si="28"/>
        <v>0.67854046925891742</v>
      </c>
      <c r="N76" s="97">
        <f t="shared" si="28"/>
        <v>0.6419706132737768</v>
      </c>
      <c r="O76" s="97">
        <f t="shared" si="28"/>
        <v>0.60737168522493812</v>
      </c>
      <c r="P76" s="97">
        <f t="shared" si="28"/>
        <v>0.5746374621912157</v>
      </c>
    </row>
    <row r="77" spans="1:16" ht="15" customHeight="1" x14ac:dyDescent="0.35">
      <c r="A77" s="49"/>
    </row>
    <row r="78" spans="1:16" ht="15" customHeight="1" x14ac:dyDescent="0.35">
      <c r="A78" s="49"/>
      <c r="B78" s="49" t="s">
        <v>294</v>
      </c>
      <c r="G78" s="78">
        <f>G76*G71</f>
        <v>556519.74424161483</v>
      </c>
      <c r="H78" s="78">
        <f t="shared" ref="H78:P78" si="29">H76*H71</f>
        <v>538503.67055778345</v>
      </c>
      <c r="I78" s="78">
        <f t="shared" si="29"/>
        <v>522276.36616220634</v>
      </c>
      <c r="J78" s="78">
        <f t="shared" si="29"/>
        <v>514876.93284965324</v>
      </c>
      <c r="K78" s="78">
        <f t="shared" si="29"/>
        <v>505043.43084754242</v>
      </c>
      <c r="L78" s="78">
        <f t="shared" si="29"/>
        <v>484975.65960555017</v>
      </c>
      <c r="M78" s="78">
        <f t="shared" si="29"/>
        <v>452526.59248170874</v>
      </c>
      <c r="N78" s="78">
        <f t="shared" si="29"/>
        <v>440981.85867664486</v>
      </c>
      <c r="O78" s="78">
        <f t="shared" si="29"/>
        <v>417751.4614060265</v>
      </c>
      <c r="P78" s="78">
        <f t="shared" si="29"/>
        <v>399787.22090320068</v>
      </c>
    </row>
    <row r="79" spans="1:16" ht="15" customHeight="1" x14ac:dyDescent="0.35">
      <c r="A79" s="49"/>
    </row>
    <row r="80" spans="1:16" ht="15" customHeight="1" x14ac:dyDescent="0.35">
      <c r="A80" s="49"/>
      <c r="B80" s="49" t="s">
        <v>295</v>
      </c>
      <c r="G80" s="78">
        <f>G56+G59</f>
        <v>956385.18380739214</v>
      </c>
      <c r="H80" s="78">
        <f t="shared" ref="H80:P80" si="30">H56+H59</f>
        <v>979704.29671528609</v>
      </c>
      <c r="I80" s="78">
        <f t="shared" si="30"/>
        <v>1003025.153804888</v>
      </c>
      <c r="J80" s="78">
        <f t="shared" si="30"/>
        <v>1030357.1634848423</v>
      </c>
      <c r="K80" s="78">
        <f t="shared" si="30"/>
        <v>1056589.3029048278</v>
      </c>
      <c r="L80" s="78">
        <f t="shared" si="30"/>
        <v>1087342.4482750096</v>
      </c>
      <c r="M80" s="78">
        <f t="shared" si="30"/>
        <v>1122949.0426802151</v>
      </c>
      <c r="N80" s="78">
        <f t="shared" si="30"/>
        <v>1183125.3959597195</v>
      </c>
      <c r="O80" s="78">
        <f t="shared" si="30"/>
        <v>1230803.5835580961</v>
      </c>
      <c r="P80" s="78">
        <f t="shared" si="30"/>
        <v>1261573.6731470486</v>
      </c>
    </row>
    <row r="81" spans="1:16" ht="15" customHeight="1" x14ac:dyDescent="0.35">
      <c r="A81" s="49"/>
      <c r="B81" s="49" t="s">
        <v>283</v>
      </c>
      <c r="H81" s="57">
        <f>H80/G80-1</f>
        <v>2.4382553496970827E-2</v>
      </c>
      <c r="I81" s="57">
        <f t="shared" ref="I81:P81" si="31">I80/H80-1</f>
        <v>2.380397551362301E-2</v>
      </c>
      <c r="J81" s="57">
        <f t="shared" si="31"/>
        <v>2.7249575522879654E-2</v>
      </c>
      <c r="K81" s="57">
        <f t="shared" si="31"/>
        <v>2.5459268251471157E-2</v>
      </c>
      <c r="L81" s="57">
        <f t="shared" si="31"/>
        <v>2.9106054060583197E-2</v>
      </c>
      <c r="M81" s="57">
        <f t="shared" si="31"/>
        <v>3.2746440150196232E-2</v>
      </c>
      <c r="N81" s="57">
        <f t="shared" si="31"/>
        <v>5.3587786259541748E-2</v>
      </c>
      <c r="O81" s="57">
        <f t="shared" si="31"/>
        <v>4.0298507462686484E-2</v>
      </c>
      <c r="P81" s="57">
        <f t="shared" si="31"/>
        <v>2.5000000000000133E-2</v>
      </c>
    </row>
    <row r="82" spans="1:16" ht="15" customHeight="1" x14ac:dyDescent="0.35">
      <c r="A82" s="49"/>
    </row>
    <row r="83" spans="1:16" ht="15" customHeight="1" x14ac:dyDescent="0.35">
      <c r="A83" s="49"/>
      <c r="B83" s="49" t="s">
        <v>296</v>
      </c>
      <c r="G83" s="78">
        <f>OpModel!G87</f>
        <v>24696.333564247354</v>
      </c>
      <c r="H83" s="78">
        <f>OpModel!H87</f>
        <v>28040.618188643362</v>
      </c>
      <c r="I83" s="78">
        <f>OpModel!I87</f>
        <v>30192.142685445142</v>
      </c>
      <c r="J83" s="78">
        <f>OpModel!J87</f>
        <v>28911.89628722117</v>
      </c>
      <c r="K83" s="78">
        <f>OpModel!K87</f>
        <v>27810.801878142258</v>
      </c>
      <c r="L83" s="137">
        <f>L84*-SUM(L69,L67,L65,L63)</f>
        <v>29361.626195625868</v>
      </c>
      <c r="M83" s="137">
        <f t="shared" ref="M83:P83" si="32">M84*-SUM(M69,M67,M65,M63)</f>
        <v>32522.661587242259</v>
      </c>
      <c r="N83" s="137">
        <f t="shared" si="32"/>
        <v>35352.493174796393</v>
      </c>
      <c r="O83" s="137">
        <f t="shared" si="32"/>
        <v>38643.612513184351</v>
      </c>
      <c r="P83" s="137">
        <f t="shared" si="32"/>
        <v>40259.04221660435</v>
      </c>
    </row>
    <row r="84" spans="1:16" ht="15" customHeight="1" x14ac:dyDescent="0.35">
      <c r="A84" s="49"/>
      <c r="B84" s="49" t="s">
        <v>297</v>
      </c>
      <c r="G84" s="57">
        <f>G83/-(SUM(G63,G65,G67,G69))</f>
        <v>6.4307659109429385E-2</v>
      </c>
      <c r="H84" s="57">
        <f t="shared" ref="H84:K84" si="33">H83/-(SUM(H63,H65,H67,H69))</f>
        <v>7.3072982889536994E-2</v>
      </c>
      <c r="I84" s="57">
        <f t="shared" si="33"/>
        <v>7.6972596055159284E-2</v>
      </c>
      <c r="J84" s="57">
        <f t="shared" si="33"/>
        <v>7.3258881193570616E-2</v>
      </c>
      <c r="K84" s="57">
        <f t="shared" si="33"/>
        <v>7.0059340586541646E-2</v>
      </c>
      <c r="L84" s="52">
        <v>7.0000000000000007E-2</v>
      </c>
      <c r="M84" s="52">
        <v>7.0000000000000007E-2</v>
      </c>
      <c r="N84" s="52">
        <v>7.0000000000000007E-2</v>
      </c>
      <c r="O84" s="52">
        <v>7.0000000000000007E-2</v>
      </c>
      <c r="P84" s="52">
        <v>7.0000000000000007E-2</v>
      </c>
    </row>
    <row r="85" spans="1:16" ht="15" customHeight="1" x14ac:dyDescent="0.35">
      <c r="A85" s="49"/>
    </row>
    <row r="86" spans="1:16" ht="15" customHeight="1" x14ac:dyDescent="0.35">
      <c r="A86" s="49"/>
      <c r="B86" s="49" t="s">
        <v>298</v>
      </c>
      <c r="G86" s="57">
        <f t="shared" ref="G86:P86" si="34">Ke</f>
        <v>6.989999999999999E-2</v>
      </c>
      <c r="H86" s="57">
        <f t="shared" si="34"/>
        <v>6.989999999999999E-2</v>
      </c>
      <c r="I86" s="57">
        <f t="shared" si="34"/>
        <v>6.989999999999999E-2</v>
      </c>
      <c r="J86" s="57">
        <f t="shared" si="34"/>
        <v>6.989999999999999E-2</v>
      </c>
      <c r="K86" s="57">
        <f t="shared" si="34"/>
        <v>6.989999999999999E-2</v>
      </c>
      <c r="L86" s="57">
        <f t="shared" si="34"/>
        <v>6.989999999999999E-2</v>
      </c>
      <c r="M86" s="57">
        <f t="shared" si="34"/>
        <v>6.989999999999999E-2</v>
      </c>
      <c r="N86" s="57">
        <f t="shared" si="34"/>
        <v>6.989999999999999E-2</v>
      </c>
      <c r="O86" s="57">
        <f t="shared" si="34"/>
        <v>6.989999999999999E-2</v>
      </c>
      <c r="P86" s="57">
        <f t="shared" si="34"/>
        <v>6.989999999999999E-2</v>
      </c>
    </row>
    <row r="87" spans="1:16" ht="15" customHeight="1" x14ac:dyDescent="0.35">
      <c r="A87" s="49"/>
      <c r="B87" s="49" t="s">
        <v>299</v>
      </c>
      <c r="G87" s="97">
        <f>1/((G86+1)^G74)</f>
        <v>0.9346667912889054</v>
      </c>
      <c r="H87" s="97">
        <f t="shared" ref="H87:P87" si="35">1/((H86+1)^H74)</f>
        <v>0.87360201073829824</v>
      </c>
      <c r="I87" s="97">
        <f t="shared" si="35"/>
        <v>0.81652678824030112</v>
      </c>
      <c r="J87" s="97">
        <f t="shared" si="35"/>
        <v>0.7631804731659978</v>
      </c>
      <c r="K87" s="97">
        <f t="shared" si="35"/>
        <v>0.71331944402841185</v>
      </c>
      <c r="L87" s="97">
        <f t="shared" si="35"/>
        <v>0.66671599591402153</v>
      </c>
      <c r="M87" s="97">
        <f t="shared" si="35"/>
        <v>0.62315730060194541</v>
      </c>
      <c r="N87" s="97">
        <f t="shared" si="35"/>
        <v>0.58244443462187623</v>
      </c>
      <c r="O87" s="97">
        <f t="shared" si="35"/>
        <v>0.54439147081210981</v>
      </c>
      <c r="P87" s="97">
        <f t="shared" si="35"/>
        <v>0.5088246292290024</v>
      </c>
    </row>
    <row r="88" spans="1:16" ht="15" customHeight="1" x14ac:dyDescent="0.35">
      <c r="A88" s="49"/>
    </row>
    <row r="89" spans="1:16" ht="15" customHeight="1" x14ac:dyDescent="0.35">
      <c r="A89" s="49"/>
      <c r="B89" s="49" t="s">
        <v>300</v>
      </c>
      <c r="G89" s="78">
        <f>G87*G83</f>
        <v>23082.84284909557</v>
      </c>
      <c r="H89" s="78">
        <f t="shared" ref="H89:P89" si="36">H87*H83</f>
        <v>24496.34043194374</v>
      </c>
      <c r="I89" s="78">
        <f t="shared" si="36"/>
        <v>24652.693297039423</v>
      </c>
      <c r="J89" s="78">
        <f t="shared" si="36"/>
        <v>22064.994688607709</v>
      </c>
      <c r="K89" s="78">
        <f t="shared" si="36"/>
        <v>19837.985733700749</v>
      </c>
      <c r="L89" s="78">
        <f t="shared" si="36"/>
        <v>19575.865850671922</v>
      </c>
      <c r="M89" s="78">
        <f t="shared" si="36"/>
        <v>20266.734003096466</v>
      </c>
      <c r="N89" s="78">
        <f t="shared" si="36"/>
        <v>20590.862899668024</v>
      </c>
      <c r="O89" s="78">
        <f t="shared" si="36"/>
        <v>21037.253053545679</v>
      </c>
      <c r="P89" s="78">
        <f t="shared" si="36"/>
        <v>20484.792228978462</v>
      </c>
    </row>
    <row r="90" spans="1:16" ht="15" customHeight="1" x14ac:dyDescent="0.35">
      <c r="A90" s="49"/>
    </row>
    <row r="91" spans="1:16" ht="15" customHeight="1" x14ac:dyDescent="0.35">
      <c r="A91" s="49"/>
      <c r="B91" s="99"/>
      <c r="C91" s="99"/>
      <c r="D91" s="99"/>
      <c r="E91" s="126" t="s">
        <v>344</v>
      </c>
      <c r="F91" s="99"/>
      <c r="G91" s="99"/>
      <c r="H91" s="99"/>
    </row>
    <row r="92" spans="1:16" ht="15" customHeight="1" x14ac:dyDescent="0.35">
      <c r="A92" s="49"/>
      <c r="B92" s="99"/>
      <c r="C92" s="99"/>
      <c r="D92" s="99"/>
      <c r="E92" s="99"/>
      <c r="F92" s="126" t="s">
        <v>343</v>
      </c>
      <c r="G92" s="99"/>
      <c r="H92" s="99"/>
    </row>
    <row r="93" spans="1:16" ht="15" customHeight="1" x14ac:dyDescent="0.35">
      <c r="A93" s="49"/>
      <c r="B93" s="99"/>
      <c r="C93" s="128">
        <f>$C$46</f>
        <v>167.83271625980026</v>
      </c>
      <c r="D93" s="125">
        <f>E93-0.005</f>
        <v>4.7000000000000007E-2</v>
      </c>
      <c r="E93" s="125">
        <f>F93-0.005</f>
        <v>5.2000000000000005E-2</v>
      </c>
      <c r="F93" s="125">
        <v>5.7000000000000002E-2</v>
      </c>
      <c r="G93" s="125">
        <f>F93+0.005</f>
        <v>6.2E-2</v>
      </c>
      <c r="H93" s="125">
        <f>G93+0.005</f>
        <v>6.7000000000000004E-2</v>
      </c>
    </row>
    <row r="94" spans="1:16" ht="15" customHeight="1" x14ac:dyDescent="0.35">
      <c r="A94" s="49"/>
      <c r="B94" s="99"/>
      <c r="C94" s="1">
        <f>C95+1</f>
        <v>19</v>
      </c>
      <c r="D94" s="102">
        <f t="dataTable" ref="D94:H98" dt2D="1" dtr="1" r1="C21" r2="C31" ca="1"/>
        <v>211.57629012346891</v>
      </c>
      <c r="E94" s="102">
        <v>199.7533852297021</v>
      </c>
      <c r="F94" s="102">
        <v>188.50659482245021</v>
      </c>
      <c r="G94" s="102">
        <v>177.80476290468013</v>
      </c>
      <c r="H94" s="102">
        <v>167.6185667073247</v>
      </c>
    </row>
    <row r="95" spans="1:16" ht="15" customHeight="1" x14ac:dyDescent="0.35">
      <c r="A95" s="49"/>
      <c r="B95" s="127" t="s">
        <v>345</v>
      </c>
      <c r="C95" s="1">
        <f>C96+1</f>
        <v>18</v>
      </c>
      <c r="D95" s="102">
        <v>200.22565974289247</v>
      </c>
      <c r="E95" s="102">
        <v>188.93084023053208</v>
      </c>
      <c r="F95" s="102">
        <v>178.18523484092074</v>
      </c>
      <c r="G95" s="102">
        <v>167.95917552343749</v>
      </c>
      <c r="H95" s="102">
        <v>158.22473870418762</v>
      </c>
    </row>
    <row r="96" spans="1:16" ht="15" customHeight="1" x14ac:dyDescent="0.35">
      <c r="A96" s="49"/>
      <c r="B96" s="99"/>
      <c r="C96" s="1">
        <v>17</v>
      </c>
      <c r="D96" s="102">
        <v>188.8750293623161</v>
      </c>
      <c r="E96" s="102">
        <v>178.10829523136209</v>
      </c>
      <c r="F96" s="130">
        <v>167.86387485939133</v>
      </c>
      <c r="G96" s="102">
        <v>158.11358814219489</v>
      </c>
      <c r="H96" s="102">
        <v>148.83091070105053</v>
      </c>
    </row>
    <row r="97" spans="1:8" ht="15" customHeight="1" x14ac:dyDescent="0.35">
      <c r="A97" s="49"/>
      <c r="B97" s="99"/>
      <c r="C97" s="1">
        <f>C96-1</f>
        <v>16</v>
      </c>
      <c r="D97" s="102">
        <v>177.52439898173967</v>
      </c>
      <c r="E97" s="102">
        <v>167.28575023219204</v>
      </c>
      <c r="F97" s="102">
        <v>157.54251487786186</v>
      </c>
      <c r="G97" s="102">
        <v>148.26800076095222</v>
      </c>
      <c r="H97" s="102">
        <v>139.43708269791344</v>
      </c>
    </row>
    <row r="98" spans="1:8" ht="15" customHeight="1" x14ac:dyDescent="0.35">
      <c r="A98" s="49"/>
      <c r="B98" s="99"/>
      <c r="C98" s="1">
        <f>C97-1</f>
        <v>15</v>
      </c>
      <c r="D98" s="102">
        <v>166.17376860116329</v>
      </c>
      <c r="E98" s="102">
        <v>156.46320523302208</v>
      </c>
      <c r="F98" s="102">
        <v>147.22115489633245</v>
      </c>
      <c r="G98" s="102">
        <v>138.42241337970958</v>
      </c>
      <c r="H98" s="102">
        <v>130.04325469477635</v>
      </c>
    </row>
    <row r="99" spans="1:8" ht="15" customHeight="1" x14ac:dyDescent="0.35">
      <c r="A99" s="49"/>
      <c r="B99" s="99"/>
      <c r="C99" s="99"/>
      <c r="D99" s="99"/>
      <c r="E99" s="99"/>
      <c r="F99" s="99"/>
      <c r="G99" s="99"/>
      <c r="H99" s="99"/>
    </row>
    <row r="100" spans="1:8" ht="15" customHeight="1" x14ac:dyDescent="0.35">
      <c r="A100" s="49"/>
      <c r="B100" s="99"/>
      <c r="C100" s="99"/>
      <c r="D100" s="99"/>
      <c r="E100" s="126" t="s">
        <v>346</v>
      </c>
      <c r="F100" s="99"/>
      <c r="G100" s="99"/>
      <c r="H100" s="99"/>
    </row>
    <row r="101" spans="1:8" ht="15" customHeight="1" x14ac:dyDescent="0.35">
      <c r="A101" s="49"/>
      <c r="B101" s="99"/>
      <c r="C101" s="99"/>
      <c r="D101" s="99"/>
      <c r="E101" s="99"/>
      <c r="F101" s="126" t="s">
        <v>343</v>
      </c>
      <c r="G101" s="99"/>
      <c r="H101" s="99"/>
    </row>
    <row r="102" spans="1:8" ht="15" customHeight="1" x14ac:dyDescent="0.35">
      <c r="A102" s="49"/>
      <c r="B102" s="99"/>
      <c r="C102" s="128">
        <f>$I$46</f>
        <v>166.4522676221608</v>
      </c>
      <c r="D102" s="125">
        <f>E102-0.005</f>
        <v>4.7000000000000007E-2</v>
      </c>
      <c r="E102" s="125">
        <f>F102-0.005</f>
        <v>5.2000000000000005E-2</v>
      </c>
      <c r="F102" s="125">
        <v>5.7000000000000002E-2</v>
      </c>
      <c r="G102" s="125">
        <f>F102+0.005</f>
        <v>6.2E-2</v>
      </c>
      <c r="H102" s="125">
        <f>G102+0.005</f>
        <v>6.7000000000000004E-2</v>
      </c>
    </row>
    <row r="103" spans="1:8" ht="15" customHeight="1" x14ac:dyDescent="0.35">
      <c r="A103" s="49"/>
      <c r="B103" s="99"/>
      <c r="C103" s="129">
        <f>C104+0.25%</f>
        <v>2.7499999999999997E-2</v>
      </c>
      <c r="D103" s="102">
        <f t="dataTable" ref="D103:H107" dt2D="1" dtr="1" r1="C21" r2="I31" ca="1"/>
        <v>324.39572505530572</v>
      </c>
      <c r="E103" s="102">
        <v>243.41726359607409</v>
      </c>
      <c r="F103" s="102">
        <v>189.864404102207</v>
      </c>
      <c r="G103" s="102">
        <v>151.81390868231082</v>
      </c>
      <c r="H103" s="102">
        <v>123.37958143282988</v>
      </c>
    </row>
    <row r="104" spans="1:8" ht="15" customHeight="1" x14ac:dyDescent="0.35">
      <c r="A104" s="49"/>
      <c r="B104" s="99"/>
      <c r="C104" s="129">
        <f>C105+0.25%</f>
        <v>2.4999999999999998E-2</v>
      </c>
      <c r="D104" s="102">
        <v>287.12935899715779</v>
      </c>
      <c r="E104" s="102">
        <v>220.37564259920521</v>
      </c>
      <c r="F104" s="102">
        <v>174.46352308390809</v>
      </c>
      <c r="G104" s="102">
        <v>140.94444104751662</v>
      </c>
      <c r="H104" s="102">
        <v>115.39292825644671</v>
      </c>
    </row>
    <row r="105" spans="1:8" ht="15" customHeight="1" x14ac:dyDescent="0.35">
      <c r="A105" s="49"/>
      <c r="B105" s="127" t="s">
        <v>347</v>
      </c>
      <c r="C105" s="129">
        <v>2.2499999999999999E-2</v>
      </c>
      <c r="D105" s="102">
        <v>257.39346088374765</v>
      </c>
      <c r="E105" s="102">
        <v>201.17987554948547</v>
      </c>
      <c r="F105" s="130">
        <v>161.2461128760645</v>
      </c>
      <c r="G105" s="102">
        <v>131.4105226089959</v>
      </c>
      <c r="H105" s="102">
        <v>108.26969917133228</v>
      </c>
    </row>
    <row r="106" spans="1:8" ht="15" customHeight="1" x14ac:dyDescent="0.35">
      <c r="A106" s="49"/>
      <c r="B106" s="99"/>
      <c r="C106" s="129">
        <f>C105-0.25%</f>
        <v>0.02</v>
      </c>
      <c r="D106" s="102">
        <v>233.10603117145979</v>
      </c>
      <c r="E106" s="102">
        <v>184.93649664113124</v>
      </c>
      <c r="F106" s="102">
        <v>149.77610130165104</v>
      </c>
      <c r="G106" s="102">
        <v>122.97912938808076</v>
      </c>
      <c r="H106" s="102">
        <v>101.87674687431667</v>
      </c>
    </row>
    <row r="107" spans="1:8" ht="15" customHeight="1" x14ac:dyDescent="0.35">
      <c r="A107" s="49"/>
      <c r="B107" s="99"/>
      <c r="C107" s="129">
        <f>C106-0.25%</f>
        <v>1.7500000000000002E-2</v>
      </c>
      <c r="D107" s="102">
        <v>212.88918873352017</v>
      </c>
      <c r="E107" s="102">
        <v>171.00967104708727</v>
      </c>
      <c r="F107" s="102">
        <v>139.72669381526572</v>
      </c>
      <c r="G107" s="102">
        <v>115.46865625269618</v>
      </c>
      <c r="H107" s="102">
        <v>96.107015890924103</v>
      </c>
    </row>
    <row r="108" spans="1:8" ht="15" customHeight="1" x14ac:dyDescent="0.35">
      <c r="A108" s="49"/>
    </row>
    <row r="109" spans="1:8" ht="15" customHeight="1" x14ac:dyDescent="0.35">
      <c r="A109" s="49"/>
    </row>
    <row r="110" spans="1:8" ht="15" customHeight="1" x14ac:dyDescent="0.35">
      <c r="A110" s="49"/>
    </row>
    <row r="111" spans="1:8" ht="15" customHeight="1" x14ac:dyDescent="0.35">
      <c r="A111" s="49"/>
    </row>
    <row r="112" spans="1:8" ht="15" customHeight="1" x14ac:dyDescent="0.35">
      <c r="A112" s="49"/>
    </row>
    <row r="113" spans="1:1" ht="15" customHeight="1" x14ac:dyDescent="0.35">
      <c r="A113" s="49"/>
    </row>
    <row r="114" spans="1:1" ht="15" customHeight="1" x14ac:dyDescent="0.35">
      <c r="A114" s="49"/>
    </row>
    <row r="115" spans="1:1" ht="15" customHeight="1" x14ac:dyDescent="0.35">
      <c r="A115" s="49"/>
    </row>
    <row r="116" spans="1:1" ht="15" customHeight="1" x14ac:dyDescent="0.35">
      <c r="A116" s="49"/>
    </row>
    <row r="117" spans="1:1" ht="15" customHeight="1" x14ac:dyDescent="0.35">
      <c r="A117" s="49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11</vt:i4>
      </vt:variant>
    </vt:vector>
  </HeadingPairs>
  <TitlesOfParts>
    <vt:vector size="18" baseType="lpstr">
      <vt:lpstr>Welcome</vt:lpstr>
      <vt:lpstr>Info</vt:lpstr>
      <vt:lpstr>Calculations</vt:lpstr>
      <vt:lpstr>Financing</vt:lpstr>
      <vt:lpstr>OpModel</vt:lpstr>
      <vt:lpstr>NAV</vt:lpstr>
      <vt:lpstr>DCF</vt:lpstr>
      <vt:lpstr>basic_shares</vt:lpstr>
      <vt:lpstr>Debt_Fund</vt:lpstr>
      <vt:lpstr>diluted_shares</vt:lpstr>
      <vt:lpstr>Equity_Fund</vt:lpstr>
      <vt:lpstr>Ke</vt:lpstr>
      <vt:lpstr>Reserve_rate</vt:lpstr>
      <vt:lpstr>Share_Price</vt:lpstr>
      <vt:lpstr>Switch</vt:lpstr>
      <vt:lpstr>TermMult</vt:lpstr>
      <vt:lpstr>Tg</vt:lpstr>
      <vt:lpstr>wacc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Cordone</dc:creator>
  <cp:lastModifiedBy>Chris Cordone</cp:lastModifiedBy>
  <cp:lastPrinted>2016-02-04T14:08:33Z</cp:lastPrinted>
  <dcterms:created xsi:type="dcterms:W3CDTF">2016-02-03T14:06:14Z</dcterms:created>
  <dcterms:modified xsi:type="dcterms:W3CDTF">2019-10-08T04:52:16Z</dcterms:modified>
</cp:coreProperties>
</file>