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20 Interest - Capex Facility, Interest Income\"/>
    </mc:Choice>
  </mc:AlternateContent>
  <xr:revisionPtr revIDLastSave="0" documentId="13_ncr:1_{6152D8B5-9478-4E23-B4F2-74BBDB0BCB23}" xr6:coauthVersionLast="45" xr6:coauthVersionMax="45" xr10:uidLastSave="{00000000-0000-0000-0000-000000000000}"/>
  <bookViews>
    <workbookView xWindow="-108" yWindow="-108" windowWidth="23256" windowHeight="14160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7" i="13" l="1"/>
  <c r="I147" i="13"/>
  <c r="I153" i="13"/>
  <c r="J152" i="13"/>
  <c r="K152" i="13"/>
  <c r="L152" i="13"/>
  <c r="M152" i="13"/>
  <c r="N152" i="13"/>
  <c r="O152" i="13"/>
  <c r="P152" i="13"/>
  <c r="Q152" i="13"/>
  <c r="R152" i="13"/>
  <c r="S152" i="13"/>
  <c r="T152" i="13"/>
  <c r="I152" i="13"/>
  <c r="I143" i="13"/>
  <c r="J142" i="13"/>
  <c r="K142" i="13"/>
  <c r="L142" i="13"/>
  <c r="L143" i="13" s="1"/>
  <c r="M142" i="13"/>
  <c r="M143" i="13" s="1"/>
  <c r="N142" i="13"/>
  <c r="O142" i="13"/>
  <c r="P142" i="13"/>
  <c r="P143" i="13" s="1"/>
  <c r="Q142" i="13"/>
  <c r="Q143" i="13" s="1"/>
  <c r="R142" i="13"/>
  <c r="S142" i="13"/>
  <c r="T142" i="13"/>
  <c r="T143" i="13" s="1"/>
  <c r="J143" i="13"/>
  <c r="K143" i="13"/>
  <c r="N143" i="13"/>
  <c r="O143" i="13"/>
  <c r="R143" i="13"/>
  <c r="S143" i="13"/>
  <c r="I142" i="13"/>
  <c r="J131" i="13"/>
  <c r="K131" i="13"/>
  <c r="L131" i="13"/>
  <c r="M131" i="13"/>
  <c r="M133" i="13" s="1"/>
  <c r="N131" i="13"/>
  <c r="O131" i="13"/>
  <c r="P131" i="13"/>
  <c r="Q131" i="13"/>
  <c r="Q133" i="13" s="1"/>
  <c r="R131" i="13"/>
  <c r="S131" i="13"/>
  <c r="T131" i="13"/>
  <c r="J132" i="13"/>
  <c r="J133" i="13" s="1"/>
  <c r="K132" i="13"/>
  <c r="L132" i="13"/>
  <c r="M132" i="13"/>
  <c r="N132" i="13"/>
  <c r="N133" i="13" s="1"/>
  <c r="O132" i="13"/>
  <c r="P132" i="13"/>
  <c r="Q132" i="13"/>
  <c r="R132" i="13"/>
  <c r="R133" i="13" s="1"/>
  <c r="S132" i="13"/>
  <c r="T132" i="13"/>
  <c r="K133" i="13"/>
  <c r="L133" i="13"/>
  <c r="O133" i="13"/>
  <c r="P133" i="13"/>
  <c r="S133" i="13"/>
  <c r="T133" i="13"/>
  <c r="I133" i="13"/>
  <c r="I132" i="13"/>
  <c r="I131" i="13"/>
  <c r="J207" i="13" l="1"/>
  <c r="K207" i="13"/>
  <c r="L207" i="13"/>
  <c r="M207" i="13"/>
  <c r="N207" i="13"/>
  <c r="O207" i="13"/>
  <c r="P207" i="13"/>
  <c r="Q207" i="13"/>
  <c r="R207" i="13"/>
  <c r="S207" i="13"/>
  <c r="T207" i="13"/>
  <c r="J180" i="13" l="1"/>
  <c r="K180" i="13"/>
  <c r="L180" i="13"/>
  <c r="M180" i="13"/>
  <c r="N180" i="13"/>
  <c r="O180" i="13"/>
  <c r="P180" i="13"/>
  <c r="Q180" i="13"/>
  <c r="R180" i="13"/>
  <c r="S180" i="13"/>
  <c r="T180" i="13"/>
  <c r="I180" i="13"/>
  <c r="J117" i="13"/>
  <c r="K117" i="13"/>
  <c r="L117" i="13"/>
  <c r="M117" i="13"/>
  <c r="M119" i="13" s="1"/>
  <c r="N117" i="13"/>
  <c r="O117" i="13"/>
  <c r="P117" i="13"/>
  <c r="Q117" i="13"/>
  <c r="Q119" i="13" s="1"/>
  <c r="R117" i="13"/>
  <c r="S117" i="13"/>
  <c r="T117" i="13"/>
  <c r="J118" i="13"/>
  <c r="J119" i="13" s="1"/>
  <c r="K118" i="13"/>
  <c r="L118" i="13"/>
  <c r="M118" i="13"/>
  <c r="N118" i="13"/>
  <c r="N119" i="13" s="1"/>
  <c r="O118" i="13"/>
  <c r="P118" i="13"/>
  <c r="Q118" i="13"/>
  <c r="R118" i="13"/>
  <c r="R119" i="13" s="1"/>
  <c r="S118" i="13"/>
  <c r="T118" i="13"/>
  <c r="K119" i="13"/>
  <c r="L119" i="13"/>
  <c r="O119" i="13"/>
  <c r="P119" i="13"/>
  <c r="S119" i="13"/>
  <c r="T119" i="13"/>
  <c r="I119" i="13"/>
  <c r="I118" i="13"/>
  <c r="I117" i="13"/>
  <c r="J86" i="13"/>
  <c r="K86" i="13"/>
  <c r="L86" i="13"/>
  <c r="L87" i="13" s="1"/>
  <c r="M86" i="13"/>
  <c r="N86" i="13"/>
  <c r="N87" i="13" s="1"/>
  <c r="O86" i="13"/>
  <c r="P86" i="13"/>
  <c r="P87" i="13" s="1"/>
  <c r="Q86" i="13"/>
  <c r="R86" i="13"/>
  <c r="R87" i="13" s="1"/>
  <c r="S86" i="13"/>
  <c r="T86" i="13"/>
  <c r="T87" i="13" s="1"/>
  <c r="I86" i="13"/>
  <c r="I87" i="13" s="1"/>
  <c r="K85" i="13"/>
  <c r="L85" i="13"/>
  <c r="M85" i="13"/>
  <c r="N85" i="13"/>
  <c r="O85" i="13"/>
  <c r="P85" i="13"/>
  <c r="Q85" i="13"/>
  <c r="R85" i="13"/>
  <c r="S85" i="13"/>
  <c r="T85" i="13"/>
  <c r="M87" i="13"/>
  <c r="Q87" i="13"/>
  <c r="K87" i="13"/>
  <c r="O87" i="13"/>
  <c r="S87" i="13"/>
  <c r="J85" i="13"/>
  <c r="J87" i="13" s="1"/>
  <c r="I85" i="13"/>
  <c r="J68" i="13"/>
  <c r="K68" i="13"/>
  <c r="K71" i="13" s="1"/>
  <c r="L68" i="13"/>
  <c r="M68" i="13"/>
  <c r="N68" i="13"/>
  <c r="O68" i="13"/>
  <c r="O71" i="13" s="1"/>
  <c r="P68" i="13"/>
  <c r="Q68" i="13"/>
  <c r="R68" i="13"/>
  <c r="S68" i="13"/>
  <c r="S71" i="13" s="1"/>
  <c r="T68" i="13"/>
  <c r="J69" i="13"/>
  <c r="K69" i="13"/>
  <c r="L69" i="13"/>
  <c r="M69" i="13"/>
  <c r="N69" i="13"/>
  <c r="O69" i="13"/>
  <c r="P69" i="13"/>
  <c r="Q69" i="13"/>
  <c r="R69" i="13"/>
  <c r="S69" i="13"/>
  <c r="T69" i="13"/>
  <c r="J70" i="13"/>
  <c r="K70" i="13"/>
  <c r="L70" i="13"/>
  <c r="L71" i="13" s="1"/>
  <c r="M70" i="13"/>
  <c r="N70" i="13"/>
  <c r="O70" i="13"/>
  <c r="P70" i="13"/>
  <c r="P71" i="13" s="1"/>
  <c r="Q70" i="13"/>
  <c r="R70" i="13"/>
  <c r="S70" i="13"/>
  <c r="T70" i="13"/>
  <c r="T71" i="13" s="1"/>
  <c r="J71" i="13"/>
  <c r="M71" i="13"/>
  <c r="N71" i="13"/>
  <c r="Q71" i="13"/>
  <c r="R71" i="13"/>
  <c r="J73" i="13"/>
  <c r="K73" i="13"/>
  <c r="L73" i="13"/>
  <c r="M73" i="13"/>
  <c r="N73" i="13"/>
  <c r="O73" i="13"/>
  <c r="P73" i="13"/>
  <c r="Q73" i="13"/>
  <c r="R73" i="13"/>
  <c r="S73" i="13"/>
  <c r="T73" i="13"/>
  <c r="I73" i="13"/>
  <c r="I71" i="13"/>
  <c r="I70" i="13"/>
  <c r="I69" i="13"/>
  <c r="I68" i="13"/>
  <c r="K71" i="7" l="1"/>
  <c r="L71" i="7" s="1"/>
  <c r="M71" i="7" s="1"/>
  <c r="N71" i="7" s="1"/>
  <c r="O71" i="7" s="1"/>
  <c r="P71" i="7" s="1"/>
  <c r="Q71" i="7" s="1"/>
  <c r="R71" i="7" s="1"/>
  <c r="S71" i="7" s="1"/>
  <c r="T71" i="7" s="1"/>
  <c r="K73" i="7"/>
  <c r="L73" i="7"/>
  <c r="M73" i="7"/>
  <c r="N73" i="7"/>
  <c r="O73" i="7"/>
  <c r="P73" i="7"/>
  <c r="Q73" i="7"/>
  <c r="R73" i="7"/>
  <c r="S73" i="7"/>
  <c r="T73" i="7"/>
  <c r="K76" i="7"/>
  <c r="L76" i="7"/>
  <c r="M76" i="7"/>
  <c r="N76" i="7"/>
  <c r="O76" i="7"/>
  <c r="P76" i="7"/>
  <c r="Q76" i="7"/>
  <c r="R76" i="7"/>
  <c r="S76" i="7"/>
  <c r="T76" i="7"/>
  <c r="K78" i="7"/>
  <c r="L78" i="7"/>
  <c r="M78" i="7"/>
  <c r="N78" i="7"/>
  <c r="O78" i="7"/>
  <c r="P78" i="7"/>
  <c r="Q78" i="7"/>
  <c r="R78" i="7"/>
  <c r="S78" i="7"/>
  <c r="T78" i="7"/>
  <c r="J78" i="7"/>
  <c r="J73" i="7"/>
  <c r="J76" i="7"/>
  <c r="J71" i="7"/>
  <c r="I84" i="8"/>
  <c r="I79" i="8"/>
  <c r="I82" i="8"/>
  <c r="J183" i="13" l="1"/>
  <c r="K183" i="13"/>
  <c r="L183" i="13"/>
  <c r="M183" i="13"/>
  <c r="N183" i="13"/>
  <c r="O183" i="13"/>
  <c r="P183" i="13"/>
  <c r="Q183" i="13"/>
  <c r="R183" i="13"/>
  <c r="S183" i="13"/>
  <c r="T183" i="13"/>
  <c r="J188" i="13"/>
  <c r="K188" i="13"/>
  <c r="L188" i="13"/>
  <c r="M188" i="13"/>
  <c r="N188" i="13"/>
  <c r="O188" i="13"/>
  <c r="P188" i="13"/>
  <c r="Q188" i="13"/>
  <c r="R188" i="13"/>
  <c r="S188" i="13"/>
  <c r="T188" i="13"/>
  <c r="J189" i="13"/>
  <c r="K189" i="13"/>
  <c r="L189" i="13"/>
  <c r="M189" i="13"/>
  <c r="N189" i="13"/>
  <c r="O189" i="13"/>
  <c r="P189" i="13"/>
  <c r="Q189" i="13"/>
  <c r="R189" i="13"/>
  <c r="S189" i="13"/>
  <c r="T189" i="13"/>
  <c r="J195" i="13"/>
  <c r="K195" i="13"/>
  <c r="L195" i="13"/>
  <c r="M195" i="13"/>
  <c r="N195" i="13"/>
  <c r="O195" i="13"/>
  <c r="P195" i="13"/>
  <c r="Q195" i="13"/>
  <c r="R195" i="13"/>
  <c r="S195" i="13"/>
  <c r="T195" i="13"/>
  <c r="I204" i="13"/>
  <c r="H208" i="13"/>
  <c r="I207" i="13"/>
  <c r="I198" i="13"/>
  <c r="H200" i="13"/>
  <c r="I195" i="13"/>
  <c r="I188" i="13"/>
  <c r="I183" i="13"/>
  <c r="J156" i="13" l="1"/>
  <c r="J157" i="13"/>
  <c r="K157" i="13"/>
  <c r="L157" i="13"/>
  <c r="M157" i="13"/>
  <c r="N157" i="13"/>
  <c r="O157" i="13"/>
  <c r="P157" i="13"/>
  <c r="Q157" i="13"/>
  <c r="R157" i="13"/>
  <c r="S157" i="13"/>
  <c r="T157" i="13"/>
  <c r="K173" i="13"/>
  <c r="K174" i="13"/>
  <c r="K175" i="13"/>
  <c r="L173" i="13" s="1"/>
  <c r="J174" i="13"/>
  <c r="J175" i="13" s="1"/>
  <c r="J173" i="13"/>
  <c r="I175" i="13"/>
  <c r="I174" i="13"/>
  <c r="I173" i="13"/>
  <c r="H175" i="13"/>
  <c r="I160" i="13"/>
  <c r="I159" i="13"/>
  <c r="I158" i="13"/>
  <c r="I157" i="13"/>
  <c r="I156" i="13"/>
  <c r="H160" i="13"/>
  <c r="H159" i="13"/>
  <c r="I148" i="13"/>
  <c r="I149" i="13" s="1"/>
  <c r="I146" i="13"/>
  <c r="H149" i="13"/>
  <c r="I184" i="13" l="1"/>
  <c r="I83" i="8" s="1"/>
  <c r="J146" i="13"/>
  <c r="J158" i="13"/>
  <c r="J159" i="13" s="1"/>
  <c r="L174" i="13"/>
  <c r="L175" i="13" s="1"/>
  <c r="M173" i="13" s="1"/>
  <c r="H139" i="13"/>
  <c r="I137" i="13" s="1"/>
  <c r="H128" i="13"/>
  <c r="H114" i="13"/>
  <c r="I111" i="13" s="1"/>
  <c r="I112" i="13" s="1"/>
  <c r="J153" i="13" l="1"/>
  <c r="J148" i="13"/>
  <c r="J149" i="13" s="1"/>
  <c r="J160" i="13"/>
  <c r="K156" i="13"/>
  <c r="M174" i="13"/>
  <c r="M175" i="13"/>
  <c r="N173" i="13" s="1"/>
  <c r="M138" i="13"/>
  <c r="Q138" i="13"/>
  <c r="I139" i="13"/>
  <c r="J137" i="13" s="1"/>
  <c r="O138" i="13"/>
  <c r="S138" i="13"/>
  <c r="P138" i="13"/>
  <c r="J138" i="13"/>
  <c r="N138" i="13"/>
  <c r="R138" i="13"/>
  <c r="I138" i="13"/>
  <c r="L138" i="13"/>
  <c r="T138" i="13"/>
  <c r="K138" i="13"/>
  <c r="I125" i="13"/>
  <c r="I126" i="13" s="1"/>
  <c r="J139" i="13"/>
  <c r="K137" i="13" s="1"/>
  <c r="K139" i="13" s="1"/>
  <c r="L137" i="13" s="1"/>
  <c r="L139" i="13" s="1"/>
  <c r="M137" i="13" s="1"/>
  <c r="M139" i="13" s="1"/>
  <c r="N137" i="13" s="1"/>
  <c r="I4" i="13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K146" i="13" l="1"/>
  <c r="J184" i="13"/>
  <c r="J77" i="7" s="1"/>
  <c r="K158" i="13"/>
  <c r="K159" i="13" s="1"/>
  <c r="N174" i="13"/>
  <c r="N175" i="13"/>
  <c r="O173" i="13" s="1"/>
  <c r="N139" i="13"/>
  <c r="O137" i="13" s="1"/>
  <c r="O139" i="13" s="1"/>
  <c r="P137" i="13" s="1"/>
  <c r="P139" i="13" s="1"/>
  <c r="Q137" i="13" s="1"/>
  <c r="Q139" i="13" s="1"/>
  <c r="R137" i="13" s="1"/>
  <c r="R139" i="13" s="1"/>
  <c r="S137" i="13" s="1"/>
  <c r="S139" i="13" s="1"/>
  <c r="T137" i="13" s="1"/>
  <c r="T139" i="13" s="1"/>
  <c r="K96" i="13"/>
  <c r="L96" i="13"/>
  <c r="M96" i="13"/>
  <c r="N96" i="13"/>
  <c r="O96" i="13"/>
  <c r="P96" i="13"/>
  <c r="Q96" i="13"/>
  <c r="R96" i="13"/>
  <c r="S96" i="13"/>
  <c r="T96" i="13"/>
  <c r="J96" i="13"/>
  <c r="I96" i="13"/>
  <c r="I93" i="13"/>
  <c r="K153" i="13" l="1"/>
  <c r="K147" i="13" s="1"/>
  <c r="K148" i="13" s="1"/>
  <c r="K160" i="13"/>
  <c r="L156" i="13"/>
  <c r="O174" i="13"/>
  <c r="O175" i="13" s="1"/>
  <c r="P173" i="13" s="1"/>
  <c r="H82" i="13"/>
  <c r="I80" i="13" s="1"/>
  <c r="H64" i="13"/>
  <c r="H65" i="13" s="1"/>
  <c r="K149" i="13" l="1"/>
  <c r="L146" i="13"/>
  <c r="K184" i="13"/>
  <c r="K77" i="7" s="1"/>
  <c r="L158" i="13"/>
  <c r="L159" i="13"/>
  <c r="P174" i="13"/>
  <c r="P175" i="13" s="1"/>
  <c r="Q173" i="13" s="1"/>
  <c r="I61" i="13"/>
  <c r="J38" i="13"/>
  <c r="K38" i="13"/>
  <c r="L38" i="13"/>
  <c r="M38" i="13"/>
  <c r="N38" i="13"/>
  <c r="O38" i="13"/>
  <c r="P38" i="13"/>
  <c r="Q38" i="13"/>
  <c r="R38" i="13"/>
  <c r="S38" i="13"/>
  <c r="T38" i="13"/>
  <c r="J41" i="13"/>
  <c r="K41" i="13"/>
  <c r="L41" i="13"/>
  <c r="M41" i="13"/>
  <c r="N41" i="13"/>
  <c r="O41" i="13"/>
  <c r="P41" i="13"/>
  <c r="Q41" i="13"/>
  <c r="R41" i="13"/>
  <c r="S41" i="13"/>
  <c r="T41" i="13"/>
  <c r="J47" i="13"/>
  <c r="K47" i="13"/>
  <c r="L47" i="13"/>
  <c r="J50" i="13"/>
  <c r="K50" i="13"/>
  <c r="L50" i="13"/>
  <c r="M50" i="13"/>
  <c r="N50" i="13"/>
  <c r="O50" i="13"/>
  <c r="P50" i="13"/>
  <c r="Q50" i="13"/>
  <c r="R50" i="13"/>
  <c r="S50" i="13"/>
  <c r="T50" i="13"/>
  <c r="J51" i="13"/>
  <c r="K51" i="13"/>
  <c r="J57" i="13"/>
  <c r="K57" i="13"/>
  <c r="L57" i="13"/>
  <c r="M57" i="13"/>
  <c r="N57" i="13"/>
  <c r="O57" i="13"/>
  <c r="P57" i="13"/>
  <c r="Q57" i="13"/>
  <c r="R57" i="13"/>
  <c r="S57" i="13"/>
  <c r="T57" i="13"/>
  <c r="I57" i="13"/>
  <c r="I55" i="13"/>
  <c r="I51" i="13"/>
  <c r="I50" i="13"/>
  <c r="I49" i="13"/>
  <c r="I48" i="13"/>
  <c r="I47" i="13"/>
  <c r="I41" i="13"/>
  <c r="I38" i="13"/>
  <c r="J24" i="13"/>
  <c r="J33" i="13" s="1"/>
  <c r="K24" i="13"/>
  <c r="L24" i="13"/>
  <c r="M24" i="13"/>
  <c r="N24" i="13"/>
  <c r="O24" i="13"/>
  <c r="P24" i="13"/>
  <c r="Q24" i="13"/>
  <c r="R24" i="13"/>
  <c r="S24" i="13"/>
  <c r="T24" i="13"/>
  <c r="J25" i="13"/>
  <c r="K25" i="13"/>
  <c r="L25" i="13"/>
  <c r="M25" i="13"/>
  <c r="N25" i="13"/>
  <c r="O25" i="13"/>
  <c r="P25" i="13"/>
  <c r="Q25" i="13"/>
  <c r="R25" i="13"/>
  <c r="S25" i="13"/>
  <c r="T25" i="13"/>
  <c r="J26" i="13"/>
  <c r="K26" i="13"/>
  <c r="L26" i="13"/>
  <c r="M26" i="13"/>
  <c r="N26" i="13"/>
  <c r="O26" i="13"/>
  <c r="P26" i="13"/>
  <c r="Q26" i="13"/>
  <c r="R26" i="13"/>
  <c r="S26" i="13"/>
  <c r="T26" i="13"/>
  <c r="J27" i="13"/>
  <c r="K27" i="13"/>
  <c r="L27" i="13"/>
  <c r="M27" i="13"/>
  <c r="N27" i="13"/>
  <c r="O27" i="13"/>
  <c r="P27" i="13"/>
  <c r="Q27" i="13"/>
  <c r="R27" i="13"/>
  <c r="S27" i="13"/>
  <c r="T27" i="13"/>
  <c r="J28" i="13"/>
  <c r="K28" i="13"/>
  <c r="L28" i="13"/>
  <c r="M28" i="13"/>
  <c r="N28" i="13"/>
  <c r="O28" i="13"/>
  <c r="P28" i="13"/>
  <c r="Q28" i="13"/>
  <c r="R28" i="13"/>
  <c r="S28" i="13"/>
  <c r="T28" i="13"/>
  <c r="J29" i="13"/>
  <c r="K29" i="13"/>
  <c r="L29" i="13"/>
  <c r="M29" i="13"/>
  <c r="N29" i="13"/>
  <c r="O29" i="13"/>
  <c r="P29" i="13"/>
  <c r="Q29" i="13"/>
  <c r="R29" i="13"/>
  <c r="S29" i="13"/>
  <c r="T29" i="13"/>
  <c r="J30" i="13"/>
  <c r="K30" i="13"/>
  <c r="L30" i="13"/>
  <c r="M30" i="13"/>
  <c r="N30" i="13"/>
  <c r="O30" i="13"/>
  <c r="P30" i="13"/>
  <c r="Q30" i="13"/>
  <c r="R30" i="13"/>
  <c r="S30" i="13"/>
  <c r="T30" i="13"/>
  <c r="J31" i="13"/>
  <c r="K31" i="13"/>
  <c r="L31" i="13"/>
  <c r="M31" i="13"/>
  <c r="N31" i="13"/>
  <c r="O31" i="13"/>
  <c r="P31" i="13"/>
  <c r="Q31" i="13"/>
  <c r="R31" i="13"/>
  <c r="S31" i="13"/>
  <c r="T31" i="13"/>
  <c r="J32" i="13"/>
  <c r="K32" i="13"/>
  <c r="L32" i="13"/>
  <c r="M32" i="13"/>
  <c r="N32" i="13"/>
  <c r="O32" i="13"/>
  <c r="P32" i="13"/>
  <c r="Q32" i="13"/>
  <c r="R32" i="13"/>
  <c r="S32" i="13"/>
  <c r="T32" i="13"/>
  <c r="I32" i="13"/>
  <c r="I27" i="13"/>
  <c r="I28" i="13"/>
  <c r="I29" i="13"/>
  <c r="I30" i="13"/>
  <c r="I31" i="13"/>
  <c r="I26" i="13"/>
  <c r="I25" i="13"/>
  <c r="I24" i="13"/>
  <c r="I33" i="13" s="1"/>
  <c r="L153" i="13" l="1"/>
  <c r="L147" i="13" s="1"/>
  <c r="L148" i="13"/>
  <c r="L160" i="13"/>
  <c r="M156" i="13"/>
  <c r="Q174" i="13"/>
  <c r="Q175" i="13" s="1"/>
  <c r="R173" i="13" s="1"/>
  <c r="R33" i="13"/>
  <c r="N33" i="13"/>
  <c r="L33" i="13"/>
  <c r="K33" i="13"/>
  <c r="Q33" i="13"/>
  <c r="T33" i="13"/>
  <c r="O33" i="13"/>
  <c r="P33" i="13"/>
  <c r="S33" i="13"/>
  <c r="M33" i="13"/>
  <c r="I52" i="13"/>
  <c r="K56" i="7"/>
  <c r="L56" i="7"/>
  <c r="M100" i="7" s="1"/>
  <c r="M56" i="7"/>
  <c r="N56" i="7"/>
  <c r="O56" i="7"/>
  <c r="P56" i="7"/>
  <c r="Q100" i="7" s="1"/>
  <c r="Q56" i="7"/>
  <c r="R56" i="7"/>
  <c r="S56" i="7"/>
  <c r="T56" i="7"/>
  <c r="K57" i="7"/>
  <c r="L57" i="7"/>
  <c r="M57" i="7"/>
  <c r="N57" i="7"/>
  <c r="O101" i="7" s="1"/>
  <c r="O57" i="7"/>
  <c r="P57" i="7"/>
  <c r="Q57" i="7"/>
  <c r="R57" i="7"/>
  <c r="S101" i="7" s="1"/>
  <c r="S57" i="7"/>
  <c r="T57" i="7"/>
  <c r="K60" i="7"/>
  <c r="L60" i="7"/>
  <c r="M60" i="7"/>
  <c r="N60" i="7"/>
  <c r="O60" i="7"/>
  <c r="P60" i="7"/>
  <c r="Q60" i="7"/>
  <c r="R60" i="7"/>
  <c r="S60" i="7"/>
  <c r="T60" i="7"/>
  <c r="K61" i="7"/>
  <c r="L61" i="7"/>
  <c r="M61" i="7"/>
  <c r="N61" i="7"/>
  <c r="O61" i="7"/>
  <c r="P61" i="7"/>
  <c r="Q61" i="7"/>
  <c r="R61" i="7"/>
  <c r="S61" i="7"/>
  <c r="T61" i="7"/>
  <c r="K62" i="7"/>
  <c r="L62" i="7" s="1"/>
  <c r="M62" i="7" s="1"/>
  <c r="K63" i="7"/>
  <c r="L63" i="7"/>
  <c r="M98" i="7" s="1"/>
  <c r="M63" i="7"/>
  <c r="N63" i="7"/>
  <c r="O63" i="7"/>
  <c r="P63" i="7"/>
  <c r="Q98" i="7" s="1"/>
  <c r="Q63" i="7"/>
  <c r="R63" i="7"/>
  <c r="S63" i="7"/>
  <c r="T63" i="7"/>
  <c r="K67" i="7"/>
  <c r="L67" i="7"/>
  <c r="M102" i="7" s="1"/>
  <c r="M67" i="7"/>
  <c r="N67" i="7"/>
  <c r="O67" i="7"/>
  <c r="P67" i="7"/>
  <c r="Q102" i="7" s="1"/>
  <c r="Q67" i="7"/>
  <c r="R67" i="7"/>
  <c r="S67" i="7"/>
  <c r="T67" i="7"/>
  <c r="K68" i="7"/>
  <c r="L68" i="7"/>
  <c r="M68" i="7"/>
  <c r="N68" i="7"/>
  <c r="O103" i="7" s="1"/>
  <c r="O68" i="7"/>
  <c r="P68" i="7"/>
  <c r="Q68" i="7"/>
  <c r="R68" i="7"/>
  <c r="S103" i="7" s="1"/>
  <c r="S68" i="7"/>
  <c r="T68" i="7"/>
  <c r="K79" i="7"/>
  <c r="L79" i="7"/>
  <c r="M79" i="7" s="1"/>
  <c r="K82" i="7"/>
  <c r="L82" i="7"/>
  <c r="M82" i="7"/>
  <c r="N82" i="7"/>
  <c r="O82" i="7"/>
  <c r="P82" i="7"/>
  <c r="Q82" i="7"/>
  <c r="R82" i="7"/>
  <c r="S82" i="7"/>
  <c r="T82" i="7"/>
  <c r="K88" i="7"/>
  <c r="L88" i="7"/>
  <c r="M88" i="7"/>
  <c r="N88" i="7"/>
  <c r="O88" i="7"/>
  <c r="P88" i="7"/>
  <c r="Q88" i="7"/>
  <c r="R88" i="7"/>
  <c r="S88" i="7"/>
  <c r="T88" i="7"/>
  <c r="K89" i="7"/>
  <c r="L89" i="7"/>
  <c r="M89" i="7"/>
  <c r="N89" i="7"/>
  <c r="O89" i="7"/>
  <c r="P89" i="7"/>
  <c r="Q89" i="7"/>
  <c r="R89" i="7"/>
  <c r="S89" i="7"/>
  <c r="T89" i="7"/>
  <c r="K90" i="7"/>
  <c r="L90" i="7"/>
  <c r="M90" i="7"/>
  <c r="N90" i="7"/>
  <c r="O90" i="7"/>
  <c r="P90" i="7"/>
  <c r="Q90" i="7"/>
  <c r="R90" i="7"/>
  <c r="S90" i="7"/>
  <c r="T90" i="7"/>
  <c r="K91" i="7"/>
  <c r="L91" i="7"/>
  <c r="M91" i="7"/>
  <c r="N91" i="7"/>
  <c r="O91" i="7"/>
  <c r="P91" i="7"/>
  <c r="Q91" i="7"/>
  <c r="R91" i="7"/>
  <c r="S91" i="7"/>
  <c r="T91" i="7"/>
  <c r="K92" i="7"/>
  <c r="L92" i="7"/>
  <c r="M92" i="7"/>
  <c r="N92" i="7"/>
  <c r="O92" i="7"/>
  <c r="P92" i="7"/>
  <c r="Q92" i="7"/>
  <c r="R92" i="7"/>
  <c r="S92" i="7"/>
  <c r="T92" i="7"/>
  <c r="K93" i="7"/>
  <c r="L93" i="7"/>
  <c r="M93" i="7"/>
  <c r="N93" i="7"/>
  <c r="O93" i="7"/>
  <c r="P93" i="7"/>
  <c r="Q93" i="7"/>
  <c r="R93" i="7"/>
  <c r="S93" i="7"/>
  <c r="T93" i="7"/>
  <c r="K94" i="7"/>
  <c r="L94" i="7"/>
  <c r="M94" i="7"/>
  <c r="N94" i="7"/>
  <c r="O94" i="7"/>
  <c r="P94" i="7"/>
  <c r="Q94" i="7"/>
  <c r="R94" i="7"/>
  <c r="S94" i="7"/>
  <c r="T94" i="7"/>
  <c r="K95" i="7"/>
  <c r="L95" i="7"/>
  <c r="M95" i="7"/>
  <c r="N95" i="7"/>
  <c r="O95" i="7"/>
  <c r="P95" i="7"/>
  <c r="Q95" i="7"/>
  <c r="R95" i="7"/>
  <c r="S95" i="7"/>
  <c r="T95" i="7"/>
  <c r="K96" i="7"/>
  <c r="L96" i="7"/>
  <c r="M96" i="7"/>
  <c r="N96" i="7"/>
  <c r="O96" i="7"/>
  <c r="P96" i="7"/>
  <c r="Q96" i="7"/>
  <c r="R96" i="7"/>
  <c r="S96" i="7"/>
  <c r="T96" i="7"/>
  <c r="K97" i="7"/>
  <c r="L97" i="7"/>
  <c r="M97" i="7"/>
  <c r="N97" i="7"/>
  <c r="O97" i="7"/>
  <c r="P97" i="7"/>
  <c r="Q97" i="7"/>
  <c r="R97" i="7"/>
  <c r="S97" i="7"/>
  <c r="T97" i="7"/>
  <c r="K98" i="7"/>
  <c r="L98" i="7"/>
  <c r="N98" i="7"/>
  <c r="O98" i="7"/>
  <c r="P98" i="7"/>
  <c r="R98" i="7"/>
  <c r="S98" i="7"/>
  <c r="T98" i="7"/>
  <c r="K99" i="7"/>
  <c r="L99" i="7"/>
  <c r="K100" i="7"/>
  <c r="L100" i="7"/>
  <c r="N100" i="7"/>
  <c r="O100" i="7"/>
  <c r="P100" i="7"/>
  <c r="R100" i="7"/>
  <c r="S100" i="7"/>
  <c r="T100" i="7"/>
  <c r="K101" i="7"/>
  <c r="L101" i="7"/>
  <c r="M101" i="7"/>
  <c r="N101" i="7"/>
  <c r="P101" i="7"/>
  <c r="Q101" i="7"/>
  <c r="R101" i="7"/>
  <c r="T101" i="7"/>
  <c r="K102" i="7"/>
  <c r="L102" i="7"/>
  <c r="N102" i="7"/>
  <c r="O102" i="7"/>
  <c r="P102" i="7"/>
  <c r="R102" i="7"/>
  <c r="S102" i="7"/>
  <c r="T102" i="7"/>
  <c r="K103" i="7"/>
  <c r="L103" i="7"/>
  <c r="M103" i="7"/>
  <c r="N103" i="7"/>
  <c r="P103" i="7"/>
  <c r="Q103" i="7"/>
  <c r="R103" i="7"/>
  <c r="T103" i="7"/>
  <c r="K104" i="7"/>
  <c r="L104" i="7"/>
  <c r="K106" i="7"/>
  <c r="L106" i="7"/>
  <c r="M106" i="7"/>
  <c r="M107" i="7" s="1"/>
  <c r="N106" i="7"/>
  <c r="N107" i="7" s="1"/>
  <c r="O106" i="7"/>
  <c r="P106" i="7"/>
  <c r="Q106" i="7"/>
  <c r="Q107" i="7" s="1"/>
  <c r="R106" i="7"/>
  <c r="R107" i="7" s="1"/>
  <c r="S106" i="7"/>
  <c r="T106" i="7"/>
  <c r="K107" i="7"/>
  <c r="L107" i="7"/>
  <c r="O107" i="7"/>
  <c r="P107" i="7"/>
  <c r="S107" i="7"/>
  <c r="T107" i="7"/>
  <c r="K110" i="7"/>
  <c r="L110" i="7"/>
  <c r="M110" i="7"/>
  <c r="N110" i="7"/>
  <c r="O110" i="7"/>
  <c r="P110" i="7"/>
  <c r="Q110" i="7"/>
  <c r="R110" i="7"/>
  <c r="S110" i="7"/>
  <c r="T110" i="7"/>
  <c r="K112" i="7"/>
  <c r="L112" i="7"/>
  <c r="M112" i="7"/>
  <c r="N112" i="7"/>
  <c r="O112" i="7"/>
  <c r="P112" i="7"/>
  <c r="Q112" i="7"/>
  <c r="R112" i="7"/>
  <c r="S112" i="7"/>
  <c r="T112" i="7"/>
  <c r="K115" i="7"/>
  <c r="L115" i="7"/>
  <c r="M115" i="7"/>
  <c r="N115" i="7"/>
  <c r="O115" i="7"/>
  <c r="P115" i="7"/>
  <c r="Q115" i="7"/>
  <c r="R115" i="7"/>
  <c r="S115" i="7"/>
  <c r="T115" i="7"/>
  <c r="K116" i="7"/>
  <c r="K117" i="7"/>
  <c r="L117" i="7"/>
  <c r="M117" i="7"/>
  <c r="N117" i="7"/>
  <c r="O117" i="7"/>
  <c r="P117" i="7"/>
  <c r="Q117" i="7"/>
  <c r="R117" i="7"/>
  <c r="S117" i="7"/>
  <c r="T117" i="7"/>
  <c r="L149" i="13" l="1"/>
  <c r="L51" i="13"/>
  <c r="I94" i="13"/>
  <c r="I95" i="13" s="1"/>
  <c r="I97" i="13" s="1"/>
  <c r="I101" i="13" s="1"/>
  <c r="I190" i="13"/>
  <c r="M158" i="13"/>
  <c r="M47" i="13" s="1"/>
  <c r="R174" i="13"/>
  <c r="R175" i="13"/>
  <c r="S173" i="13" s="1"/>
  <c r="M104" i="7"/>
  <c r="M99" i="7"/>
  <c r="N79" i="7"/>
  <c r="N62" i="7"/>
  <c r="J117" i="7"/>
  <c r="J110" i="7"/>
  <c r="J107" i="7"/>
  <c r="J106" i="7"/>
  <c r="J104" i="7"/>
  <c r="J103" i="7"/>
  <c r="J102" i="7"/>
  <c r="J101" i="7"/>
  <c r="J100" i="7"/>
  <c r="J99" i="7"/>
  <c r="J98" i="7"/>
  <c r="J97" i="7"/>
  <c r="J96" i="7"/>
  <c r="J91" i="7"/>
  <c r="J92" i="7"/>
  <c r="J93" i="7"/>
  <c r="J94" i="7"/>
  <c r="J95" i="7"/>
  <c r="J90" i="7"/>
  <c r="J89" i="7"/>
  <c r="J88" i="7"/>
  <c r="J82" i="7"/>
  <c r="J62" i="7"/>
  <c r="J61" i="7"/>
  <c r="J60" i="7"/>
  <c r="J79" i="7"/>
  <c r="J68" i="7"/>
  <c r="J67" i="7"/>
  <c r="J63" i="7"/>
  <c r="J57" i="7"/>
  <c r="J56" i="7"/>
  <c r="K13" i="7"/>
  <c r="K14" i="7"/>
  <c r="L14" i="7"/>
  <c r="M14" i="7"/>
  <c r="N14" i="7"/>
  <c r="O14" i="7"/>
  <c r="P14" i="7"/>
  <c r="Q14" i="7"/>
  <c r="R14" i="7"/>
  <c r="S14" i="7"/>
  <c r="T14" i="7"/>
  <c r="K15" i="7"/>
  <c r="L15" i="7"/>
  <c r="M15" i="7"/>
  <c r="N15" i="7"/>
  <c r="N33" i="7" s="1"/>
  <c r="N35" i="7" s="1"/>
  <c r="O15" i="7"/>
  <c r="P15" i="7"/>
  <c r="Q15" i="7"/>
  <c r="R15" i="7"/>
  <c r="R33" i="7" s="1"/>
  <c r="R35" i="7" s="1"/>
  <c r="S15" i="7"/>
  <c r="T15" i="7"/>
  <c r="K16" i="7"/>
  <c r="L13" i="7" s="1"/>
  <c r="L16" i="7" s="1"/>
  <c r="M13" i="7" s="1"/>
  <c r="M16" i="7" s="1"/>
  <c r="N13" i="7" s="1"/>
  <c r="N16" i="7" s="1"/>
  <c r="O13" i="7" s="1"/>
  <c r="O16" i="7" s="1"/>
  <c r="P13" i="7" s="1"/>
  <c r="P16" i="7" s="1"/>
  <c r="Q13" i="7" s="1"/>
  <c r="Q16" i="7" s="1"/>
  <c r="R13" i="7" s="1"/>
  <c r="R16" i="7" s="1"/>
  <c r="S13" i="7" s="1"/>
  <c r="S16" i="7" s="1"/>
  <c r="T13" i="7" s="1"/>
  <c r="T16" i="7" s="1"/>
  <c r="K19" i="7"/>
  <c r="K20" i="7"/>
  <c r="L20" i="7"/>
  <c r="L34" i="7" s="1"/>
  <c r="M20" i="7"/>
  <c r="N20" i="7"/>
  <c r="O20" i="7"/>
  <c r="P20" i="7"/>
  <c r="P34" i="7" s="1"/>
  <c r="Q20" i="7"/>
  <c r="R20" i="7"/>
  <c r="S20" i="7"/>
  <c r="T20" i="7"/>
  <c r="T34" i="7" s="1"/>
  <c r="K21" i="7"/>
  <c r="L19" i="7" s="1"/>
  <c r="L21" i="7" s="1"/>
  <c r="M19" i="7" s="1"/>
  <c r="M21" i="7" s="1"/>
  <c r="N19" i="7" s="1"/>
  <c r="N21" i="7" s="1"/>
  <c r="O19" i="7" s="1"/>
  <c r="O21" i="7" s="1"/>
  <c r="P19" i="7" s="1"/>
  <c r="P21" i="7" s="1"/>
  <c r="Q19" i="7" s="1"/>
  <c r="Q21" i="7" s="1"/>
  <c r="R19" i="7" s="1"/>
  <c r="R21" i="7" s="1"/>
  <c r="S19" i="7" s="1"/>
  <c r="S21" i="7" s="1"/>
  <c r="T19" i="7" s="1"/>
  <c r="T21" i="7" s="1"/>
  <c r="K24" i="7"/>
  <c r="K30" i="7"/>
  <c r="L30" i="7"/>
  <c r="L31" i="7" s="1"/>
  <c r="M30" i="7"/>
  <c r="N30" i="7"/>
  <c r="O30" i="7"/>
  <c r="P30" i="7"/>
  <c r="P31" i="7" s="1"/>
  <c r="Q30" i="7"/>
  <c r="R30" i="7"/>
  <c r="S30" i="7"/>
  <c r="T30" i="7"/>
  <c r="T31" i="7" s="1"/>
  <c r="K31" i="7"/>
  <c r="M31" i="7"/>
  <c r="N31" i="7"/>
  <c r="O31" i="7"/>
  <c r="Q31" i="7"/>
  <c r="R31" i="7"/>
  <c r="S31" i="7"/>
  <c r="K33" i="7"/>
  <c r="L33" i="7"/>
  <c r="M33" i="7"/>
  <c r="O33" i="7"/>
  <c r="P33" i="7"/>
  <c r="Q33" i="7"/>
  <c r="S33" i="7"/>
  <c r="T33" i="7"/>
  <c r="K34" i="7"/>
  <c r="M34" i="7"/>
  <c r="N34" i="7"/>
  <c r="O34" i="7"/>
  <c r="Q34" i="7"/>
  <c r="R34" i="7"/>
  <c r="S34" i="7"/>
  <c r="K35" i="7"/>
  <c r="M35" i="7"/>
  <c r="O35" i="7"/>
  <c r="Q35" i="7"/>
  <c r="S35" i="7"/>
  <c r="K37" i="7"/>
  <c r="L37" i="7" s="1"/>
  <c r="K47" i="7"/>
  <c r="K49" i="7"/>
  <c r="K50" i="7"/>
  <c r="K25" i="7" s="1"/>
  <c r="K52" i="7"/>
  <c r="L52" i="7" s="1"/>
  <c r="J52" i="7"/>
  <c r="J26" i="7" s="1"/>
  <c r="J50" i="7"/>
  <c r="J49" i="7"/>
  <c r="J47" i="7"/>
  <c r="J37" i="7"/>
  <c r="J35" i="7"/>
  <c r="J34" i="7"/>
  <c r="J33" i="7"/>
  <c r="J31" i="7"/>
  <c r="J30" i="7"/>
  <c r="J25" i="7"/>
  <c r="J24" i="7"/>
  <c r="J20" i="7"/>
  <c r="J21" i="7" s="1"/>
  <c r="J15" i="7"/>
  <c r="J14" i="7"/>
  <c r="J19" i="7"/>
  <c r="J13" i="7"/>
  <c r="I102" i="13" l="1"/>
  <c r="I103" i="13"/>
  <c r="M146" i="13"/>
  <c r="L184" i="13"/>
  <c r="L77" i="7" s="1"/>
  <c r="L116" i="7" s="1"/>
  <c r="M159" i="13"/>
  <c r="S174" i="13"/>
  <c r="S175" i="13" s="1"/>
  <c r="T173" i="13" s="1"/>
  <c r="I105" i="13"/>
  <c r="O62" i="7"/>
  <c r="O79" i="7"/>
  <c r="N99" i="7"/>
  <c r="N104" i="7" s="1"/>
  <c r="L26" i="7"/>
  <c r="M52" i="7"/>
  <c r="M37" i="7"/>
  <c r="T35" i="7"/>
  <c r="P35" i="7"/>
  <c r="L35" i="7"/>
  <c r="L47" i="7" s="1"/>
  <c r="L49" i="7" s="1"/>
  <c r="L50" i="7" s="1"/>
  <c r="L25" i="7" s="1"/>
  <c r="K26" i="7"/>
  <c r="K27" i="7" s="1"/>
  <c r="L24" i="7" s="1"/>
  <c r="L27" i="7" s="1"/>
  <c r="M24" i="7" s="1"/>
  <c r="J27" i="7"/>
  <c r="J16" i="7"/>
  <c r="I96" i="7"/>
  <c r="I95" i="7"/>
  <c r="I91" i="7"/>
  <c r="I92" i="7"/>
  <c r="I93" i="7"/>
  <c r="I94" i="7"/>
  <c r="I90" i="7"/>
  <c r="M153" i="13" l="1"/>
  <c r="M147" i="13" s="1"/>
  <c r="M148" i="13"/>
  <c r="N156" i="13"/>
  <c r="M160" i="13"/>
  <c r="T174" i="13"/>
  <c r="T175" i="13"/>
  <c r="O99" i="7"/>
  <c r="O104" i="7" s="1"/>
  <c r="P79" i="7"/>
  <c r="P62" i="7"/>
  <c r="M26" i="7"/>
  <c r="N52" i="7"/>
  <c r="M47" i="7"/>
  <c r="M49" i="7" s="1"/>
  <c r="M50" i="7" s="1"/>
  <c r="M25" i="7" s="1"/>
  <c r="M27" i="7" s="1"/>
  <c r="N24" i="7" s="1"/>
  <c r="N37" i="7"/>
  <c r="I126" i="8"/>
  <c r="H128" i="8"/>
  <c r="I123" i="8"/>
  <c r="I122" i="8"/>
  <c r="I118" i="8"/>
  <c r="I121" i="8"/>
  <c r="I116" i="8"/>
  <c r="I113" i="8"/>
  <c r="I112" i="8"/>
  <c r="I110" i="8"/>
  <c r="I109" i="8"/>
  <c r="I108" i="8"/>
  <c r="I107" i="8"/>
  <c r="I106" i="8"/>
  <c r="I105" i="8"/>
  <c r="I104" i="8"/>
  <c r="I103" i="8"/>
  <c r="I102" i="8"/>
  <c r="I97" i="8"/>
  <c r="I98" i="8"/>
  <c r="I99" i="8"/>
  <c r="I100" i="8"/>
  <c r="I101" i="8"/>
  <c r="I96" i="8"/>
  <c r="I95" i="8"/>
  <c r="I94" i="8"/>
  <c r="M149" i="13" l="1"/>
  <c r="M51" i="13"/>
  <c r="N158" i="13"/>
  <c r="N47" i="13" s="1"/>
  <c r="Q62" i="7"/>
  <c r="P99" i="7"/>
  <c r="P104" i="7" s="1"/>
  <c r="Q79" i="7"/>
  <c r="O52" i="7"/>
  <c r="N26" i="7"/>
  <c r="O37" i="7"/>
  <c r="N47" i="7"/>
  <c r="N49" i="7" s="1"/>
  <c r="N50" i="7" s="1"/>
  <c r="N25" i="7" s="1"/>
  <c r="N27" i="7" s="1"/>
  <c r="O24" i="7" s="1"/>
  <c r="I85" i="8"/>
  <c r="I88" i="8"/>
  <c r="I77" i="8"/>
  <c r="I68" i="8"/>
  <c r="I67" i="8"/>
  <c r="I66" i="8"/>
  <c r="I74" i="8"/>
  <c r="I73" i="8"/>
  <c r="I69" i="8"/>
  <c r="I63" i="8"/>
  <c r="I62" i="8"/>
  <c r="N146" i="13" l="1"/>
  <c r="M184" i="13"/>
  <c r="M77" i="7" s="1"/>
  <c r="M116" i="7" s="1"/>
  <c r="N159" i="13"/>
  <c r="R79" i="7"/>
  <c r="Q99" i="7"/>
  <c r="Q104" i="7" s="1"/>
  <c r="R62" i="7"/>
  <c r="P52" i="7"/>
  <c r="O26" i="7"/>
  <c r="P37" i="7"/>
  <c r="O47" i="7"/>
  <c r="O49" i="7" s="1"/>
  <c r="O50" i="7" s="1"/>
  <c r="O25" i="7" s="1"/>
  <c r="O27" i="7" s="1"/>
  <c r="P24" i="7" s="1"/>
  <c r="N153" i="13" l="1"/>
  <c r="N147" i="13" s="1"/>
  <c r="N148" i="13" s="1"/>
  <c r="N160" i="13"/>
  <c r="O156" i="13"/>
  <c r="S79" i="7"/>
  <c r="R99" i="7"/>
  <c r="R104" i="7" s="1"/>
  <c r="S62" i="7"/>
  <c r="P47" i="7"/>
  <c r="P49" i="7" s="1"/>
  <c r="P50" i="7" s="1"/>
  <c r="P25" i="7" s="1"/>
  <c r="P27" i="7" s="1"/>
  <c r="Q24" i="7" s="1"/>
  <c r="Q37" i="7"/>
  <c r="P26" i="7"/>
  <c r="Q52" i="7"/>
  <c r="I56" i="8"/>
  <c r="I55" i="8"/>
  <c r="I53" i="8"/>
  <c r="I41" i="8"/>
  <c r="I40" i="8"/>
  <c r="I39" i="8"/>
  <c r="N149" i="13" l="1"/>
  <c r="N51" i="13"/>
  <c r="O158" i="13"/>
  <c r="O47" i="13" s="1"/>
  <c r="T62" i="7"/>
  <c r="S99" i="7"/>
  <c r="S104" i="7" s="1"/>
  <c r="T79" i="7"/>
  <c r="Q47" i="7"/>
  <c r="Q49" i="7" s="1"/>
  <c r="Q50" i="7" s="1"/>
  <c r="Q25" i="7" s="1"/>
  <c r="Q27" i="7" s="1"/>
  <c r="R24" i="7" s="1"/>
  <c r="R37" i="7"/>
  <c r="Q26" i="7"/>
  <c r="R52" i="7"/>
  <c r="I37" i="8"/>
  <c r="I36" i="8"/>
  <c r="I32" i="8"/>
  <c r="I33" i="8" s="1"/>
  <c r="I31" i="8"/>
  <c r="I30" i="8"/>
  <c r="H33" i="8"/>
  <c r="I27" i="8"/>
  <c r="I25" i="8"/>
  <c r="H27" i="8"/>
  <c r="I22" i="8"/>
  <c r="I26" i="8"/>
  <c r="I21" i="8"/>
  <c r="I20" i="8"/>
  <c r="I19" i="8"/>
  <c r="H22" i="8"/>
  <c r="O146" i="13" l="1"/>
  <c r="N184" i="13"/>
  <c r="N77" i="7" s="1"/>
  <c r="N116" i="7" s="1"/>
  <c r="O159" i="13"/>
  <c r="T99" i="7"/>
  <c r="T104" i="7" s="1"/>
  <c r="S37" i="7"/>
  <c r="R47" i="7"/>
  <c r="R49" i="7" s="1"/>
  <c r="R50" i="7" s="1"/>
  <c r="R25" i="7" s="1"/>
  <c r="R27" i="7" s="1"/>
  <c r="S24" i="7" s="1"/>
  <c r="S52" i="7"/>
  <c r="R26" i="7"/>
  <c r="G88" i="8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O153" i="13" l="1"/>
  <c r="O147" i="13" s="1"/>
  <c r="O148" i="13" s="1"/>
  <c r="O51" i="13" s="1"/>
  <c r="O160" i="13"/>
  <c r="P156" i="13"/>
  <c r="T52" i="7"/>
  <c r="T26" i="7" s="1"/>
  <c r="S26" i="7"/>
  <c r="T37" i="7"/>
  <c r="T47" i="7" s="1"/>
  <c r="T49" i="7" s="1"/>
  <c r="T50" i="7" s="1"/>
  <c r="T25" i="7" s="1"/>
  <c r="S47" i="7"/>
  <c r="S49" i="7" s="1"/>
  <c r="S50" i="7" s="1"/>
  <c r="S25" i="7" s="1"/>
  <c r="S27" i="7" s="1"/>
  <c r="T24" i="7" s="1"/>
  <c r="T27" i="7" s="1"/>
  <c r="H86" i="8"/>
  <c r="H89" i="8" s="1"/>
  <c r="O149" i="13" l="1"/>
  <c r="O184" i="13" s="1"/>
  <c r="O77" i="7" s="1"/>
  <c r="O116" i="7" s="1"/>
  <c r="P158" i="13"/>
  <c r="P47" i="13" s="1"/>
  <c r="I13" i="2"/>
  <c r="I12" i="2"/>
  <c r="C18" i="2"/>
  <c r="C17" i="2"/>
  <c r="C16" i="2"/>
  <c r="C15" i="2"/>
  <c r="C14" i="2"/>
  <c r="C12" i="2"/>
  <c r="P146" i="13" l="1"/>
  <c r="P148" i="13" s="1"/>
  <c r="P51" i="13" s="1"/>
  <c r="P153" i="13"/>
  <c r="P147" i="13" s="1"/>
  <c r="P159" i="13"/>
  <c r="F61" i="8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P149" i="13" l="1"/>
  <c r="P184" i="13" s="1"/>
  <c r="P77" i="7" s="1"/>
  <c r="P116" i="7" s="1"/>
  <c r="Q146" i="13"/>
  <c r="Q156" i="13"/>
  <c r="P160" i="13"/>
  <c r="F88" i="8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Q153" i="13" l="1"/>
  <c r="Q147" i="13" s="1"/>
  <c r="Q148" i="13" s="1"/>
  <c r="Q158" i="13"/>
  <c r="Q47" i="13" s="1"/>
  <c r="F70" i="8"/>
  <c r="F91" i="8"/>
  <c r="F33" i="8"/>
  <c r="Q51" i="13" l="1"/>
  <c r="Q149" i="13"/>
  <c r="R146" i="13"/>
  <c r="Q184" i="13"/>
  <c r="Q77" i="7" s="1"/>
  <c r="Q116" i="7" s="1"/>
  <c r="Q159" i="13"/>
  <c r="E73" i="8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R153" i="13" l="1"/>
  <c r="R147" i="13" s="1"/>
  <c r="R148" i="13"/>
  <c r="R51" i="13" s="1"/>
  <c r="R156" i="13"/>
  <c r="Q160" i="13"/>
  <c r="I15" i="8"/>
  <c r="R149" i="13" l="1"/>
  <c r="R158" i="13"/>
  <c r="R47" i="13" s="1"/>
  <c r="C28" i="2"/>
  <c r="C7" i="8"/>
  <c r="C8" i="8"/>
  <c r="I41" i="7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47" i="7" s="1"/>
  <c r="I37" i="7"/>
  <c r="I44" i="7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40" i="7"/>
  <c r="I43" i="7"/>
  <c r="I46" i="7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S146" i="13" l="1"/>
  <c r="R184" i="13"/>
  <c r="R77" i="7" s="1"/>
  <c r="R116" i="7" s="1"/>
  <c r="R159" i="13"/>
  <c r="F50" i="7"/>
  <c r="I42" i="7"/>
  <c r="I100" i="7"/>
  <c r="I88" i="7"/>
  <c r="I79" i="7"/>
  <c r="F69" i="7"/>
  <c r="F61" i="7"/>
  <c r="I71" i="7"/>
  <c r="I110" i="7"/>
  <c r="I103" i="7"/>
  <c r="I101" i="7"/>
  <c r="F79" i="7"/>
  <c r="I106" i="7"/>
  <c r="I107" i="7" s="1"/>
  <c r="I45" i="7"/>
  <c r="S153" i="13" l="1"/>
  <c r="S147" i="13" s="1"/>
  <c r="S148" i="13"/>
  <c r="S51" i="13" s="1"/>
  <c r="S149" i="13"/>
  <c r="R160" i="13"/>
  <c r="S156" i="13"/>
  <c r="F55" i="7"/>
  <c r="F58" i="7" s="1"/>
  <c r="I19" i="7"/>
  <c r="I21" i="7" s="1"/>
  <c r="F82" i="7"/>
  <c r="I62" i="7"/>
  <c r="F80" i="7"/>
  <c r="I99" i="7"/>
  <c r="F60" i="7"/>
  <c r="I24" i="7"/>
  <c r="I78" i="7"/>
  <c r="I115" i="7"/>
  <c r="I76" i="7"/>
  <c r="J115" i="7" s="1"/>
  <c r="I38" i="7"/>
  <c r="T146" i="13" l="1"/>
  <c r="S184" i="13"/>
  <c r="S77" i="7" s="1"/>
  <c r="S116" i="7" s="1"/>
  <c r="S158" i="13"/>
  <c r="S47" i="13" s="1"/>
  <c r="S159" i="13"/>
  <c r="F64" i="7"/>
  <c r="H91" i="8"/>
  <c r="I13" i="7"/>
  <c r="I16" i="7" s="1"/>
  <c r="F83" i="7"/>
  <c r="I61" i="7"/>
  <c r="T153" i="13" l="1"/>
  <c r="T147" i="13" s="1"/>
  <c r="T148" i="13"/>
  <c r="T51" i="13" s="1"/>
  <c r="T149" i="13"/>
  <c r="T184" i="13" s="1"/>
  <c r="T77" i="7" s="1"/>
  <c r="T116" i="7" s="1"/>
  <c r="S160" i="13"/>
  <c r="T156" i="13"/>
  <c r="F85" i="7"/>
  <c r="I60" i="7"/>
  <c r="I120" i="7"/>
  <c r="H122" i="7"/>
  <c r="I49" i="7"/>
  <c r="I50" i="7" s="1"/>
  <c r="I116" i="7"/>
  <c r="I77" i="7"/>
  <c r="J116" i="7" s="1"/>
  <c r="T158" i="13" l="1"/>
  <c r="T47" i="13" s="1"/>
  <c r="T159" i="13"/>
  <c r="T160" i="13" s="1"/>
  <c r="I97" i="7"/>
  <c r="I104" i="7" s="1"/>
  <c r="I25" i="7"/>
  <c r="I27" i="7" s="1"/>
  <c r="I112" i="7"/>
  <c r="I73" i="7"/>
  <c r="J112" i="7" s="1"/>
  <c r="I82" i="7" l="1"/>
  <c r="I54" i="13" l="1"/>
  <c r="I56" i="13" s="1"/>
  <c r="I58" i="13" s="1"/>
  <c r="I62" i="13" s="1"/>
  <c r="I189" i="13"/>
  <c r="I63" i="13" l="1"/>
  <c r="I191" i="13" s="1"/>
  <c r="I77" i="13" l="1"/>
  <c r="I81" i="13" s="1"/>
  <c r="I90" i="13" s="1"/>
  <c r="I107" i="13" s="1"/>
  <c r="I64" i="13"/>
  <c r="I178" i="13" s="1"/>
  <c r="I192" i="13" l="1"/>
  <c r="I205" i="13" s="1"/>
  <c r="I108" i="13"/>
  <c r="I113" i="13" s="1"/>
  <c r="I122" i="13" s="1"/>
  <c r="I127" i="13" s="1"/>
  <c r="I82" i="13"/>
  <c r="I88" i="13" s="1"/>
  <c r="J61" i="13"/>
  <c r="I72" i="13"/>
  <c r="I65" i="13"/>
  <c r="I74" i="13" s="1"/>
  <c r="J80" i="13" l="1"/>
  <c r="I37" i="13"/>
  <c r="I179" i="13"/>
  <c r="I78" i="8" s="1"/>
  <c r="I72" i="8"/>
  <c r="I75" i="13"/>
  <c r="I36" i="13" s="1"/>
  <c r="I128" i="13"/>
  <c r="I194" i="13"/>
  <c r="I206" i="13"/>
  <c r="I208" i="13" s="1"/>
  <c r="J204" i="13" s="1"/>
  <c r="I193" i="13"/>
  <c r="I114" i="13"/>
  <c r="I120" i="13" s="1"/>
  <c r="I39" i="13" s="1"/>
  <c r="I134" i="13" l="1"/>
  <c r="I40" i="13" s="1"/>
  <c r="I42" i="13"/>
  <c r="I115" i="8"/>
  <c r="I109" i="7" s="1"/>
  <c r="I75" i="8"/>
  <c r="I66" i="7"/>
  <c r="I69" i="7" s="1"/>
  <c r="J111" i="13"/>
  <c r="I181" i="13"/>
  <c r="I117" i="8"/>
  <c r="I72" i="7"/>
  <c r="I196" i="13"/>
  <c r="I199" i="13" s="1"/>
  <c r="I200" i="13" s="1"/>
  <c r="J198" i="13" s="1"/>
  <c r="I182" i="13"/>
  <c r="I81" i="8" s="1"/>
  <c r="J125" i="13"/>
  <c r="I80" i="8" l="1"/>
  <c r="I185" i="13"/>
  <c r="J126" i="13"/>
  <c r="J49" i="13" s="1"/>
  <c r="J112" i="13"/>
  <c r="J48" i="13" s="1"/>
  <c r="I120" i="8"/>
  <c r="I114" i="7" s="1"/>
  <c r="I75" i="7"/>
  <c r="I111" i="7"/>
  <c r="I119" i="8" l="1"/>
  <c r="I74" i="7"/>
  <c r="I86" i="8"/>
  <c r="I89" i="8" s="1"/>
  <c r="J52" i="13"/>
  <c r="J54" i="13" l="1"/>
  <c r="J94" i="13"/>
  <c r="J190" i="13"/>
  <c r="I80" i="7"/>
  <c r="I83" i="7" s="1"/>
  <c r="I113" i="7"/>
  <c r="I118" i="7" s="1"/>
  <c r="I121" i="7" s="1"/>
  <c r="I122" i="7" s="1"/>
  <c r="J120" i="7" s="1"/>
  <c r="I124" i="8"/>
  <c r="I127" i="8" s="1"/>
  <c r="I128" i="8" s="1"/>
  <c r="I61" i="8" s="1"/>
  <c r="J55" i="13" l="1"/>
  <c r="J56" i="13" s="1"/>
  <c r="J58" i="13" s="1"/>
  <c r="I64" i="8"/>
  <c r="I70" i="8" s="1"/>
  <c r="I91" i="8" s="1"/>
  <c r="I55" i="7"/>
  <c r="J62" i="13" l="1"/>
  <c r="J63" i="13" s="1"/>
  <c r="J77" i="13" s="1"/>
  <c r="I58" i="7"/>
  <c r="I64" i="7" s="1"/>
  <c r="I85" i="7" s="1"/>
  <c r="J93" i="13"/>
  <c r="J95" i="13" s="1"/>
  <c r="J97" i="13" s="1"/>
  <c r="J81" i="13" l="1"/>
  <c r="J90" i="13" s="1"/>
  <c r="J102" i="13"/>
  <c r="J101" i="13"/>
  <c r="J103" i="13"/>
  <c r="J191" i="13"/>
  <c r="J64" i="13"/>
  <c r="J72" i="13" l="1"/>
  <c r="J178" i="13"/>
  <c r="J105" i="13"/>
  <c r="J107" i="13" s="1"/>
  <c r="J108" i="13" s="1"/>
  <c r="K61" i="13"/>
  <c r="J65" i="13"/>
  <c r="J74" i="13" s="1"/>
  <c r="J192" i="13"/>
  <c r="J205" i="13" s="1"/>
  <c r="J82" i="13"/>
  <c r="J88" i="13" l="1"/>
  <c r="J37" i="13" s="1"/>
  <c r="J66" i="7"/>
  <c r="J75" i="13"/>
  <c r="J36" i="13" s="1"/>
  <c r="J113" i="13"/>
  <c r="J179" i="13"/>
  <c r="J72" i="7" s="1"/>
  <c r="K80" i="13"/>
  <c r="J193" i="13" l="1"/>
  <c r="J114" i="13"/>
  <c r="J111" i="7"/>
  <c r="J109" i="7"/>
  <c r="J69" i="7"/>
  <c r="J122" i="13"/>
  <c r="J127" i="13" s="1"/>
  <c r="J206" i="13" s="1"/>
  <c r="J208" i="13" s="1"/>
  <c r="K204" i="13" s="1"/>
  <c r="J120" i="13" l="1"/>
  <c r="J39" i="13" s="1"/>
  <c r="K111" i="13"/>
  <c r="J181" i="13"/>
  <c r="J194" i="13"/>
  <c r="J196" i="13" s="1"/>
  <c r="J199" i="13" s="1"/>
  <c r="J200" i="13" s="1"/>
  <c r="K198" i="13" s="1"/>
  <c r="J128" i="13"/>
  <c r="J134" i="13" l="1"/>
  <c r="J40" i="13" s="1"/>
  <c r="J42" i="13" s="1"/>
  <c r="J182" i="13"/>
  <c r="J75" i="7" s="1"/>
  <c r="J114" i="7" s="1"/>
  <c r="K125" i="13"/>
  <c r="J74" i="7"/>
  <c r="K112" i="13"/>
  <c r="K48" i="13" s="1"/>
  <c r="J113" i="7" l="1"/>
  <c r="J118" i="7" s="1"/>
  <c r="J121" i="7" s="1"/>
  <c r="J122" i="7" s="1"/>
  <c r="J80" i="7"/>
  <c r="J83" i="7" s="1"/>
  <c r="K126" i="13"/>
  <c r="K49" i="13" s="1"/>
  <c r="K52" i="13" s="1"/>
  <c r="J185" i="13"/>
  <c r="K54" i="13" l="1"/>
  <c r="K94" i="13"/>
  <c r="K190" i="13"/>
  <c r="J55" i="7"/>
  <c r="K120" i="7"/>
  <c r="J58" i="7" l="1"/>
  <c r="J64" i="7" s="1"/>
  <c r="J85" i="7" s="1"/>
  <c r="K93" i="13"/>
  <c r="K95" i="13" s="1"/>
  <c r="K97" i="13" s="1"/>
  <c r="K55" i="13"/>
  <c r="K56" i="13" s="1"/>
  <c r="K58" i="13" s="1"/>
  <c r="K103" i="13" l="1"/>
  <c r="K102" i="13"/>
  <c r="K101" i="13"/>
  <c r="K62" i="13"/>
  <c r="K105" i="13" l="1"/>
  <c r="K63" i="13"/>
  <c r="K191" i="13" s="1"/>
  <c r="K77" i="13" l="1"/>
  <c r="K64" i="13"/>
  <c r="K178" i="13" s="1"/>
  <c r="K72" i="13" l="1"/>
  <c r="K81" i="13"/>
  <c r="K90" i="13" s="1"/>
  <c r="K65" i="13"/>
  <c r="L61" i="13"/>
  <c r="K74" i="13" l="1"/>
  <c r="K75" i="13" s="1"/>
  <c r="K36" i="13" s="1"/>
  <c r="K66" i="7"/>
  <c r="K107" i="13"/>
  <c r="K108" i="13" s="1"/>
  <c r="K192" i="13"/>
  <c r="K205" i="13" s="1"/>
  <c r="K82" i="13"/>
  <c r="K88" i="13" l="1"/>
  <c r="K37" i="13" s="1"/>
  <c r="K113" i="13"/>
  <c r="K69" i="7"/>
  <c r="K109" i="7"/>
  <c r="L80" i="13"/>
  <c r="K179" i="13"/>
  <c r="K72" i="7" l="1"/>
  <c r="K193" i="13"/>
  <c r="K114" i="13"/>
  <c r="K122" i="13"/>
  <c r="K127" i="13" s="1"/>
  <c r="K206" i="13" s="1"/>
  <c r="K208" i="13" s="1"/>
  <c r="L204" i="13" s="1"/>
  <c r="K120" i="13" l="1"/>
  <c r="K39" i="13" s="1"/>
  <c r="K194" i="13"/>
  <c r="K196" i="13" s="1"/>
  <c r="K199" i="13" s="1"/>
  <c r="K200" i="13" s="1"/>
  <c r="L198" i="13" s="1"/>
  <c r="K128" i="13"/>
  <c r="L111" i="13"/>
  <c r="K181" i="13"/>
  <c r="K111" i="7"/>
  <c r="K134" i="13" l="1"/>
  <c r="K40" i="13" s="1"/>
  <c r="K42" i="13"/>
  <c r="L125" i="13"/>
  <c r="K182" i="13"/>
  <c r="K75" i="7" s="1"/>
  <c r="K114" i="7" s="1"/>
  <c r="L112" i="13"/>
  <c r="L48" i="13" s="1"/>
  <c r="K74" i="7"/>
  <c r="K113" i="7" l="1"/>
  <c r="K118" i="7" s="1"/>
  <c r="K121" i="7" s="1"/>
  <c r="K122" i="7" s="1"/>
  <c r="K80" i="7"/>
  <c r="K83" i="7" s="1"/>
  <c r="L126" i="13"/>
  <c r="L49" i="13" s="1"/>
  <c r="L52" i="13" s="1"/>
  <c r="K185" i="13"/>
  <c r="L54" i="13" l="1"/>
  <c r="L190" i="13"/>
  <c r="L94" i="13"/>
  <c r="K55" i="7"/>
  <c r="L120" i="7"/>
  <c r="L55" i="13" l="1"/>
  <c r="L56" i="13" s="1"/>
  <c r="L58" i="13" s="1"/>
  <c r="K58" i="7"/>
  <c r="K64" i="7" s="1"/>
  <c r="K85" i="7" s="1"/>
  <c r="L93" i="13"/>
  <c r="L95" i="13" s="1"/>
  <c r="L97" i="13" s="1"/>
  <c r="L62" i="13" l="1"/>
  <c r="L63" i="13" s="1"/>
  <c r="L103" i="13"/>
  <c r="L101" i="13"/>
  <c r="L102" i="13"/>
  <c r="L77" i="13" l="1"/>
  <c r="L105" i="13"/>
  <c r="L191" i="13"/>
  <c r="L64" i="13"/>
  <c r="L178" i="13" s="1"/>
  <c r="L72" i="13" l="1"/>
  <c r="M61" i="13"/>
  <c r="L65" i="13"/>
  <c r="L81" i="13"/>
  <c r="L90" i="13" s="1"/>
  <c r="L74" i="13" l="1"/>
  <c r="L75" i="13" s="1"/>
  <c r="L36" i="13" s="1"/>
  <c r="L66" i="7"/>
  <c r="L107" i="13"/>
  <c r="L108" i="13" s="1"/>
  <c r="L192" i="13"/>
  <c r="L205" i="13" s="1"/>
  <c r="L82" i="13"/>
  <c r="L88" i="13" l="1"/>
  <c r="L37" i="13" s="1"/>
  <c r="L113" i="13"/>
  <c r="M80" i="13"/>
  <c r="L179" i="13"/>
  <c r="L69" i="7"/>
  <c r="L109" i="7"/>
  <c r="L193" i="13" l="1"/>
  <c r="L114" i="13"/>
  <c r="L72" i="7"/>
  <c r="L122" i="13"/>
  <c r="L127" i="13" s="1"/>
  <c r="L206" i="13" s="1"/>
  <c r="L208" i="13" s="1"/>
  <c r="M204" i="13" s="1"/>
  <c r="L120" i="13" l="1"/>
  <c r="L39" i="13" s="1"/>
  <c r="M111" i="13"/>
  <c r="L181" i="13"/>
  <c r="L194" i="13"/>
  <c r="L196" i="13" s="1"/>
  <c r="L199" i="13" s="1"/>
  <c r="L200" i="13" s="1"/>
  <c r="M198" i="13" s="1"/>
  <c r="L128" i="13"/>
  <c r="L111" i="7"/>
  <c r="L134" i="13" l="1"/>
  <c r="L40" i="13" s="1"/>
  <c r="L42" i="13" s="1"/>
  <c r="L74" i="7"/>
  <c r="M125" i="13"/>
  <c r="L182" i="13"/>
  <c r="L75" i="7" s="1"/>
  <c r="L114" i="7" s="1"/>
  <c r="M112" i="13"/>
  <c r="M48" i="13" s="1"/>
  <c r="L185" i="13" l="1"/>
  <c r="M126" i="13"/>
  <c r="M49" i="13" s="1"/>
  <c r="M52" i="13" s="1"/>
  <c r="L113" i="7"/>
  <c r="L118" i="7" s="1"/>
  <c r="L121" i="7" s="1"/>
  <c r="L122" i="7" s="1"/>
  <c r="L80" i="7"/>
  <c r="L83" i="7" s="1"/>
  <c r="M54" i="13" l="1"/>
  <c r="M94" i="13"/>
  <c r="M190" i="13"/>
  <c r="L55" i="7"/>
  <c r="M120" i="7"/>
  <c r="M55" i="13" l="1"/>
  <c r="M56" i="13" s="1"/>
  <c r="M58" i="13" s="1"/>
  <c r="L58" i="7"/>
  <c r="L64" i="7" s="1"/>
  <c r="L85" i="7" s="1"/>
  <c r="M93" i="13"/>
  <c r="M95" i="13" s="1"/>
  <c r="M97" i="13" s="1"/>
  <c r="M101" i="13" l="1"/>
  <c r="M102" i="13"/>
  <c r="M103" i="13"/>
  <c r="M62" i="13"/>
  <c r="M63" i="13" l="1"/>
  <c r="M191" i="13" s="1"/>
  <c r="M105" i="13"/>
  <c r="M77" i="13" l="1"/>
  <c r="M64" i="13"/>
  <c r="M178" i="13" s="1"/>
  <c r="M72" i="13" l="1"/>
  <c r="N61" i="13"/>
  <c r="M65" i="13"/>
  <c r="M81" i="13"/>
  <c r="M74" i="13" l="1"/>
  <c r="M75" i="13" s="1"/>
  <c r="M36" i="13" s="1"/>
  <c r="M66" i="7"/>
  <c r="M192" i="13"/>
  <c r="M205" i="13" s="1"/>
  <c r="M82" i="13"/>
  <c r="M90" i="13"/>
  <c r="M88" i="13" l="1"/>
  <c r="M37" i="13" s="1"/>
  <c r="M179" i="13"/>
  <c r="N80" i="13"/>
  <c r="M107" i="13"/>
  <c r="M108" i="13" s="1"/>
  <c r="M69" i="7"/>
  <c r="M109" i="7"/>
  <c r="M113" i="13" l="1"/>
  <c r="M72" i="7"/>
  <c r="M111" i="7" l="1"/>
  <c r="M193" i="13"/>
  <c r="M114" i="13"/>
  <c r="M122" i="13"/>
  <c r="M127" i="13" s="1"/>
  <c r="M206" i="13" s="1"/>
  <c r="M208" i="13" s="1"/>
  <c r="N204" i="13" s="1"/>
  <c r="M120" i="13" l="1"/>
  <c r="M39" i="13" s="1"/>
  <c r="N111" i="13"/>
  <c r="M181" i="13"/>
  <c r="M194" i="13"/>
  <c r="M196" i="13" s="1"/>
  <c r="M199" i="13" s="1"/>
  <c r="M200" i="13" s="1"/>
  <c r="N198" i="13" s="1"/>
  <c r="M128" i="13"/>
  <c r="M134" i="13" l="1"/>
  <c r="M40" i="13" s="1"/>
  <c r="M42" i="13" s="1"/>
  <c r="M74" i="7"/>
  <c r="M182" i="13"/>
  <c r="M75" i="7" s="1"/>
  <c r="M114" i="7" s="1"/>
  <c r="N125" i="13"/>
  <c r="N112" i="13"/>
  <c r="N48" i="13" s="1"/>
  <c r="M185" i="13" l="1"/>
  <c r="M113" i="7"/>
  <c r="M118" i="7" s="1"/>
  <c r="M121" i="7" s="1"/>
  <c r="M122" i="7" s="1"/>
  <c r="M80" i="7"/>
  <c r="M83" i="7" s="1"/>
  <c r="N126" i="13"/>
  <c r="N49" i="13" s="1"/>
  <c r="N52" i="13" s="1"/>
  <c r="N54" i="13" l="1"/>
  <c r="N94" i="13"/>
  <c r="N190" i="13"/>
  <c r="M55" i="7"/>
  <c r="N120" i="7"/>
  <c r="N55" i="13" l="1"/>
  <c r="N56" i="13" s="1"/>
  <c r="N58" i="13" s="1"/>
  <c r="M58" i="7"/>
  <c r="M64" i="7" s="1"/>
  <c r="M85" i="7" s="1"/>
  <c r="N93" i="13"/>
  <c r="N95" i="13" s="1"/>
  <c r="N97" i="13" s="1"/>
  <c r="N62" i="13" l="1"/>
  <c r="N102" i="13"/>
  <c r="N101" i="13"/>
  <c r="N103" i="13"/>
  <c r="N105" i="13" l="1"/>
  <c r="N63" i="13"/>
  <c r="N191" i="13" s="1"/>
  <c r="N77" i="13" l="1"/>
  <c r="N64" i="13"/>
  <c r="N178" i="13" s="1"/>
  <c r="N72" i="13" l="1"/>
  <c r="N81" i="13"/>
  <c r="N90" i="13" s="1"/>
  <c r="O61" i="13"/>
  <c r="N65" i="13"/>
  <c r="N74" i="13" l="1"/>
  <c r="N75" i="13" s="1"/>
  <c r="N36" i="13" s="1"/>
  <c r="N66" i="7"/>
  <c r="N107" i="13"/>
  <c r="N108" i="13" s="1"/>
  <c r="N192" i="13"/>
  <c r="N205" i="13" s="1"/>
  <c r="N82" i="13"/>
  <c r="N88" i="13" l="1"/>
  <c r="N37" i="13" s="1"/>
  <c r="N113" i="13"/>
  <c r="O80" i="13"/>
  <c r="N179" i="13"/>
  <c r="N109" i="7"/>
  <c r="N69" i="7"/>
  <c r="N193" i="13" l="1"/>
  <c r="N114" i="13"/>
  <c r="N72" i="7"/>
  <c r="N122" i="13"/>
  <c r="N127" i="13" s="1"/>
  <c r="N206" i="13" s="1"/>
  <c r="N208" i="13" s="1"/>
  <c r="O204" i="13" s="1"/>
  <c r="N120" i="13" l="1"/>
  <c r="N39" i="13" s="1"/>
  <c r="N181" i="13"/>
  <c r="O111" i="13"/>
  <c r="N194" i="13"/>
  <c r="N196" i="13" s="1"/>
  <c r="N199" i="13" s="1"/>
  <c r="N200" i="13" s="1"/>
  <c r="O198" i="13" s="1"/>
  <c r="N128" i="13"/>
  <c r="N111" i="7"/>
  <c r="N134" i="13" l="1"/>
  <c r="N40" i="13" s="1"/>
  <c r="N42" i="13" s="1"/>
  <c r="O112" i="13"/>
  <c r="O48" i="13" s="1"/>
  <c r="N182" i="13"/>
  <c r="N75" i="7" s="1"/>
  <c r="N114" i="7" s="1"/>
  <c r="O125" i="13"/>
  <c r="N74" i="7"/>
  <c r="O126" i="13" l="1"/>
  <c r="O49" i="13" s="1"/>
  <c r="O52" i="13" s="1"/>
  <c r="N185" i="13"/>
  <c r="N113" i="7"/>
  <c r="N118" i="7" s="1"/>
  <c r="N121" i="7" s="1"/>
  <c r="N122" i="7" s="1"/>
  <c r="N80" i="7"/>
  <c r="N83" i="7" s="1"/>
  <c r="O54" i="13" l="1"/>
  <c r="O94" i="13"/>
  <c r="O190" i="13"/>
  <c r="N55" i="7"/>
  <c r="O120" i="7"/>
  <c r="N58" i="7" l="1"/>
  <c r="N64" i="7" s="1"/>
  <c r="N85" i="7" s="1"/>
  <c r="O93" i="13"/>
  <c r="O95" i="13" s="1"/>
  <c r="O97" i="13" s="1"/>
  <c r="O55" i="13"/>
  <c r="O56" i="13" s="1"/>
  <c r="O58" i="13" s="1"/>
  <c r="O62" i="13" l="1"/>
  <c r="O63" i="13" s="1"/>
  <c r="O103" i="13"/>
  <c r="O102" i="13"/>
  <c r="O101" i="13"/>
  <c r="O77" i="13" l="1"/>
  <c r="O81" i="13" s="1"/>
  <c r="O105" i="13"/>
  <c r="O191" i="13"/>
  <c r="O64" i="13"/>
  <c r="O178" i="13" s="1"/>
  <c r="O72" i="13" l="1"/>
  <c r="O192" i="13"/>
  <c r="O205" i="13" s="1"/>
  <c r="O82" i="13"/>
  <c r="O65" i="13"/>
  <c r="P61" i="13"/>
  <c r="O90" i="13"/>
  <c r="O88" i="13" l="1"/>
  <c r="O37" i="13" s="1"/>
  <c r="O74" i="13"/>
  <c r="O75" i="13" s="1"/>
  <c r="O36" i="13" s="1"/>
  <c r="O66" i="7"/>
  <c r="P80" i="13"/>
  <c r="O179" i="13"/>
  <c r="O72" i="7" s="1"/>
  <c r="O107" i="13"/>
  <c r="O108" i="13" s="1"/>
  <c r="O113" i="13" l="1"/>
  <c r="O69" i="7"/>
  <c r="O109" i="7"/>
  <c r="O111" i="7"/>
  <c r="O193" i="13" l="1"/>
  <c r="O114" i="13"/>
  <c r="O122" i="13"/>
  <c r="O127" i="13" s="1"/>
  <c r="O206" i="13" s="1"/>
  <c r="O208" i="13" s="1"/>
  <c r="P204" i="13" s="1"/>
  <c r="O120" i="13" l="1"/>
  <c r="O39" i="13" s="1"/>
  <c r="O194" i="13"/>
  <c r="O196" i="13" s="1"/>
  <c r="O199" i="13" s="1"/>
  <c r="O200" i="13" s="1"/>
  <c r="P198" i="13" s="1"/>
  <c r="O128" i="13"/>
  <c r="P111" i="13"/>
  <c r="O181" i="13"/>
  <c r="O134" i="13" l="1"/>
  <c r="O40" i="13" s="1"/>
  <c r="O42" i="13"/>
  <c r="P112" i="13"/>
  <c r="P48" i="13" s="1"/>
  <c r="P125" i="13"/>
  <c r="O182" i="13"/>
  <c r="O75" i="7" s="1"/>
  <c r="O114" i="7" s="1"/>
  <c r="O74" i="7"/>
  <c r="O185" i="13" l="1"/>
  <c r="P126" i="13"/>
  <c r="P49" i="13" s="1"/>
  <c r="P52" i="13" s="1"/>
  <c r="O113" i="7"/>
  <c r="O118" i="7" s="1"/>
  <c r="O121" i="7" s="1"/>
  <c r="O122" i="7" s="1"/>
  <c r="O80" i="7"/>
  <c r="O83" i="7" s="1"/>
  <c r="P94" i="13" l="1"/>
  <c r="P190" i="13"/>
  <c r="P54" i="13"/>
  <c r="O55" i="7"/>
  <c r="P120" i="7"/>
  <c r="P55" i="13" l="1"/>
  <c r="P56" i="13" s="1"/>
  <c r="P58" i="13" s="1"/>
  <c r="O58" i="7"/>
  <c r="O64" i="7" s="1"/>
  <c r="O85" i="7" s="1"/>
  <c r="P93" i="13"/>
  <c r="P95" i="13" s="1"/>
  <c r="P97" i="13" s="1"/>
  <c r="P62" i="13" l="1"/>
  <c r="P63" i="13" s="1"/>
  <c r="P77" i="13" s="1"/>
  <c r="P103" i="13"/>
  <c r="P101" i="13"/>
  <c r="P102" i="13"/>
  <c r="P81" i="13" l="1"/>
  <c r="P90" i="13" s="1"/>
  <c r="P105" i="13"/>
  <c r="P191" i="13"/>
  <c r="P64" i="13"/>
  <c r="P178" i="13" s="1"/>
  <c r="P72" i="13" l="1"/>
  <c r="P107" i="13"/>
  <c r="P108" i="13" s="1"/>
  <c r="Q61" i="13"/>
  <c r="P65" i="13"/>
  <c r="P192" i="13"/>
  <c r="P205" i="13" s="1"/>
  <c r="P82" i="13"/>
  <c r="P88" i="13" l="1"/>
  <c r="P37" i="13" s="1"/>
  <c r="P74" i="13"/>
  <c r="P75" i="13" s="1"/>
  <c r="P36" i="13" s="1"/>
  <c r="P113" i="13"/>
  <c r="Q80" i="13"/>
  <c r="P179" i="13"/>
  <c r="P72" i="7" s="1"/>
  <c r="P66" i="7"/>
  <c r="P193" i="13" l="1"/>
  <c r="P114" i="13"/>
  <c r="P69" i="7"/>
  <c r="P109" i="7"/>
  <c r="P111" i="7"/>
  <c r="P122" i="13"/>
  <c r="P127" i="13" s="1"/>
  <c r="P206" i="13" s="1"/>
  <c r="P208" i="13" s="1"/>
  <c r="Q204" i="13" s="1"/>
  <c r="P120" i="13" l="1"/>
  <c r="P39" i="13" s="1"/>
  <c r="Q111" i="13"/>
  <c r="P181" i="13"/>
  <c r="P194" i="13"/>
  <c r="P196" i="13" s="1"/>
  <c r="P199" i="13" s="1"/>
  <c r="P200" i="13" s="1"/>
  <c r="Q198" i="13" s="1"/>
  <c r="P128" i="13"/>
  <c r="P134" i="13" l="1"/>
  <c r="P40" i="13" s="1"/>
  <c r="P42" i="13" s="1"/>
  <c r="Q125" i="13"/>
  <c r="P182" i="13"/>
  <c r="P75" i="7" s="1"/>
  <c r="P114" i="7" s="1"/>
  <c r="P74" i="7"/>
  <c r="Q112" i="13"/>
  <c r="Q48" i="13" s="1"/>
  <c r="Q126" i="13" l="1"/>
  <c r="Q49" i="13" s="1"/>
  <c r="Q52" i="13" s="1"/>
  <c r="P185" i="13"/>
  <c r="P113" i="7"/>
  <c r="P118" i="7" s="1"/>
  <c r="P121" i="7" s="1"/>
  <c r="P122" i="7" s="1"/>
  <c r="P80" i="7"/>
  <c r="P83" i="7" s="1"/>
  <c r="Q54" i="13" l="1"/>
  <c r="Q190" i="13"/>
  <c r="Q94" i="13"/>
  <c r="P55" i="7"/>
  <c r="Q120" i="7"/>
  <c r="Q55" i="13" l="1"/>
  <c r="Q56" i="13" s="1"/>
  <c r="Q58" i="13" s="1"/>
  <c r="P58" i="7"/>
  <c r="P64" i="7" s="1"/>
  <c r="P85" i="7" s="1"/>
  <c r="Q93" i="13"/>
  <c r="Q95" i="13" s="1"/>
  <c r="Q97" i="13" s="1"/>
  <c r="Q62" i="13" l="1"/>
  <c r="Q101" i="13"/>
  <c r="Q102" i="13"/>
  <c r="Q103" i="13"/>
  <c r="Q105" i="13" l="1"/>
  <c r="Q63" i="13"/>
  <c r="Q191" i="13" s="1"/>
  <c r="Q77" i="13" l="1"/>
  <c r="Q64" i="13"/>
  <c r="Q178" i="13" s="1"/>
  <c r="Q72" i="13" l="1"/>
  <c r="Q81" i="13"/>
  <c r="Q90" i="13" s="1"/>
  <c r="Q65" i="13"/>
  <c r="R61" i="13"/>
  <c r="Q74" i="13" l="1"/>
  <c r="Q75" i="13" s="1"/>
  <c r="Q36" i="13" s="1"/>
  <c r="Q66" i="7"/>
  <c r="Q107" i="13"/>
  <c r="Q108" i="13" s="1"/>
  <c r="Q192" i="13"/>
  <c r="Q205" i="13" s="1"/>
  <c r="Q82" i="13"/>
  <c r="Q88" i="13" l="1"/>
  <c r="Q37" i="13" s="1"/>
  <c r="Q113" i="13"/>
  <c r="Q69" i="7"/>
  <c r="Q109" i="7"/>
  <c r="Q179" i="13"/>
  <c r="R80" i="13"/>
  <c r="Q193" i="13" l="1"/>
  <c r="Q114" i="13"/>
  <c r="Q72" i="7"/>
  <c r="Q122" i="13"/>
  <c r="Q127" i="13" s="1"/>
  <c r="Q206" i="13" s="1"/>
  <c r="Q208" i="13" s="1"/>
  <c r="R204" i="13" s="1"/>
  <c r="Q120" i="13" l="1"/>
  <c r="Q39" i="13" s="1"/>
  <c r="Q194" i="13"/>
  <c r="Q196" i="13" s="1"/>
  <c r="Q199" i="13" s="1"/>
  <c r="Q200" i="13" s="1"/>
  <c r="R198" i="13" s="1"/>
  <c r="Q128" i="13"/>
  <c r="Q111" i="7"/>
  <c r="R111" i="13"/>
  <c r="Q181" i="13"/>
  <c r="Q134" i="13" l="1"/>
  <c r="Q40" i="13" s="1"/>
  <c r="Q42" i="13" s="1"/>
  <c r="Q74" i="7"/>
  <c r="R112" i="13"/>
  <c r="R48" i="13" s="1"/>
  <c r="Q182" i="13"/>
  <c r="Q75" i="7" s="1"/>
  <c r="Q114" i="7" s="1"/>
  <c r="R125" i="13"/>
  <c r="R126" i="13" l="1"/>
  <c r="R49" i="13" s="1"/>
  <c r="R52" i="13" s="1"/>
  <c r="Q185" i="13"/>
  <c r="Q113" i="7"/>
  <c r="Q118" i="7" s="1"/>
  <c r="Q121" i="7" s="1"/>
  <c r="Q122" i="7" s="1"/>
  <c r="Q80" i="7"/>
  <c r="Q83" i="7" s="1"/>
  <c r="Q55" i="7" l="1"/>
  <c r="R120" i="7"/>
  <c r="R54" i="13"/>
  <c r="R94" i="13"/>
  <c r="R190" i="13"/>
  <c r="R55" i="13" l="1"/>
  <c r="R56" i="13" s="1"/>
  <c r="R58" i="13" s="1"/>
  <c r="Q58" i="7"/>
  <c r="Q64" i="7" s="1"/>
  <c r="Q85" i="7" s="1"/>
  <c r="R93" i="13"/>
  <c r="R95" i="13" s="1"/>
  <c r="R97" i="13" s="1"/>
  <c r="R62" i="13" l="1"/>
  <c r="R63" i="13" s="1"/>
  <c r="R77" i="13" s="1"/>
  <c r="R102" i="13"/>
  <c r="R101" i="13"/>
  <c r="R103" i="13"/>
  <c r="R81" i="13" l="1"/>
  <c r="R105" i="13"/>
  <c r="R191" i="13"/>
  <c r="R64" i="13"/>
  <c r="R178" i="13" s="1"/>
  <c r="R72" i="13" l="1"/>
  <c r="R192" i="13"/>
  <c r="R205" i="13" s="1"/>
  <c r="R82" i="13"/>
  <c r="S61" i="13"/>
  <c r="R65" i="13"/>
  <c r="R90" i="13"/>
  <c r="R88" i="13" l="1"/>
  <c r="R37" i="13" s="1"/>
  <c r="R74" i="13"/>
  <c r="R75" i="13" s="1"/>
  <c r="R36" i="13" s="1"/>
  <c r="R66" i="7"/>
  <c r="S80" i="13"/>
  <c r="R179" i="13"/>
  <c r="R72" i="7" s="1"/>
  <c r="R107" i="13"/>
  <c r="R108" i="13" s="1"/>
  <c r="R113" i="13" l="1"/>
  <c r="R122" i="13" s="1"/>
  <c r="R127" i="13" s="1"/>
  <c r="R206" i="13" s="1"/>
  <c r="R208" i="13" s="1"/>
  <c r="S204" i="13" s="1"/>
  <c r="R111" i="7"/>
  <c r="R69" i="7"/>
  <c r="R109" i="7"/>
  <c r="R194" i="13" l="1"/>
  <c r="R128" i="13"/>
  <c r="R193" i="13"/>
  <c r="R114" i="13"/>
  <c r="R134" i="13" l="1"/>
  <c r="R40" i="13" s="1"/>
  <c r="R120" i="13"/>
  <c r="R39" i="13" s="1"/>
  <c r="R42" i="13" s="1"/>
  <c r="R196" i="13"/>
  <c r="R199" i="13" s="1"/>
  <c r="R200" i="13" s="1"/>
  <c r="S198" i="13" s="1"/>
  <c r="S111" i="13"/>
  <c r="R181" i="13"/>
  <c r="R182" i="13"/>
  <c r="R75" i="7" s="1"/>
  <c r="R114" i="7" s="1"/>
  <c r="S125" i="13"/>
  <c r="S126" i="13" l="1"/>
  <c r="S49" i="13" s="1"/>
  <c r="R74" i="7"/>
  <c r="R185" i="13"/>
  <c r="S112" i="13"/>
  <c r="S48" i="13" s="1"/>
  <c r="S52" i="13" l="1"/>
  <c r="S94" i="13" s="1"/>
  <c r="S54" i="13"/>
  <c r="R113" i="7"/>
  <c r="R118" i="7" s="1"/>
  <c r="R121" i="7" s="1"/>
  <c r="R122" i="7" s="1"/>
  <c r="R80" i="7"/>
  <c r="R83" i="7" s="1"/>
  <c r="S190" i="13" l="1"/>
  <c r="R55" i="7"/>
  <c r="S120" i="7"/>
  <c r="S55" i="13" l="1"/>
  <c r="S56" i="13" s="1"/>
  <c r="S58" i="13" s="1"/>
  <c r="R58" i="7"/>
  <c r="R64" i="7" s="1"/>
  <c r="R85" i="7" s="1"/>
  <c r="S93" i="13"/>
  <c r="S95" i="13" s="1"/>
  <c r="S97" i="13" s="1"/>
  <c r="S103" i="13" l="1"/>
  <c r="S102" i="13"/>
  <c r="S101" i="13"/>
  <c r="S62" i="13"/>
  <c r="S105" i="13" l="1"/>
  <c r="S63" i="13"/>
  <c r="S191" i="13" s="1"/>
  <c r="S77" i="13" l="1"/>
  <c r="S64" i="13"/>
  <c r="S178" i="13" s="1"/>
  <c r="S72" i="13" l="1"/>
  <c r="S65" i="13"/>
  <c r="T61" i="13"/>
  <c r="S81" i="13"/>
  <c r="S90" i="13" s="1"/>
  <c r="S74" i="13" l="1"/>
  <c r="S75" i="13" s="1"/>
  <c r="S36" i="13" s="1"/>
  <c r="S107" i="13"/>
  <c r="S108" i="13" s="1"/>
  <c r="S192" i="13"/>
  <c r="S205" i="13" s="1"/>
  <c r="S82" i="13"/>
  <c r="S66" i="7"/>
  <c r="S88" i="13" l="1"/>
  <c r="S37" i="13" s="1"/>
  <c r="S113" i="13"/>
  <c r="S69" i="7"/>
  <c r="S109" i="7"/>
  <c r="T80" i="13"/>
  <c r="S179" i="13"/>
  <c r="S193" i="13" l="1"/>
  <c r="S114" i="13"/>
  <c r="S72" i="7"/>
  <c r="S122" i="13"/>
  <c r="S127" i="13" s="1"/>
  <c r="S206" i="13" s="1"/>
  <c r="S208" i="13" s="1"/>
  <c r="T204" i="13" s="1"/>
  <c r="S120" i="13" l="1"/>
  <c r="S39" i="13" s="1"/>
  <c r="S194" i="13"/>
  <c r="S196" i="13" s="1"/>
  <c r="S199" i="13" s="1"/>
  <c r="S200" i="13" s="1"/>
  <c r="T198" i="13" s="1"/>
  <c r="S128" i="13"/>
  <c r="T111" i="13"/>
  <c r="S181" i="13"/>
  <c r="S111" i="7"/>
  <c r="S134" i="13" l="1"/>
  <c r="S40" i="13" s="1"/>
  <c r="S42" i="13" s="1"/>
  <c r="T125" i="13"/>
  <c r="S182" i="13"/>
  <c r="S75" i="7" s="1"/>
  <c r="S114" i="7" s="1"/>
  <c r="T112" i="13"/>
  <c r="T48" i="13" s="1"/>
  <c r="S74" i="7"/>
  <c r="S113" i="7" l="1"/>
  <c r="S118" i="7" s="1"/>
  <c r="S121" i="7" s="1"/>
  <c r="S122" i="7" s="1"/>
  <c r="S80" i="7"/>
  <c r="S83" i="7" s="1"/>
  <c r="T126" i="13"/>
  <c r="T49" i="13" s="1"/>
  <c r="T52" i="13" s="1"/>
  <c r="S185" i="13"/>
  <c r="T54" i="13" l="1"/>
  <c r="T190" i="13"/>
  <c r="T94" i="13"/>
  <c r="S55" i="7"/>
  <c r="T120" i="7"/>
  <c r="S58" i="7" l="1"/>
  <c r="S64" i="7" s="1"/>
  <c r="S85" i="7" s="1"/>
  <c r="T93" i="13"/>
  <c r="T95" i="13" s="1"/>
  <c r="T97" i="13" s="1"/>
  <c r="T55" i="13"/>
  <c r="T56" i="13" s="1"/>
  <c r="T58" i="13" s="1"/>
  <c r="T62" i="13" l="1"/>
  <c r="T63" i="13" s="1"/>
  <c r="T77" i="13" s="1"/>
  <c r="T103" i="13"/>
  <c r="T101" i="13"/>
  <c r="T102" i="13"/>
  <c r="T81" i="13" l="1"/>
  <c r="T90" i="13" s="1"/>
  <c r="T105" i="13"/>
  <c r="T191" i="13"/>
  <c r="T64" i="13"/>
  <c r="T72" i="13" l="1"/>
  <c r="T178" i="13"/>
  <c r="T65" i="13"/>
  <c r="T74" i="13" s="1"/>
  <c r="T192" i="13"/>
  <c r="T205" i="13" s="1"/>
  <c r="T82" i="13"/>
  <c r="T107" i="13"/>
  <c r="T108" i="13" s="1"/>
  <c r="T179" i="13" l="1"/>
  <c r="T72" i="7" s="1"/>
  <c r="T111" i="7" s="1"/>
  <c r="T88" i="13"/>
  <c r="T37" i="13" s="1"/>
  <c r="T66" i="7"/>
  <c r="T69" i="7" s="1"/>
  <c r="T75" i="13"/>
  <c r="T36" i="13" s="1"/>
  <c r="T113" i="13"/>
  <c r="T122" i="13" s="1"/>
  <c r="T127" i="13" s="1"/>
  <c r="T206" i="13" s="1"/>
  <c r="T208" i="13" s="1"/>
  <c r="T109" i="7" l="1"/>
  <c r="T194" i="13"/>
  <c r="T128" i="13"/>
  <c r="T193" i="13"/>
  <c r="T114" i="13"/>
  <c r="T182" i="13" l="1"/>
  <c r="T75" i="7" s="1"/>
  <c r="T114" i="7" s="1"/>
  <c r="T134" i="13"/>
  <c r="T40" i="13" s="1"/>
  <c r="T181" i="13"/>
  <c r="T74" i="7" s="1"/>
  <c r="T120" i="13"/>
  <c r="T39" i="13" s="1"/>
  <c r="T42" i="13" s="1"/>
  <c r="T196" i="13"/>
  <c r="T199" i="13" s="1"/>
  <c r="T200" i="13" s="1"/>
  <c r="T185" i="13" l="1"/>
  <c r="T113" i="7"/>
  <c r="T118" i="7" s="1"/>
  <c r="T121" i="7" s="1"/>
  <c r="T122" i="7" s="1"/>
  <c r="T55" i="7" s="1"/>
  <c r="T80" i="7"/>
  <c r="T83" i="7" s="1"/>
  <c r="T58" i="7" l="1"/>
  <c r="T64" i="7" s="1"/>
  <c r="T85" i="7" s="1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<sst xmlns="http://schemas.openxmlformats.org/spreadsheetml/2006/main" count="650" uniqueCount="267">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</sst>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1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20" customFormat="1" ht="75" customHeight="1" x14ac:dyDescent="0.45">
      <c r="A2" s="111" t="s">
        <v>132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0"/>
      <c r="D4" s="11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2" t="s">
        <v>13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s="21" customFormat="1" ht="15" customHeight="1" x14ac:dyDescent="0.4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21" customFormat="1" ht="15" customHeight="1" x14ac:dyDescent="0.45">
      <c r="A7" s="112" t="s">
        <v>159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3"/>
      <c r="H9" s="113"/>
      <c r="I9" s="113"/>
      <c r="J9" s="113"/>
      <c r="K9" s="26"/>
    </row>
    <row r="10" spans="1:14" s="21" customFormat="1" ht="15" customHeight="1" x14ac:dyDescent="0.45">
      <c r="B10" s="22"/>
      <c r="C10" s="22"/>
      <c r="F10" s="26"/>
      <c r="G10" s="113"/>
      <c r="H10" s="113"/>
      <c r="I10" s="113"/>
      <c r="J10" s="113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09"/>
      <c r="H12" s="109"/>
      <c r="I12" s="109"/>
      <c r="J12" s="109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09"/>
      <c r="H13" s="109"/>
      <c r="I13" s="109"/>
      <c r="J13" s="109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09"/>
      <c r="H14" s="109"/>
      <c r="I14" s="109"/>
      <c r="J14" s="109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09"/>
      <c r="H16" s="109"/>
      <c r="I16" s="109"/>
      <c r="J16" s="109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7" t="s">
        <v>0</v>
      </c>
      <c r="C4" s="117"/>
      <c r="D4" s="117"/>
      <c r="E4" s="117"/>
      <c r="F4" s="117"/>
      <c r="G4" s="117"/>
      <c r="H4" s="117"/>
      <c r="I4" s="117"/>
      <c r="K4" s="1"/>
      <c r="L4" s="117" t="s">
        <v>2</v>
      </c>
      <c r="M4" s="117"/>
      <c r="N4" s="117"/>
      <c r="O4" s="117"/>
      <c r="P4" s="117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5" t="s">
        <v>9</v>
      </c>
      <c r="O5" s="115"/>
      <c r="P5" s="115"/>
      <c r="Q5" s="115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5"/>
      <c r="O6" s="115"/>
      <c r="P6" s="115"/>
      <c r="Q6" s="115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5" t="s">
        <v>10</v>
      </c>
      <c r="O7" s="115"/>
      <c r="P7" s="115"/>
      <c r="Q7" s="115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5" t="s">
        <v>11</v>
      </c>
      <c r="O8" s="115"/>
      <c r="P8" s="115"/>
      <c r="Q8" s="115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5" t="s">
        <v>12</v>
      </c>
      <c r="O9" s="115"/>
      <c r="P9" s="115"/>
      <c r="Q9" s="11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6">
        <v>0</v>
      </c>
      <c r="O10" s="116"/>
      <c r="P10" s="116"/>
      <c r="Q10" s="116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8" t="s">
        <v>18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N13" s="1"/>
      <c r="O13" s="117" t="s">
        <v>14</v>
      </c>
      <c r="P13" s="117"/>
      <c r="Q13" s="117"/>
      <c r="R13" s="61"/>
    </row>
    <row r="14" spans="1:18" s="2" customFormat="1" ht="15" customHeight="1" x14ac:dyDescent="0.45">
      <c r="A14" s="59"/>
      <c r="B14" s="115" t="s">
        <v>19</v>
      </c>
      <c r="C14" s="115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>
        <f>H22</f>
        <v>568.95135819124994</v>
      </c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>
        <f>Model!I29*Postdeal_Percent</f>
        <v>19.937121063749998</v>
      </c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>
        <f>Model!I30*Postdeal_Percent</f>
        <v>-27.341335000000001</v>
      </c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H22">
        <f>H66</f>
        <v>568.95135819124994</v>
      </c>
      <c r="I22" s="96">
        <f>SUM(I19:I21)</f>
        <v>561.54714425500003</v>
      </c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>
        <f>H27</f>
        <v>178.41399999999999</v>
      </c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>
        <f>Model!I35*Postdeal_Percent</f>
        <v>-1.125</v>
      </c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H27">
        <f>H67</f>
        <v>178.41399999999999</v>
      </c>
      <c r="I27" s="96">
        <f>SUM(I25:I26)</f>
        <v>177.28899999999999</v>
      </c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>
        <f>H33</f>
        <v>541.96</v>
      </c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>
        <f>I56</f>
        <v>21.845845300649998</v>
      </c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>
        <f>I58</f>
        <v>0</v>
      </c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H33">
        <f>H88</f>
        <v>541.96</v>
      </c>
      <c r="I33" s="96">
        <f>SUM(I30:I32)</f>
        <v>563.80584530065005</v>
      </c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>
        <f>Model!I45*Postdeal_Percent</f>
        <v>738.41189124999994</v>
      </c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>
        <f>Model!I46*Postdeal_Percent+I36*I13</f>
        <v>56.119303734999995</v>
      </c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>
        <f>I21</f>
        <v>-27.341335000000001</v>
      </c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>
        <f>I26</f>
        <v>-1.125</v>
      </c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>
        <f>SUM(I39:I40,I37)</f>
        <v>27.652968734999995</v>
      </c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>
        <v>0</v>
      </c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>
        <f>SUM(I43:I52,I41)</f>
        <v>27.652968734999995</v>
      </c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I55">
        <f>I14*I53*-1</f>
        <v>-5.8071234343499984</v>
      </c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I56">
        <f>SUM(I55,I53)</f>
        <v>21.845845300649998</v>
      </c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>
        <v>0</v>
      </c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>
        <f>I128</f>
        <v>87.626110564074935</v>
      </c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>
        <f>Model!I62</f>
        <v>312.35834523013699</v>
      </c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>
        <f>Model!I63</f>
        <v>41.351065909999996</v>
      </c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>
        <f>SUM(I61:I63)</f>
        <v>441.33552170421194</v>
      </c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>
        <f>I22</f>
        <v>561.54714425500003</v>
      </c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>
        <f>I27</f>
        <v>177.28899999999999</v>
      </c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>
        <f>H68</f>
        <v>1009.9711274824999</v>
      </c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>
        <f>Model!I68</f>
        <v>70.3</v>
      </c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>
        <f>SUM(I66:I69,I64)</f>
        <v>2260.4427934417117</v>
      </c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>
        <f>Debt_Schedule!I178</f>
        <v>0</v>
      </c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>
        <f>Model!I72</f>
        <v>135.13949133013696</v>
      </c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>
        <f>Model!I73</f>
        <v>221.52356737499997</v>
      </c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>
        <f>SUM(I72:I74)</f>
        <v>356.6630587051369</v>
      </c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>
        <f>H77</f>
        <v>0</v>
      </c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>
        <f>Debt_Schedule!I179</f>
        <v>0</v>
      </c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 s="96">
        <f>Debt_Schedule!I180</f>
        <v>50</v>
      </c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 s="96">
        <f>Debt_Schedule!I181</f>
        <v>794.87388943592498</v>
      </c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 s="96">
        <f>Debt_Schedule!I182</f>
        <v>300</v>
      </c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 s="96">
        <f>Debt_Schedule!I183</f>
        <v>100</v>
      </c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 s="96">
        <f>Debt_Schedule!I184</f>
        <v>102.5</v>
      </c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>
        <f>-Debt_Schedule!I175</f>
        <v>-11.666666666666666</v>
      </c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>
        <f>H85+I15</f>
        <v>4.5999999999999943</v>
      </c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>
        <f>SUM(I77:I85,I75)</f>
        <v>1696.9702814743951</v>
      </c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I88">
        <f>I33</f>
        <v>563.80584530065005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>
        <f>SUM(I88,I86)</f>
        <v>2260.7761267750452</v>
      </c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>
        <f>IF(ROUND(I70,2)=ROUND(I89,2),"OK",I70-I89)</f>
        <v>-0.33333333333348492</v>
      </c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>
        <f>I37</f>
        <v>56.119303734999995</v>
      </c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>
        <f>I43</f>
        <v>0</v>
      </c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>
        <f>I45</f>
        <v>0</v>
      </c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>
        <f t="shared" ref="I97:I101" si="2">I46</f>
        <v>0</v>
      </c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>
        <f t="shared" si="2"/>
        <v>0</v>
      </c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>
        <f t="shared" si="2"/>
        <v>0</v>
      </c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>
        <f t="shared" si="2"/>
        <v>0</v>
      </c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>
        <f t="shared" si="2"/>
        <v>0</v>
      </c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>
        <f>I52</f>
        <v>0</v>
      </c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>
        <f>I55</f>
        <v>-5.8071234343499984</v>
      </c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>
        <f>H69-I69</f>
        <v>9.7499999999968168E-3</v>
      </c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>
        <f>I85-H85</f>
        <v>0</v>
      </c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>
        <f>H62-I62</f>
        <v>-3.4483363075342481</v>
      </c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>
        <f>H63-I63</f>
        <v>-0.68501647749999961</v>
      </c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>
        <f>I73-H73</f>
        <v>1.510122832534222</v>
      </c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>
        <f>I74-H74</f>
        <v>2.4906418437499838</v>
      </c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>
        <f>SUM(I94:I109)</f>
        <v>50.189342191899954</v>
      </c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I112">
        <f>I20*-1</f>
        <v>-19.937121063749998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I113">
        <f>SUM(I112)</f>
        <v>-19.937121063749998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I115">
        <f>I72-H72</f>
        <v>-20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I116">
        <f>I77-H77</f>
        <v>0</v>
      </c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>
        <f t="shared" ref="I117:I122" si="3">I78-H78</f>
        <v>0</v>
      </c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>
        <f t="shared" si="3"/>
        <v>50</v>
      </c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>
        <f t="shared" si="3"/>
        <v>-5.1261105640750202</v>
      </c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>
        <f t="shared" si="3"/>
        <v>0</v>
      </c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>
        <f t="shared" si="3"/>
        <v>0</v>
      </c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>
        <f t="shared" si="3"/>
        <v>2.5</v>
      </c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I123">
        <f>I58</f>
        <v>0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I124">
        <f>SUM(I115:I123)</f>
        <v>27.37388943592498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I126">
        <f>H128</f>
        <v>30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I127">
        <f>SUM(I110,I113,I124)</f>
        <v>57.626110564074935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H128">
        <f>H61</f>
        <v>30</v>
      </c>
      <c r="I128">
        <f>SUM(I126:I127)</f>
        <v>87.626110564074935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568.95135819124994</v>
      </c>
      <c r="J13" s="90">
        <f>I16</f>
        <v>561.54714425500003</v>
      </c>
      <c r="K13" s="90">
        <f t="shared" ref="K13:T13" si="1">J16</f>
        <v>540.99808861430006</v>
      </c>
      <c r="L13" s="90">
        <f t="shared" si="1"/>
        <v>528.000780739221</v>
      </c>
      <c r="M13" s="90">
        <f t="shared" si="1"/>
        <v>521.32690505436699</v>
      </c>
      <c r="N13" s="90">
        <f t="shared" si="1"/>
        <v>519.98297846504647</v>
      </c>
      <c r="O13" s="90">
        <f t="shared" si="1"/>
        <v>523.16724808280856</v>
      </c>
      <c r="P13" s="90">
        <f t="shared" si="1"/>
        <v>530.23457824980539</v>
      </c>
      <c r="Q13" s="90">
        <f t="shared" si="1"/>
        <v>540.667849533712</v>
      </c>
      <c r="R13" s="90">
        <f t="shared" si="1"/>
        <v>554.05466570180135</v>
      </c>
      <c r="S13" s="90">
        <f t="shared" si="1"/>
        <v>570.06838745372636</v>
      </c>
      <c r="T13" s="90">
        <f t="shared" si="1"/>
        <v>588.45269325234938</v>
      </c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19.937121063749998</v>
      </c>
      <c r="J14">
        <f>Model!J29</f>
        <v>83.337166046474991</v>
      </c>
      <c r="K14" s="90">
        <f>Model!K29</f>
        <v>87.087338518566355</v>
      </c>
      <c r="L14" s="90">
        <f>Model!L29</f>
        <v>91.006268751901843</v>
      </c>
      <c r="M14" s="90">
        <f>Model!M29</f>
        <v>95.101550845737407</v>
      </c>
      <c r="N14" s="90">
        <f>Model!N29</f>
        <v>99.381120633795589</v>
      </c>
      <c r="O14" s="90">
        <f>Model!O29</f>
        <v>103.85327106231638</v>
      </c>
      <c r="P14" s="90">
        <f>Model!P29</f>
        <v>108.52666826012062</v>
      </c>
      <c r="Q14" s="90">
        <f>Model!Q29</f>
        <v>113.41036833182602</v>
      </c>
      <c r="R14" s="90">
        <f>Model!R29</f>
        <v>118.51383490675818</v>
      </c>
      <c r="S14" s="90">
        <f>Model!S29</f>
        <v>123.84695747756228</v>
      </c>
      <c r="T14" s="90">
        <f>Model!T29</f>
        <v>129.42007056405257</v>
      </c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-27.341335000000001</v>
      </c>
      <c r="J15" s="90">
        <f>Model!J30</f>
        <v>-103.88622168717498</v>
      </c>
      <c r="K15" s="90">
        <f>Model!K30</f>
        <v>-100.08464639364549</v>
      </c>
      <c r="L15" s="90">
        <f>Model!L30</f>
        <v>-97.680144436755839</v>
      </c>
      <c r="M15" s="90">
        <f>Model!M30</f>
        <v>-96.445477435057853</v>
      </c>
      <c r="N15" s="90">
        <f>Model!N30</f>
        <v>-96.196851016033548</v>
      </c>
      <c r="O15" s="90">
        <f>Model!O30</f>
        <v>-96.785940895319541</v>
      </c>
      <c r="P15" s="90">
        <f>Model!P30</f>
        <v>-98.093396976213953</v>
      </c>
      <c r="Q15" s="90">
        <f>Model!Q30</f>
        <v>-100.02355216373668</v>
      </c>
      <c r="R15" s="90">
        <f>Model!R30</f>
        <v>-102.5001131548332</v>
      </c>
      <c r="S15" s="90">
        <f>Model!S30</f>
        <v>-105.46265167893934</v>
      </c>
      <c r="T15" s="90">
        <f>Model!T30</f>
        <v>-108.8637482516846</v>
      </c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561.54714425500003</v>
      </c>
      <c r="J16">
        <f>SUM(J13:J15)</f>
        <v>540.99808861430006</v>
      </c>
      <c r="K16" s="90">
        <f t="shared" ref="K16:T16" si="2">SUM(K13:K15)</f>
        <v>528.000780739221</v>
      </c>
      <c r="L16" s="90">
        <f t="shared" si="2"/>
        <v>521.32690505436699</v>
      </c>
      <c r="M16" s="90">
        <f t="shared" si="2"/>
        <v>519.98297846504647</v>
      </c>
      <c r="N16" s="90">
        <f t="shared" si="2"/>
        <v>523.16724808280856</v>
      </c>
      <c r="O16" s="90">
        <f t="shared" si="2"/>
        <v>530.23457824980539</v>
      </c>
      <c r="P16" s="90">
        <f t="shared" si="2"/>
        <v>540.667849533712</v>
      </c>
      <c r="Q16" s="90">
        <f t="shared" si="2"/>
        <v>554.05466570180135</v>
      </c>
      <c r="R16" s="90">
        <f t="shared" si="2"/>
        <v>570.06838745372636</v>
      </c>
      <c r="S16" s="90">
        <f t="shared" si="2"/>
        <v>588.45269325234938</v>
      </c>
      <c r="T16" s="90">
        <f t="shared" si="2"/>
        <v>609.0090155647174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178.41399999999999</v>
      </c>
      <c r="J19" s="90">
        <f>I21</f>
        <v>177.28899999999999</v>
      </c>
      <c r="K19" s="90">
        <f t="shared" ref="K19:T19" si="3">J21</f>
        <v>172.78899999999999</v>
      </c>
      <c r="L19" s="90">
        <f t="shared" si="3"/>
        <v>168.28899999999999</v>
      </c>
      <c r="M19" s="90">
        <f t="shared" si="3"/>
        <v>163.78899999999999</v>
      </c>
      <c r="N19" s="90">
        <f t="shared" si="3"/>
        <v>159.28899999999999</v>
      </c>
      <c r="O19" s="90">
        <f t="shared" si="3"/>
        <v>154.78899999999999</v>
      </c>
      <c r="P19" s="90">
        <f t="shared" si="3"/>
        <v>150.28899999999999</v>
      </c>
      <c r="Q19" s="90">
        <f t="shared" si="3"/>
        <v>145.78899999999999</v>
      </c>
      <c r="R19" s="90">
        <f t="shared" si="3"/>
        <v>141.28899999999999</v>
      </c>
      <c r="S19" s="90">
        <f t="shared" si="3"/>
        <v>136.78899999999999</v>
      </c>
      <c r="T19" s="90">
        <f t="shared" si="3"/>
        <v>132.28899999999999</v>
      </c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-1.125</v>
      </c>
      <c r="J20">
        <f>Model!J35</f>
        <v>-4.5</v>
      </c>
      <c r="K20" s="90">
        <f>Model!K35</f>
        <v>-4.5</v>
      </c>
      <c r="L20" s="90">
        <f>Model!L35</f>
        <v>-4.5</v>
      </c>
      <c r="M20" s="90">
        <f>Model!M35</f>
        <v>-4.5</v>
      </c>
      <c r="N20" s="90">
        <f>Model!N35</f>
        <v>-4.5</v>
      </c>
      <c r="O20" s="90">
        <f>Model!O35</f>
        <v>-4.5</v>
      </c>
      <c r="P20" s="90">
        <f>Model!P35</f>
        <v>-4.5</v>
      </c>
      <c r="Q20" s="90">
        <f>Model!Q35</f>
        <v>-4.5</v>
      </c>
      <c r="R20" s="90">
        <f>Model!R35</f>
        <v>-4.5</v>
      </c>
      <c r="S20" s="90">
        <f>Model!S35</f>
        <v>-4.5</v>
      </c>
      <c r="T20" s="90">
        <f>Model!T35</f>
        <v>-4.5</v>
      </c>
    </row>
    <row r="21" spans="1:31" ht="15" customHeight="1" x14ac:dyDescent="0.45">
      <c r="B21" t="s">
        <v>84</v>
      </c>
      <c r="I21" s="90">
        <f>SUM(I19:I20)</f>
        <v>177.28899999999999</v>
      </c>
      <c r="J21">
        <f>SUM(J19:J20)</f>
        <v>172.78899999999999</v>
      </c>
      <c r="K21" s="90">
        <f t="shared" ref="K21:T21" si="4">SUM(K19:K20)</f>
        <v>168.28899999999999</v>
      </c>
      <c r="L21" s="90">
        <f t="shared" si="4"/>
        <v>163.78899999999999</v>
      </c>
      <c r="M21" s="90">
        <f t="shared" si="4"/>
        <v>159.28899999999999</v>
      </c>
      <c r="N21" s="90">
        <f t="shared" si="4"/>
        <v>154.78899999999999</v>
      </c>
      <c r="O21" s="90">
        <f t="shared" si="4"/>
        <v>150.28899999999999</v>
      </c>
      <c r="P21" s="90">
        <f t="shared" si="4"/>
        <v>145.78899999999999</v>
      </c>
      <c r="Q21" s="90">
        <f t="shared" si="4"/>
        <v>141.28899999999999</v>
      </c>
      <c r="R21" s="90">
        <f t="shared" si="4"/>
        <v>136.78899999999999</v>
      </c>
      <c r="S21" s="90">
        <f t="shared" si="4"/>
        <v>132.28899999999999</v>
      </c>
      <c r="T21" s="90">
        <f t="shared" si="4"/>
        <v>127.78899999999999</v>
      </c>
    </row>
    <row r="22" spans="1:31" ht="15" customHeight="1" x14ac:dyDescent="0.45">
      <c r="I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31" ht="15" customHeight="1" x14ac:dyDescent="0.45">
      <c r="B23" t="s">
        <v>46</v>
      </c>
      <c r="I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31" ht="15" customHeight="1" x14ac:dyDescent="0.45">
      <c r="B24" t="s">
        <v>82</v>
      </c>
      <c r="I24" s="90">
        <f>Deal_Date!I30</f>
        <v>541.96</v>
      </c>
      <c r="J24" s="96">
        <f>I27</f>
        <v>563.80584530065005</v>
      </c>
      <c r="K24" s="96">
        <f t="shared" ref="K24:T24" si="5">J27</f>
        <v>675.68981369792755</v>
      </c>
      <c r="L24" s="96">
        <f t="shared" si="5"/>
        <v>812.20549041551794</v>
      </c>
      <c r="M24" s="96">
        <f t="shared" si="5"/>
        <v>960.48191331063686</v>
      </c>
      <c r="N24" s="96">
        <f t="shared" si="5"/>
        <v>1120.038666302104</v>
      </c>
      <c r="O24" s="96">
        <f t="shared" si="5"/>
        <v>1290.5604997720329</v>
      </c>
      <c r="P24" s="96">
        <f t="shared" si="5"/>
        <v>1471.8702077970925</v>
      </c>
      <c r="Q24" s="96">
        <f t="shared" si="5"/>
        <v>1663.9066775782017</v>
      </c>
      <c r="R24" s="96">
        <f t="shared" si="5"/>
        <v>1866.7071611638223</v>
      </c>
      <c r="S24" s="96">
        <f t="shared" si="5"/>
        <v>2080.3929956072502</v>
      </c>
      <c r="T24" s="96">
        <f t="shared" si="5"/>
        <v>2305.158141189243</v>
      </c>
    </row>
    <row r="25" spans="1:31" ht="15" customHeight="1" x14ac:dyDescent="0.45">
      <c r="B25" t="s">
        <v>88</v>
      </c>
      <c r="I25" s="90">
        <f>Deal_Date!I31</f>
        <v>21.845845300649998</v>
      </c>
      <c r="J25">
        <f>J50</f>
        <v>111.88396839727748</v>
      </c>
      <c r="K25" s="90">
        <f t="shared" ref="K25:T25" si="6">K50</f>
        <v>136.5156767175904</v>
      </c>
      <c r="L25" s="90">
        <f t="shared" si="6"/>
        <v>148.27642289511886</v>
      </c>
      <c r="M25" s="90">
        <f t="shared" si="6"/>
        <v>159.55675299146728</v>
      </c>
      <c r="N25" s="90">
        <f t="shared" si="6"/>
        <v>170.52183346992879</v>
      </c>
      <c r="O25" s="90">
        <f t="shared" si="6"/>
        <v>181.30970802505956</v>
      </c>
      <c r="P25" s="90">
        <f t="shared" si="6"/>
        <v>192.0364697811093</v>
      </c>
      <c r="Q25" s="90">
        <f t="shared" si="6"/>
        <v>202.80048358562061</v>
      </c>
      <c r="R25" s="90">
        <f t="shared" si="6"/>
        <v>213.68583444342804</v>
      </c>
      <c r="S25" s="90">
        <f t="shared" si="6"/>
        <v>224.76514558199278</v>
      </c>
      <c r="T25" s="90">
        <f t="shared" si="6"/>
        <v>236.10188310789999</v>
      </c>
    </row>
    <row r="26" spans="1:31" ht="15" customHeight="1" x14ac:dyDescent="0.45">
      <c r="B26" t="s">
        <v>61</v>
      </c>
      <c r="I26" s="90">
        <f>Deal_Date!I32</f>
        <v>0</v>
      </c>
      <c r="J26">
        <f>J52</f>
        <v>0</v>
      </c>
      <c r="K26" s="90">
        <f t="shared" ref="K26:T26" si="7">K52</f>
        <v>0</v>
      </c>
      <c r="L26" s="90">
        <f t="shared" si="7"/>
        <v>0</v>
      </c>
      <c r="M26" s="90">
        <f t="shared" si="7"/>
        <v>0</v>
      </c>
      <c r="N26" s="90">
        <f t="shared" si="7"/>
        <v>0</v>
      </c>
      <c r="O26" s="90">
        <f t="shared" si="7"/>
        <v>0</v>
      </c>
      <c r="P26" s="90">
        <f t="shared" si="7"/>
        <v>0</v>
      </c>
      <c r="Q26" s="90">
        <f t="shared" si="7"/>
        <v>0</v>
      </c>
      <c r="R26" s="90">
        <f t="shared" si="7"/>
        <v>0</v>
      </c>
      <c r="S26" s="90">
        <f t="shared" si="7"/>
        <v>0</v>
      </c>
      <c r="T26" s="90">
        <f t="shared" si="7"/>
        <v>0</v>
      </c>
    </row>
    <row r="27" spans="1:31" ht="15" customHeight="1" x14ac:dyDescent="0.45">
      <c r="B27" t="s">
        <v>84</v>
      </c>
      <c r="I27" s="90">
        <f>SUM(I24:I26)</f>
        <v>563.80584530065005</v>
      </c>
      <c r="J27" s="90">
        <f>SUM(J24:J26)</f>
        <v>675.68981369792755</v>
      </c>
      <c r="K27" s="90">
        <f t="shared" ref="K27:T27" si="8">SUM(K24:K26)</f>
        <v>812.20549041551794</v>
      </c>
      <c r="L27" s="90">
        <f t="shared" si="8"/>
        <v>960.48191331063686</v>
      </c>
      <c r="M27" s="90">
        <f t="shared" si="8"/>
        <v>1120.038666302104</v>
      </c>
      <c r="N27" s="90">
        <f t="shared" si="8"/>
        <v>1290.5604997720329</v>
      </c>
      <c r="O27" s="90">
        <f t="shared" si="8"/>
        <v>1471.8702077970925</v>
      </c>
      <c r="P27" s="90">
        <f t="shared" si="8"/>
        <v>1663.9066775782017</v>
      </c>
      <c r="Q27" s="90">
        <f t="shared" si="8"/>
        <v>1866.7071611638223</v>
      </c>
      <c r="R27" s="90">
        <f t="shared" si="8"/>
        <v>2080.3929956072502</v>
      </c>
      <c r="S27" s="90">
        <f t="shared" si="8"/>
        <v>2305.158141189243</v>
      </c>
      <c r="T27" s="90">
        <f t="shared" si="8"/>
        <v>2541.260024297143</v>
      </c>
    </row>
    <row r="28" spans="1:31" ht="15" customHeight="1" x14ac:dyDescent="0.45">
      <c r="I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1" ht="15" customHeight="1" x14ac:dyDescent="0.45">
      <c r="A29" s="14" t="s">
        <v>54</v>
      </c>
      <c r="F29" s="30"/>
      <c r="G29" s="85"/>
      <c r="H29" s="85"/>
      <c r="I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738.41189124999994</v>
      </c>
      <c r="J30">
        <f>Model!J45</f>
        <v>3086.5617054249997</v>
      </c>
      <c r="K30" s="90">
        <f>Model!K45</f>
        <v>3225.4569821691243</v>
      </c>
      <c r="L30" s="90">
        <f>Model!L45</f>
        <v>3370.6025463667347</v>
      </c>
      <c r="M30" s="90">
        <f>Model!M45</f>
        <v>3522.2796609532375</v>
      </c>
      <c r="N30" s="90">
        <f>Model!N45</f>
        <v>3680.782245696133</v>
      </c>
      <c r="O30" s="90">
        <f>Model!O45</f>
        <v>3846.4174467524585</v>
      </c>
      <c r="P30" s="90">
        <f>Model!P45</f>
        <v>4019.5062318563191</v>
      </c>
      <c r="Q30" s="90">
        <f>Model!Q45</f>
        <v>4200.3840122898528</v>
      </c>
      <c r="R30" s="90">
        <f>Model!R45</f>
        <v>4389.4012928428956</v>
      </c>
      <c r="S30" s="90">
        <f>Model!S45</f>
        <v>4586.9243510208253</v>
      </c>
      <c r="T30" s="90">
        <f>Model!T45</f>
        <v>4793.3359468167619</v>
      </c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56.119303734999995</v>
      </c>
      <c r="J31" s="90">
        <f>Model!J46+J7*J30</f>
        <v>250.01149813942496</v>
      </c>
      <c r="K31" s="90">
        <f>Model!K46+K7*K30</f>
        <v>277.38930046654468</v>
      </c>
      <c r="L31" s="90">
        <f>Model!L46+L7*L30</f>
        <v>289.8718189875392</v>
      </c>
      <c r="M31" s="90">
        <f>Model!M46+M7*M30</f>
        <v>302.91605084197846</v>
      </c>
      <c r="N31" s="90">
        <f>Model!N46+N7*N30</f>
        <v>316.54727312986745</v>
      </c>
      <c r="O31" s="90">
        <f>Model!O46+O7*O30</f>
        <v>330.79190042071139</v>
      </c>
      <c r="P31" s="90">
        <f>Model!P46+P7*P30</f>
        <v>345.67753593964346</v>
      </c>
      <c r="Q31" s="90">
        <f>Model!Q46+Q7*Q30</f>
        <v>361.23302505692732</v>
      </c>
      <c r="R31" s="90">
        <f>Model!R46+R7*R30</f>
        <v>377.48851118448897</v>
      </c>
      <c r="S31" s="90">
        <f>Model!S46+S7*S30</f>
        <v>394.47549418779096</v>
      </c>
      <c r="T31" s="90">
        <f>Model!T46+T7*T30</f>
        <v>412.22689142624154</v>
      </c>
    </row>
    <row r="32" spans="1:31" ht="15" customHeight="1" x14ac:dyDescent="0.45">
      <c r="F32" s="30"/>
      <c r="G32" s="85"/>
      <c r="H32" s="85"/>
      <c r="I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-27.341335000000001</v>
      </c>
      <c r="J33">
        <f>J15</f>
        <v>-103.88622168717498</v>
      </c>
      <c r="K33" s="90">
        <f t="shared" ref="K33:T33" si="9">K15</f>
        <v>-100.08464639364549</v>
      </c>
      <c r="L33" s="90">
        <f t="shared" si="9"/>
        <v>-97.680144436755839</v>
      </c>
      <c r="M33" s="90">
        <f t="shared" si="9"/>
        <v>-96.445477435057853</v>
      </c>
      <c r="N33" s="90">
        <f t="shared" si="9"/>
        <v>-96.196851016033548</v>
      </c>
      <c r="O33" s="90">
        <f t="shared" si="9"/>
        <v>-96.785940895319541</v>
      </c>
      <c r="P33" s="90">
        <f t="shared" si="9"/>
        <v>-98.093396976213953</v>
      </c>
      <c r="Q33" s="90">
        <f t="shared" si="9"/>
        <v>-100.02355216373668</v>
      </c>
      <c r="R33" s="90">
        <f t="shared" si="9"/>
        <v>-102.5001131548332</v>
      </c>
      <c r="S33" s="90">
        <f t="shared" si="9"/>
        <v>-105.46265167893934</v>
      </c>
      <c r="T33" s="90">
        <f t="shared" si="9"/>
        <v>-108.8637482516846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-1.125</v>
      </c>
      <c r="J34">
        <f>J20</f>
        <v>-4.5</v>
      </c>
      <c r="K34" s="90">
        <f t="shared" ref="K34:T34" si="10">K20</f>
        <v>-4.5</v>
      </c>
      <c r="L34" s="90">
        <f t="shared" si="10"/>
        <v>-4.5</v>
      </c>
      <c r="M34" s="90">
        <f t="shared" si="10"/>
        <v>-4.5</v>
      </c>
      <c r="N34" s="90">
        <f t="shared" si="10"/>
        <v>-4.5</v>
      </c>
      <c r="O34" s="90">
        <f t="shared" si="10"/>
        <v>-4.5</v>
      </c>
      <c r="P34" s="90">
        <f t="shared" si="10"/>
        <v>-4.5</v>
      </c>
      <c r="Q34" s="90">
        <f t="shared" si="10"/>
        <v>-4.5</v>
      </c>
      <c r="R34" s="90">
        <f t="shared" si="10"/>
        <v>-4.5</v>
      </c>
      <c r="S34" s="90">
        <f t="shared" si="10"/>
        <v>-4.5</v>
      </c>
      <c r="T34" s="90">
        <f t="shared" si="10"/>
        <v>-4.5</v>
      </c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27.652968734999995</v>
      </c>
      <c r="J35" s="90">
        <f>SUM(J33:J34,J31)</f>
        <v>141.62527645224998</v>
      </c>
      <c r="K35" s="90">
        <f t="shared" ref="K35:T35" si="11">SUM(K33:K34,K31)</f>
        <v>172.80465407289921</v>
      </c>
      <c r="L35" s="90">
        <f t="shared" si="11"/>
        <v>187.69167455078338</v>
      </c>
      <c r="M35" s="90">
        <f t="shared" si="11"/>
        <v>201.97057340692061</v>
      </c>
      <c r="N35" s="90">
        <f t="shared" si="11"/>
        <v>215.8504221138339</v>
      </c>
      <c r="O35" s="90">
        <f t="shared" si="11"/>
        <v>229.50595952539186</v>
      </c>
      <c r="P35" s="90">
        <f t="shared" si="11"/>
        <v>243.0841389634295</v>
      </c>
      <c r="Q35" s="90">
        <f t="shared" si="11"/>
        <v>256.70947289319065</v>
      </c>
      <c r="R35" s="90">
        <f t="shared" si="11"/>
        <v>270.48839802965574</v>
      </c>
      <c r="S35" s="90">
        <f t="shared" si="11"/>
        <v>284.51284250885163</v>
      </c>
      <c r="T35" s="90">
        <f t="shared" si="11"/>
        <v>298.86314317455697</v>
      </c>
    </row>
    <row r="36" spans="1:20" ht="15" customHeight="1" x14ac:dyDescent="0.45">
      <c r="F36" s="30"/>
      <c r="G36" s="85"/>
      <c r="H36" s="85"/>
      <c r="I36" s="90"/>
      <c r="K36" s="90"/>
      <c r="L36" s="90"/>
      <c r="M36" s="90"/>
      <c r="N36" s="90"/>
      <c r="O36" s="90"/>
      <c r="P36" s="90"/>
      <c r="Q36" s="90"/>
      <c r="R36" s="90"/>
      <c r="S36" s="90"/>
      <c r="T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>
        <f>I37</f>
        <v>0</v>
      </c>
      <c r="K37" s="96">
        <f t="shared" ref="K37:T37" si="12">J37</f>
        <v>0</v>
      </c>
      <c r="L37" s="96">
        <f t="shared" si="12"/>
        <v>0</v>
      </c>
      <c r="M37" s="96">
        <f t="shared" si="12"/>
        <v>0</v>
      </c>
      <c r="N37" s="96">
        <f t="shared" si="12"/>
        <v>0</v>
      </c>
      <c r="O37" s="96">
        <f t="shared" si="12"/>
        <v>0</v>
      </c>
      <c r="P37" s="96">
        <f t="shared" si="12"/>
        <v>0</v>
      </c>
      <c r="Q37" s="96">
        <f t="shared" si="12"/>
        <v>0</v>
      </c>
      <c r="R37" s="96">
        <f t="shared" si="12"/>
        <v>0</v>
      </c>
      <c r="S37" s="96">
        <f t="shared" si="12"/>
        <v>0</v>
      </c>
      <c r="T37" s="96">
        <f t="shared" si="12"/>
        <v>0</v>
      </c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90"/>
      <c r="L38" s="90"/>
      <c r="M38" s="90"/>
      <c r="N38" s="90"/>
      <c r="O38" s="90"/>
      <c r="P38" s="90"/>
      <c r="Q38" s="90"/>
      <c r="R38" s="90"/>
      <c r="S38" s="90"/>
      <c r="T38" s="90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27.652968734999995</v>
      </c>
      <c r="J47" s="90">
        <f>SUM(J37:J46,J35)</f>
        <v>141.62527645224998</v>
      </c>
      <c r="K47" s="90">
        <f t="shared" ref="K47:T47" si="13">SUM(K37:K46,K35)</f>
        <v>172.80465407289921</v>
      </c>
      <c r="L47" s="90">
        <f t="shared" si="13"/>
        <v>187.69167455078338</v>
      </c>
      <c r="M47" s="90">
        <f t="shared" si="13"/>
        <v>201.97057340692061</v>
      </c>
      <c r="N47" s="90">
        <f t="shared" si="13"/>
        <v>215.8504221138339</v>
      </c>
      <c r="O47" s="90">
        <f t="shared" si="13"/>
        <v>229.50595952539186</v>
      </c>
      <c r="P47" s="90">
        <f t="shared" si="13"/>
        <v>243.0841389634295</v>
      </c>
      <c r="Q47" s="90">
        <f t="shared" si="13"/>
        <v>256.70947289319065</v>
      </c>
      <c r="R47" s="90">
        <f t="shared" si="13"/>
        <v>270.48839802965574</v>
      </c>
      <c r="S47" s="90">
        <f t="shared" si="13"/>
        <v>284.51284250885163</v>
      </c>
      <c r="T47" s="90">
        <f t="shared" si="13"/>
        <v>298.86314317455697</v>
      </c>
    </row>
    <row r="48" spans="1:20" ht="15" customHeight="1" x14ac:dyDescent="0.45">
      <c r="F48" s="30"/>
      <c r="G48" s="85"/>
      <c r="H48" s="85"/>
      <c r="I48" s="90"/>
      <c r="K48" s="90"/>
      <c r="L48" s="90"/>
      <c r="M48" s="90"/>
      <c r="N48" s="90"/>
      <c r="O48" s="90"/>
      <c r="P48" s="90"/>
      <c r="Q48" s="90"/>
      <c r="R48" s="90"/>
      <c r="S48" s="90"/>
      <c r="T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-5.8071234343499984</v>
      </c>
      <c r="J49">
        <f>J8*J47*-1</f>
        <v>-29.741308054972492</v>
      </c>
      <c r="K49" s="90">
        <f t="shared" ref="K49:T49" si="14">K8*K47*-1</f>
        <v>-36.28897735530883</v>
      </c>
      <c r="L49" s="90">
        <f t="shared" si="14"/>
        <v>-39.415251655664505</v>
      </c>
      <c r="M49" s="90">
        <f t="shared" si="14"/>
        <v>-42.413820415453323</v>
      </c>
      <c r="N49" s="90">
        <f t="shared" si="14"/>
        <v>-45.328588643905114</v>
      </c>
      <c r="O49" s="90">
        <f t="shared" si="14"/>
        <v>-48.196251500332288</v>
      </c>
      <c r="P49" s="90">
        <f t="shared" si="14"/>
        <v>-51.047669182320192</v>
      </c>
      <c r="Q49" s="90">
        <f t="shared" si="14"/>
        <v>-53.908989307570032</v>
      </c>
      <c r="R49" s="90">
        <f t="shared" si="14"/>
        <v>-56.802563586227706</v>
      </c>
      <c r="S49" s="90">
        <f t="shared" si="14"/>
        <v>-59.747696926858843</v>
      </c>
      <c r="T49" s="90">
        <f t="shared" si="14"/>
        <v>-62.761260066656959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21.845845300649998</v>
      </c>
      <c r="J50" s="90">
        <f>SUM(J49,J47)</f>
        <v>111.88396839727748</v>
      </c>
      <c r="K50" s="90">
        <f t="shared" ref="K50:T50" si="15">SUM(K49,K47)</f>
        <v>136.5156767175904</v>
      </c>
      <c r="L50" s="90">
        <f t="shared" si="15"/>
        <v>148.27642289511886</v>
      </c>
      <c r="M50" s="90">
        <f t="shared" si="15"/>
        <v>159.55675299146728</v>
      </c>
      <c r="N50" s="90">
        <f t="shared" si="15"/>
        <v>170.52183346992879</v>
      </c>
      <c r="O50" s="90">
        <f t="shared" si="15"/>
        <v>181.30970802505956</v>
      </c>
      <c r="P50" s="90">
        <f t="shared" si="15"/>
        <v>192.0364697811093</v>
      </c>
      <c r="Q50" s="90">
        <f t="shared" si="15"/>
        <v>202.80048358562061</v>
      </c>
      <c r="R50" s="90">
        <f t="shared" si="15"/>
        <v>213.68583444342804</v>
      </c>
      <c r="S50" s="90">
        <f t="shared" si="15"/>
        <v>224.76514558199278</v>
      </c>
      <c r="T50" s="90">
        <f t="shared" si="15"/>
        <v>236.10188310789999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>
        <f>I52</f>
        <v>0</v>
      </c>
      <c r="K52" s="96">
        <f t="shared" ref="K52:T52" si="16">J52</f>
        <v>0</v>
      </c>
      <c r="L52" s="96">
        <f t="shared" si="16"/>
        <v>0</v>
      </c>
      <c r="M52" s="96">
        <f t="shared" si="16"/>
        <v>0</v>
      </c>
      <c r="N52" s="96">
        <f t="shared" si="16"/>
        <v>0</v>
      </c>
      <c r="O52" s="96">
        <f t="shared" si="16"/>
        <v>0</v>
      </c>
      <c r="P52" s="96">
        <f t="shared" si="16"/>
        <v>0</v>
      </c>
      <c r="Q52" s="96">
        <f t="shared" si="16"/>
        <v>0</v>
      </c>
      <c r="R52" s="96">
        <f t="shared" si="16"/>
        <v>0</v>
      </c>
      <c r="S52" s="96">
        <f t="shared" si="16"/>
        <v>0</v>
      </c>
      <c r="T52" s="96">
        <f t="shared" si="16"/>
        <v>0</v>
      </c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  <c r="K54" s="90"/>
      <c r="L54" s="90"/>
      <c r="M54" s="90"/>
      <c r="N54" s="90"/>
      <c r="O54" s="90"/>
      <c r="P54" s="90"/>
      <c r="Q54" s="90"/>
      <c r="R54" s="90"/>
      <c r="S54" s="90"/>
      <c r="T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87.626110564074935</v>
      </c>
      <c r="J55">
        <f>J122</f>
        <v>187.59602437123871</v>
      </c>
      <c r="K55" s="90">
        <f t="shared" ref="K55:T55" si="17">K122</f>
        <v>247.14895212032616</v>
      </c>
      <c r="L55" s="90">
        <f t="shared" si="17"/>
        <v>374.96079719837246</v>
      </c>
      <c r="M55" s="90">
        <f t="shared" si="17"/>
        <v>389.0276154203101</v>
      </c>
      <c r="N55" s="90">
        <f t="shared" si="17"/>
        <v>429.82597048577577</v>
      </c>
      <c r="O55" s="90">
        <f t="shared" si="17"/>
        <v>280.58708310923163</v>
      </c>
      <c r="P55" s="90">
        <f t="shared" si="17"/>
        <v>193.54170954384603</v>
      </c>
      <c r="Q55" s="90">
        <f t="shared" si="17"/>
        <v>307.61060501681084</v>
      </c>
      <c r="R55" s="90">
        <f t="shared" si="17"/>
        <v>290.25388196386689</v>
      </c>
      <c r="S55" s="90">
        <f t="shared" si="17"/>
        <v>501.33224480541458</v>
      </c>
      <c r="T55" s="90">
        <f t="shared" si="17"/>
        <v>721.58421719674243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312.35834523013699</v>
      </c>
      <c r="J56">
        <f>Model!J62</f>
        <v>326.41447076549309</v>
      </c>
      <c r="K56" s="90">
        <f>Model!K62</f>
        <v>341.10312194994026</v>
      </c>
      <c r="L56" s="90">
        <f>Model!L62</f>
        <v>356.45276243768757</v>
      </c>
      <c r="M56" s="90">
        <f>Model!M62</f>
        <v>372.49313674738346</v>
      </c>
      <c r="N56" s="90">
        <f>Model!N62</f>
        <v>389.25532790101573</v>
      </c>
      <c r="O56" s="90">
        <f>Model!O62</f>
        <v>406.77181765656138</v>
      </c>
      <c r="P56" s="90">
        <f>Model!P62</f>
        <v>425.07654945110664</v>
      </c>
      <c r="Q56" s="90">
        <f>Model!Q62</f>
        <v>444.20499417640633</v>
      </c>
      <c r="R56" s="90">
        <f>Model!R62</f>
        <v>464.19421891434456</v>
      </c>
      <c r="S56" s="90">
        <f>Model!S62</f>
        <v>485.08295876549005</v>
      </c>
      <c r="T56" s="90">
        <f>Model!T62</f>
        <v>506.91169190993702</v>
      </c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41.351065909999996</v>
      </c>
      <c r="J57" s="90">
        <f>Model!J63</f>
        <v>43.211863875949994</v>
      </c>
      <c r="K57" s="90">
        <f>Model!K63</f>
        <v>45.156397750367745</v>
      </c>
      <c r="L57" s="90">
        <f>Model!L63</f>
        <v>47.188435649134284</v>
      </c>
      <c r="M57" s="90">
        <f>Model!M63</f>
        <v>49.311915253345326</v>
      </c>
      <c r="N57" s="90">
        <f>Model!N63</f>
        <v>51.530951439745863</v>
      </c>
      <c r="O57" s="90">
        <f>Model!O63</f>
        <v>53.849844254534418</v>
      </c>
      <c r="P57" s="90">
        <f>Model!P63</f>
        <v>56.273087245988471</v>
      </c>
      <c r="Q57" s="90">
        <f>Model!Q63</f>
        <v>58.80537617205794</v>
      </c>
      <c r="R57" s="90">
        <f>Model!R63</f>
        <v>61.451618099800541</v>
      </c>
      <c r="S57" s="90">
        <f>Model!S63</f>
        <v>64.216940914291555</v>
      </c>
      <c r="T57" s="90">
        <f>Model!T63</f>
        <v>67.106703255434667</v>
      </c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441.33552170421194</v>
      </c>
      <c r="J58" s="90">
        <f>SUM(J55:J57)</f>
        <v>557.22235901268186</v>
      </c>
      <c r="K58" s="90">
        <f t="shared" ref="K58:T58" si="18">SUM(K55:K57)</f>
        <v>633.40847182063419</v>
      </c>
      <c r="L58" s="90">
        <f t="shared" si="18"/>
        <v>778.60199528519422</v>
      </c>
      <c r="M58" s="90">
        <f t="shared" si="18"/>
        <v>810.83266742103888</v>
      </c>
      <c r="N58" s="90">
        <f t="shared" si="18"/>
        <v>870.61224982653744</v>
      </c>
      <c r="O58" s="90">
        <f t="shared" si="18"/>
        <v>741.20874502032746</v>
      </c>
      <c r="P58" s="90">
        <f t="shared" si="18"/>
        <v>674.89134624094106</v>
      </c>
      <c r="Q58" s="90">
        <f t="shared" si="18"/>
        <v>810.62097536527506</v>
      </c>
      <c r="R58" s="90">
        <f t="shared" si="18"/>
        <v>815.89971897801195</v>
      </c>
      <c r="S58" s="90">
        <f t="shared" si="18"/>
        <v>1050.6321444851962</v>
      </c>
      <c r="T58" s="90">
        <f t="shared" si="18"/>
        <v>1295.6026123621141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561.54714425500003</v>
      </c>
      <c r="J60">
        <f>J16</f>
        <v>540.99808861430006</v>
      </c>
      <c r="K60" s="90">
        <f t="shared" ref="K60:T60" si="19">K16</f>
        <v>528.000780739221</v>
      </c>
      <c r="L60" s="90">
        <f t="shared" si="19"/>
        <v>521.32690505436699</v>
      </c>
      <c r="M60" s="90">
        <f t="shared" si="19"/>
        <v>519.98297846504647</v>
      </c>
      <c r="N60" s="90">
        <f t="shared" si="19"/>
        <v>523.16724808280856</v>
      </c>
      <c r="O60" s="90">
        <f t="shared" si="19"/>
        <v>530.23457824980539</v>
      </c>
      <c r="P60" s="90">
        <f t="shared" si="19"/>
        <v>540.667849533712</v>
      </c>
      <c r="Q60" s="90">
        <f t="shared" si="19"/>
        <v>554.05466570180135</v>
      </c>
      <c r="R60" s="90">
        <f t="shared" si="19"/>
        <v>570.06838745372636</v>
      </c>
      <c r="S60" s="90">
        <f t="shared" si="19"/>
        <v>588.45269325234938</v>
      </c>
      <c r="T60" s="90">
        <f t="shared" si="19"/>
        <v>609.0090155647174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177.28899999999999</v>
      </c>
      <c r="J61">
        <f>J21</f>
        <v>172.78899999999999</v>
      </c>
      <c r="K61" s="90">
        <f t="shared" ref="K61:T61" si="20">K21</f>
        <v>168.28899999999999</v>
      </c>
      <c r="L61" s="90">
        <f t="shared" si="20"/>
        <v>163.78899999999999</v>
      </c>
      <c r="M61" s="90">
        <f t="shared" si="20"/>
        <v>159.28899999999999</v>
      </c>
      <c r="N61" s="90">
        <f t="shared" si="20"/>
        <v>154.78899999999999</v>
      </c>
      <c r="O61" s="90">
        <f t="shared" si="20"/>
        <v>150.28899999999999</v>
      </c>
      <c r="P61" s="90">
        <f t="shared" si="20"/>
        <v>145.78899999999999</v>
      </c>
      <c r="Q61" s="90">
        <f t="shared" si="20"/>
        <v>141.28899999999999</v>
      </c>
      <c r="R61" s="90">
        <f t="shared" si="20"/>
        <v>136.78899999999999</v>
      </c>
      <c r="S61" s="90">
        <f t="shared" si="20"/>
        <v>132.28899999999999</v>
      </c>
      <c r="T61" s="90">
        <f t="shared" si="20"/>
        <v>127.78899999999999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1009.9711274824999</v>
      </c>
      <c r="J62" s="96">
        <f>I62</f>
        <v>1009.9711274824999</v>
      </c>
      <c r="K62" s="96">
        <f t="shared" ref="K62:T62" si="21">J62</f>
        <v>1009.9711274824999</v>
      </c>
      <c r="L62" s="96">
        <f t="shared" si="21"/>
        <v>1009.9711274824999</v>
      </c>
      <c r="M62" s="96">
        <f t="shared" si="21"/>
        <v>1009.9711274824999</v>
      </c>
      <c r="N62" s="96">
        <f t="shared" si="21"/>
        <v>1009.9711274824999</v>
      </c>
      <c r="O62" s="96">
        <f t="shared" si="21"/>
        <v>1009.9711274824999</v>
      </c>
      <c r="P62" s="96">
        <f t="shared" si="21"/>
        <v>1009.9711274824999</v>
      </c>
      <c r="Q62" s="96">
        <f t="shared" si="21"/>
        <v>1009.9711274824999</v>
      </c>
      <c r="R62" s="96">
        <f t="shared" si="21"/>
        <v>1009.9711274824999</v>
      </c>
      <c r="S62" s="96">
        <f t="shared" si="21"/>
        <v>1009.9711274824999</v>
      </c>
      <c r="T62" s="96">
        <f t="shared" si="21"/>
        <v>1009.9711274824999</v>
      </c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70.3</v>
      </c>
      <c r="J63" s="90">
        <f>Model!J68</f>
        <v>70.3</v>
      </c>
      <c r="K63" s="90">
        <f>Model!K68</f>
        <v>70.3</v>
      </c>
      <c r="L63" s="90">
        <f>Model!L68</f>
        <v>70.3</v>
      </c>
      <c r="M63" s="90">
        <f>Model!M68</f>
        <v>70.3</v>
      </c>
      <c r="N63" s="90">
        <f>Model!N68</f>
        <v>70.3</v>
      </c>
      <c r="O63" s="90">
        <f>Model!O68</f>
        <v>70.3</v>
      </c>
      <c r="P63" s="90">
        <f>Model!P68</f>
        <v>70.3</v>
      </c>
      <c r="Q63" s="90">
        <f>Model!Q68</f>
        <v>70.3</v>
      </c>
      <c r="R63" s="90">
        <f>Model!R68</f>
        <v>70.3</v>
      </c>
      <c r="S63" s="90">
        <f>Model!S68</f>
        <v>70.3</v>
      </c>
      <c r="T63" s="90">
        <f>Model!T68</f>
        <v>70.3</v>
      </c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2260.4427934417117</v>
      </c>
      <c r="J64" s="90">
        <f>SUM(J60:J63,J58)</f>
        <v>2351.280575109482</v>
      </c>
      <c r="K64" s="90">
        <f t="shared" ref="K64:T64" si="22">SUM(K60:K63,K58)</f>
        <v>2409.9693800423552</v>
      </c>
      <c r="L64" s="90">
        <f t="shared" si="22"/>
        <v>2543.989027822061</v>
      </c>
      <c r="M64" s="90">
        <f t="shared" si="22"/>
        <v>2570.3757733685852</v>
      </c>
      <c r="N64" s="90">
        <f t="shared" si="22"/>
        <v>2628.8396253918459</v>
      </c>
      <c r="O64" s="90">
        <f t="shared" si="22"/>
        <v>2502.0034507526325</v>
      </c>
      <c r="P64" s="90">
        <f t="shared" si="22"/>
        <v>2441.6193232571532</v>
      </c>
      <c r="Q64" s="90">
        <f t="shared" si="22"/>
        <v>2586.2357685495763</v>
      </c>
      <c r="R64" s="90">
        <f t="shared" si="22"/>
        <v>2603.0282339142382</v>
      </c>
      <c r="S64" s="90">
        <f t="shared" si="22"/>
        <v>2851.6449652200454</v>
      </c>
      <c r="T64" s="90">
        <f t="shared" si="22"/>
        <v>3112.6717554093311</v>
      </c>
    </row>
    <row r="65" spans="1:20" ht="15" customHeight="1" x14ac:dyDescent="0.45">
      <c r="I65" s="90"/>
      <c r="K65" s="90"/>
      <c r="L65" s="90"/>
      <c r="M65" s="90"/>
      <c r="N65" s="90"/>
      <c r="O65" s="90"/>
      <c r="P65" s="90"/>
      <c r="Q65" s="90"/>
      <c r="R65" s="90"/>
      <c r="S65" s="90"/>
      <c r="T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>
        <f>Debt_Schedule!J178</f>
        <v>0</v>
      </c>
      <c r="K66" s="90">
        <f>Debt_Schedule!K178</f>
        <v>0</v>
      </c>
      <c r="L66" s="90">
        <f>Debt_Schedule!L178</f>
        <v>0</v>
      </c>
      <c r="M66" s="90">
        <f>Debt_Schedule!M178</f>
        <v>0</v>
      </c>
      <c r="N66" s="90">
        <f>Debt_Schedule!N178</f>
        <v>0</v>
      </c>
      <c r="O66" s="90">
        <f>Debt_Schedule!O178</f>
        <v>0</v>
      </c>
      <c r="P66" s="90">
        <f>Debt_Schedule!P178</f>
        <v>0</v>
      </c>
      <c r="Q66" s="90">
        <f>Debt_Schedule!Q178</f>
        <v>0</v>
      </c>
      <c r="R66" s="90">
        <f>Debt_Schedule!R178</f>
        <v>0</v>
      </c>
      <c r="S66" s="90">
        <f>Debt_Schedule!S178</f>
        <v>0</v>
      </c>
      <c r="T66" s="90">
        <f>Debt_Schedule!T178</f>
        <v>0</v>
      </c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135.13949133013696</v>
      </c>
      <c r="J67" s="90">
        <f>Model!J72</f>
        <v>141.22076843999312</v>
      </c>
      <c r="K67" s="90">
        <f>Model!K72</f>
        <v>147.5757030197928</v>
      </c>
      <c r="L67" s="90">
        <f>Model!L72</f>
        <v>154.21660965568347</v>
      </c>
      <c r="M67" s="90">
        <f>Model!M72</f>
        <v>161.1563570901892</v>
      </c>
      <c r="N67" s="90">
        <f>Model!N72</f>
        <v>168.40839315924771</v>
      </c>
      <c r="O67" s="90">
        <f>Model!O72</f>
        <v>175.98677085141384</v>
      </c>
      <c r="P67" s="90">
        <f>Model!P72</f>
        <v>183.90617553972746</v>
      </c>
      <c r="Q67" s="90">
        <f>Model!Q72</f>
        <v>192.18195343901516</v>
      </c>
      <c r="R67" s="90">
        <f>Model!R72</f>
        <v>200.83014134377083</v>
      </c>
      <c r="S67" s="90">
        <f>Model!S72</f>
        <v>209.86749770424049</v>
      </c>
      <c r="T67" s="90">
        <f>Model!T72</f>
        <v>219.31153510093128</v>
      </c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221.52356737499997</v>
      </c>
      <c r="J68" s="90">
        <f>Model!J73</f>
        <v>231.49212790687497</v>
      </c>
      <c r="K68" s="90">
        <f>Model!K73</f>
        <v>241.90927366268431</v>
      </c>
      <c r="L68" s="90">
        <f>Model!L73</f>
        <v>252.79519097750509</v>
      </c>
      <c r="M68" s="90">
        <f>Model!M73</f>
        <v>264.17097457149282</v>
      </c>
      <c r="N68" s="90">
        <f>Model!N73</f>
        <v>276.05866842720997</v>
      </c>
      <c r="O68" s="90">
        <f>Model!O73</f>
        <v>288.4813085064344</v>
      </c>
      <c r="P68" s="90">
        <f>Model!P73</f>
        <v>301.46296738922393</v>
      </c>
      <c r="Q68" s="90">
        <f>Model!Q73</f>
        <v>315.02880092173893</v>
      </c>
      <c r="R68" s="90">
        <f>Model!R73</f>
        <v>329.20509696321716</v>
      </c>
      <c r="S68" s="90">
        <f>Model!S73</f>
        <v>344.0193263265619</v>
      </c>
      <c r="T68" s="90">
        <f>Model!T73</f>
        <v>359.50019601125712</v>
      </c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356.6630587051369</v>
      </c>
      <c r="J69" s="90">
        <f>SUM(J66:J68)</f>
        <v>372.71289634686809</v>
      </c>
      <c r="K69" s="90">
        <f t="shared" ref="K69:T69" si="23">SUM(K66:K68)</f>
        <v>389.48497668247711</v>
      </c>
      <c r="L69" s="90">
        <f t="shared" si="23"/>
        <v>407.01180063318856</v>
      </c>
      <c r="M69" s="90">
        <f t="shared" si="23"/>
        <v>425.32733166168202</v>
      </c>
      <c r="N69" s="90">
        <f t="shared" si="23"/>
        <v>444.4670615864577</v>
      </c>
      <c r="O69" s="90">
        <f t="shared" si="23"/>
        <v>464.46807935784824</v>
      </c>
      <c r="P69" s="90">
        <f t="shared" si="23"/>
        <v>485.36914292895142</v>
      </c>
      <c r="Q69" s="90">
        <f t="shared" si="23"/>
        <v>507.21075436075409</v>
      </c>
      <c r="R69" s="90">
        <f t="shared" si="23"/>
        <v>530.03523830698805</v>
      </c>
      <c r="S69" s="90">
        <f t="shared" si="23"/>
        <v>553.88682403080236</v>
      </c>
      <c r="T69" s="90">
        <f t="shared" si="23"/>
        <v>578.81173111218845</v>
      </c>
    </row>
    <row r="70" spans="1:20" ht="15" customHeight="1" x14ac:dyDescent="0.45">
      <c r="A70"/>
      <c r="I70" s="90"/>
      <c r="K70" s="90"/>
      <c r="L70" s="90"/>
      <c r="M70" s="90"/>
      <c r="N70" s="90"/>
      <c r="O70" s="90"/>
      <c r="P70" s="90"/>
      <c r="Q70" s="90"/>
      <c r="R70" s="90"/>
      <c r="S70" s="90"/>
      <c r="T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>
        <f>I71</f>
        <v>0</v>
      </c>
      <c r="K71" s="96">
        <f t="shared" ref="K71:T71" si="24">J71</f>
        <v>0</v>
      </c>
      <c r="L71" s="96">
        <f t="shared" si="24"/>
        <v>0</v>
      </c>
      <c r="M71" s="96">
        <f t="shared" si="24"/>
        <v>0</v>
      </c>
      <c r="N71" s="96">
        <f t="shared" si="24"/>
        <v>0</v>
      </c>
      <c r="O71" s="96">
        <f t="shared" si="24"/>
        <v>0</v>
      </c>
      <c r="P71" s="96">
        <f t="shared" si="24"/>
        <v>0</v>
      </c>
      <c r="Q71" s="96">
        <f t="shared" si="24"/>
        <v>0</v>
      </c>
      <c r="R71" s="96">
        <f t="shared" si="24"/>
        <v>0</v>
      </c>
      <c r="S71" s="96">
        <f t="shared" si="24"/>
        <v>0</v>
      </c>
      <c r="T71" s="96">
        <f t="shared" si="24"/>
        <v>0</v>
      </c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>
        <f>Debt_Schedule!J179</f>
        <v>0</v>
      </c>
      <c r="K72" s="90">
        <f>Debt_Schedule!K179</f>
        <v>0</v>
      </c>
      <c r="L72" s="90">
        <f>Debt_Schedule!L179</f>
        <v>0</v>
      </c>
      <c r="M72" s="90">
        <f>Debt_Schedule!M179</f>
        <v>0</v>
      </c>
      <c r="N72" s="90">
        <f>Debt_Schedule!N179</f>
        <v>0</v>
      </c>
      <c r="O72" s="90">
        <f>Debt_Schedule!O179</f>
        <v>0</v>
      </c>
      <c r="P72" s="90">
        <f>Debt_Schedule!P179</f>
        <v>0</v>
      </c>
      <c r="Q72" s="90">
        <f>Debt_Schedule!Q179</f>
        <v>0</v>
      </c>
      <c r="R72" s="90">
        <f>Debt_Schedule!R179</f>
        <v>0</v>
      </c>
      <c r="S72" s="90">
        <f>Debt_Schedule!S179</f>
        <v>0</v>
      </c>
      <c r="T72" s="90">
        <f>Debt_Schedule!T179</f>
        <v>0</v>
      </c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50</v>
      </c>
      <c r="J73" s="90">
        <f>Debt_Schedule!J180</f>
        <v>100</v>
      </c>
      <c r="K73" s="90">
        <f>Debt_Schedule!K180</f>
        <v>150</v>
      </c>
      <c r="L73" s="90">
        <f>Debt_Schedule!L180</f>
        <v>200</v>
      </c>
      <c r="M73" s="90">
        <f>Debt_Schedule!M180</f>
        <v>150</v>
      </c>
      <c r="N73" s="90">
        <f>Debt_Schedule!N180</f>
        <v>100</v>
      </c>
      <c r="O73" s="90">
        <f>Debt_Schedule!O180</f>
        <v>50</v>
      </c>
      <c r="P73" s="90">
        <f>Debt_Schedule!P180</f>
        <v>0</v>
      </c>
      <c r="Q73" s="90">
        <f>Debt_Schedule!Q180</f>
        <v>0</v>
      </c>
      <c r="R73" s="90">
        <f>Debt_Schedule!R180</f>
        <v>0</v>
      </c>
      <c r="S73" s="90">
        <f>Debt_Schedule!S180</f>
        <v>0</v>
      </c>
      <c r="T73" s="90">
        <f>Debt_Schedule!T180</f>
        <v>0</v>
      </c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794.87388943592498</v>
      </c>
      <c r="J74" s="90">
        <f>Debt_Schedule!J181</f>
        <v>697.52786506468624</v>
      </c>
      <c r="K74" s="90">
        <f>Debt_Schedule!K181</f>
        <v>541.65391294436006</v>
      </c>
      <c r="L74" s="90">
        <f>Debt_Schedule!L181</f>
        <v>447.46781387823592</v>
      </c>
      <c r="M74" s="90">
        <f>Debt_Schedule!M181</f>
        <v>332.33952540479925</v>
      </c>
      <c r="N74" s="90">
        <f>Debt_Schedule!N181</f>
        <v>236.13478903335533</v>
      </c>
      <c r="O74" s="90">
        <f>Debt_Schedule!O181</f>
        <v>0</v>
      </c>
      <c r="P74" s="90">
        <f>Debt_Schedule!P181</f>
        <v>0</v>
      </c>
      <c r="Q74" s="90">
        <f>Debt_Schedule!Q181</f>
        <v>0</v>
      </c>
      <c r="R74" s="90">
        <f>Debt_Schedule!R181</f>
        <v>0</v>
      </c>
      <c r="S74" s="90">
        <f>Debt_Schedule!S181</f>
        <v>0</v>
      </c>
      <c r="T74" s="90">
        <f>Debt_Schedule!T181</f>
        <v>0</v>
      </c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300</v>
      </c>
      <c r="J75" s="90">
        <f>Debt_Schedule!J182</f>
        <v>300</v>
      </c>
      <c r="K75" s="90">
        <f>Debt_Schedule!K182</f>
        <v>300</v>
      </c>
      <c r="L75" s="90">
        <f>Debt_Schedule!L182</f>
        <v>300</v>
      </c>
      <c r="M75" s="90">
        <f>Debt_Schedule!M182</f>
        <v>300</v>
      </c>
      <c r="N75" s="90">
        <f>Debt_Schedule!N182</f>
        <v>300</v>
      </c>
      <c r="O75" s="90">
        <f>Debt_Schedule!O182</f>
        <v>241.4801610976921</v>
      </c>
      <c r="P75" s="90">
        <f>Debt_Schedule!P182</f>
        <v>0</v>
      </c>
      <c r="Q75" s="90">
        <f>Debt_Schedule!Q182</f>
        <v>0</v>
      </c>
      <c r="R75" s="90">
        <f>Debt_Schedule!R182</f>
        <v>0</v>
      </c>
      <c r="S75" s="90">
        <f>Debt_Schedule!S182</f>
        <v>0</v>
      </c>
      <c r="T75" s="90">
        <f>Debt_Schedule!T182</f>
        <v>0</v>
      </c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100</v>
      </c>
      <c r="J76" s="90">
        <f>Debt_Schedule!J183</f>
        <v>100</v>
      </c>
      <c r="K76" s="90">
        <f>Debt_Schedule!K183</f>
        <v>100</v>
      </c>
      <c r="L76" s="90">
        <f>Debt_Schedule!L183</f>
        <v>100</v>
      </c>
      <c r="M76" s="90">
        <f>Debt_Schedule!M183</f>
        <v>100</v>
      </c>
      <c r="N76" s="90">
        <f>Debt_Schedule!N183</f>
        <v>100</v>
      </c>
      <c r="O76" s="90">
        <f>Debt_Schedule!O183</f>
        <v>100</v>
      </c>
      <c r="P76" s="90">
        <f>Debt_Schedule!P183</f>
        <v>100</v>
      </c>
      <c r="Q76" s="90">
        <f>Debt_Schedule!Q183</f>
        <v>0</v>
      </c>
      <c r="R76" s="90">
        <f>Debt_Schedule!R183</f>
        <v>0</v>
      </c>
      <c r="S76" s="90">
        <f>Debt_Schedule!S183</f>
        <v>0</v>
      </c>
      <c r="T76" s="90">
        <f>Debt_Schedule!T183</f>
        <v>0</v>
      </c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102.5</v>
      </c>
      <c r="J77" s="90">
        <f>Debt_Schedule!J184</f>
        <v>112.75</v>
      </c>
      <c r="K77" s="90">
        <f>Debt_Schedule!K184</f>
        <v>124.02500000000001</v>
      </c>
      <c r="L77" s="90">
        <f>Debt_Schedule!L184</f>
        <v>136.42750000000001</v>
      </c>
      <c r="M77" s="90">
        <f>Debt_Schedule!M184</f>
        <v>150.07025000000002</v>
      </c>
      <c r="N77" s="90">
        <f>Debt_Schedule!N184</f>
        <v>165.07727500000001</v>
      </c>
      <c r="O77" s="90">
        <f>Debt_Schedule!O184</f>
        <v>181.58500250000003</v>
      </c>
      <c r="P77" s="90">
        <f>Debt_Schedule!P184</f>
        <v>199.74350275000003</v>
      </c>
      <c r="Q77" s="90">
        <f>Debt_Schedule!Q184</f>
        <v>219.71785302500004</v>
      </c>
      <c r="R77" s="90">
        <f>Debt_Schedule!R184</f>
        <v>0</v>
      </c>
      <c r="S77" s="90">
        <f>Debt_Schedule!S184</f>
        <v>0</v>
      </c>
      <c r="T77" s="90">
        <f>Debt_Schedule!T184</f>
        <v>0</v>
      </c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-11.666666666666666</v>
      </c>
      <c r="J78" s="90">
        <f>-Debt_Schedule!J175</f>
        <v>-10.333333333333332</v>
      </c>
      <c r="K78" s="90">
        <f>-Debt_Schedule!K175</f>
        <v>-8.9999999999999982</v>
      </c>
      <c r="L78" s="90">
        <f>-Debt_Schedule!L175</f>
        <v>-7.6666666666666652</v>
      </c>
      <c r="M78" s="90">
        <f>-Debt_Schedule!M175</f>
        <v>-6.3333333333333321</v>
      </c>
      <c r="N78" s="90">
        <f>-Debt_Schedule!N175</f>
        <v>-4.9999999999999991</v>
      </c>
      <c r="O78" s="90">
        <f>-Debt_Schedule!O175</f>
        <v>-3.6666666666666661</v>
      </c>
      <c r="P78" s="90">
        <f>-Debt_Schedule!P175</f>
        <v>-2.333333333333333</v>
      </c>
      <c r="Q78" s="90">
        <f>-Debt_Schedule!Q175</f>
        <v>-0.99999999999999978</v>
      </c>
      <c r="R78" s="90">
        <f>-Debt_Schedule!R175</f>
        <v>0</v>
      </c>
      <c r="S78" s="90">
        <f>-Debt_Schedule!S175</f>
        <v>0</v>
      </c>
      <c r="T78" s="90">
        <f>-Debt_Schedule!T175</f>
        <v>0</v>
      </c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4.5999999999999943</v>
      </c>
      <c r="J79" s="90">
        <f>I79+J9</f>
        <v>4.5999999999999943</v>
      </c>
      <c r="K79" s="90">
        <f t="shared" ref="K79:T79" si="25">J79+K9</f>
        <v>4.5999999999999943</v>
      </c>
      <c r="L79" s="90">
        <f t="shared" si="25"/>
        <v>4.5999999999999943</v>
      </c>
      <c r="M79" s="90">
        <f t="shared" si="25"/>
        <v>4.5999999999999943</v>
      </c>
      <c r="N79" s="90">
        <f t="shared" si="25"/>
        <v>4.5999999999999943</v>
      </c>
      <c r="O79" s="90">
        <f t="shared" si="25"/>
        <v>4.5999999999999943</v>
      </c>
      <c r="P79" s="90">
        <f t="shared" si="25"/>
        <v>4.5999999999999943</v>
      </c>
      <c r="Q79" s="90">
        <f t="shared" si="25"/>
        <v>4.5999999999999943</v>
      </c>
      <c r="R79" s="90">
        <f t="shared" si="25"/>
        <v>4.5999999999999943</v>
      </c>
      <c r="S79" s="90">
        <f t="shared" si="25"/>
        <v>4.5999999999999943</v>
      </c>
      <c r="T79" s="90">
        <f t="shared" si="25"/>
        <v>4.5999999999999943</v>
      </c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1696.9702814743951</v>
      </c>
      <c r="J80" s="90">
        <f>SUM(J71:J79,J69)</f>
        <v>1677.257428078221</v>
      </c>
      <c r="K80" s="90">
        <f t="shared" ref="K80:T80" si="26">SUM(K71:K79,K69)</f>
        <v>1600.763889626837</v>
      </c>
      <c r="L80" s="90">
        <f t="shared" si="26"/>
        <v>1587.8404478447578</v>
      </c>
      <c r="M80" s="90">
        <f t="shared" si="26"/>
        <v>1456.0037737331481</v>
      </c>
      <c r="N80" s="90">
        <f t="shared" si="26"/>
        <v>1345.2791256198129</v>
      </c>
      <c r="O80" s="90">
        <f t="shared" si="26"/>
        <v>1038.4665762888737</v>
      </c>
      <c r="P80" s="90">
        <f t="shared" si="26"/>
        <v>787.37931234561813</v>
      </c>
      <c r="Q80" s="90">
        <f t="shared" si="26"/>
        <v>730.52860738575419</v>
      </c>
      <c r="R80" s="90">
        <f t="shared" si="26"/>
        <v>534.63523830698807</v>
      </c>
      <c r="S80" s="90">
        <f t="shared" si="26"/>
        <v>558.48682403080238</v>
      </c>
      <c r="T80" s="90">
        <f t="shared" si="26"/>
        <v>583.41173111218848</v>
      </c>
    </row>
    <row r="81" spans="1:29" ht="15" customHeight="1" x14ac:dyDescent="0.45">
      <c r="I81" s="90"/>
      <c r="K81" s="90"/>
      <c r="L81" s="90"/>
      <c r="M81" s="90"/>
      <c r="N81" s="90"/>
      <c r="O81" s="90"/>
      <c r="P81" s="90"/>
      <c r="Q81" s="90"/>
      <c r="R81" s="90"/>
      <c r="S81" s="90"/>
      <c r="T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563.80584530065005</v>
      </c>
      <c r="J82">
        <f>J27</f>
        <v>675.68981369792755</v>
      </c>
      <c r="K82" s="90">
        <f t="shared" ref="K82:T82" si="27">K27</f>
        <v>812.20549041551794</v>
      </c>
      <c r="L82" s="90">
        <f t="shared" si="27"/>
        <v>960.48191331063686</v>
      </c>
      <c r="M82" s="90">
        <f t="shared" si="27"/>
        <v>1120.038666302104</v>
      </c>
      <c r="N82" s="90">
        <f t="shared" si="27"/>
        <v>1290.5604997720329</v>
      </c>
      <c r="O82" s="90">
        <f t="shared" si="27"/>
        <v>1471.8702077970925</v>
      </c>
      <c r="P82" s="90">
        <f t="shared" si="27"/>
        <v>1663.9066775782017</v>
      </c>
      <c r="Q82" s="90">
        <f t="shared" si="27"/>
        <v>1866.7071611638223</v>
      </c>
      <c r="R82" s="90">
        <f t="shared" si="27"/>
        <v>2080.3929956072502</v>
      </c>
      <c r="S82" s="90">
        <f t="shared" si="27"/>
        <v>2305.158141189243</v>
      </c>
      <c r="T82" s="90">
        <f t="shared" si="27"/>
        <v>2541.260024297143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2260.7761267750452</v>
      </c>
      <c r="J83" s="90">
        <f>SUM(J82,J80)</f>
        <v>2352.9472417761485</v>
      </c>
      <c r="K83" s="90">
        <f t="shared" ref="K83:T83" si="28">SUM(K82,K80)</f>
        <v>2412.9693800423547</v>
      </c>
      <c r="L83" s="90">
        <f t="shared" si="28"/>
        <v>2548.3223611553949</v>
      </c>
      <c r="M83" s="90">
        <f t="shared" si="28"/>
        <v>2576.0424400352522</v>
      </c>
      <c r="N83" s="90">
        <f t="shared" si="28"/>
        <v>2635.8396253918459</v>
      </c>
      <c r="O83" s="90">
        <f t="shared" si="28"/>
        <v>2510.3367840859664</v>
      </c>
      <c r="P83" s="90">
        <f t="shared" si="28"/>
        <v>2451.2859899238197</v>
      </c>
      <c r="Q83" s="90">
        <f t="shared" si="28"/>
        <v>2597.2357685495763</v>
      </c>
      <c r="R83" s="90">
        <f t="shared" si="28"/>
        <v>2615.0282339142382</v>
      </c>
      <c r="S83" s="90">
        <f t="shared" si="28"/>
        <v>2863.6449652200454</v>
      </c>
      <c r="T83" s="90">
        <f t="shared" si="28"/>
        <v>3124.6717554093316</v>
      </c>
    </row>
    <row r="84" spans="1:29" ht="15" customHeight="1" x14ac:dyDescent="0.45">
      <c r="I84" s="90"/>
      <c r="K84" s="90"/>
      <c r="L84" s="90"/>
      <c r="M84" s="90"/>
      <c r="N84" s="90"/>
      <c r="O84" s="90"/>
      <c r="P84" s="90"/>
      <c r="Q84" s="90"/>
      <c r="R84" s="90"/>
      <c r="S84" s="90"/>
      <c r="T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>
        <f t="shared" ref="I85:J85" si="29">IF(ROUND(I64,2)=ROUND(I83,2),"OK",I64-I83)</f>
        <v>-0.33333333333348492</v>
      </c>
      <c r="J85" s="71">
        <f t="shared" si="29"/>
        <v>-1.6666666666665151</v>
      </c>
      <c r="K85" s="91">
        <f t="shared" ref="K85:T85" si="30">IF(ROUND(K64,2)=ROUND(K83,2),"OK",K64-K83)</f>
        <v>-2.9999999999995453</v>
      </c>
      <c r="L85" s="91">
        <f t="shared" si="30"/>
        <v>-4.3333333333339397</v>
      </c>
      <c r="M85" s="91">
        <f t="shared" si="30"/>
        <v>-5.6666666666669698</v>
      </c>
      <c r="N85" s="91">
        <f t="shared" si="30"/>
        <v>-7</v>
      </c>
      <c r="O85" s="91">
        <f t="shared" si="30"/>
        <v>-8.3333333333339397</v>
      </c>
      <c r="P85" s="91">
        <f t="shared" si="30"/>
        <v>-9.6666666666665151</v>
      </c>
      <c r="Q85" s="91">
        <f t="shared" si="30"/>
        <v>-11</v>
      </c>
      <c r="R85" s="91">
        <f t="shared" si="30"/>
        <v>-12</v>
      </c>
      <c r="S85" s="91">
        <f t="shared" si="30"/>
        <v>-12</v>
      </c>
      <c r="T85" s="91">
        <f t="shared" si="30"/>
        <v>-12.000000000000455</v>
      </c>
      <c r="AB85" s="96"/>
      <c r="AC85" s="96"/>
    </row>
    <row r="86" spans="1:29" ht="15" customHeight="1" x14ac:dyDescent="0.45">
      <c r="I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AB86" s="96"/>
      <c r="AC86" s="96"/>
    </row>
    <row r="87" spans="1:29" ht="15" customHeight="1" x14ac:dyDescent="0.45">
      <c r="A87" s="14" t="s">
        <v>89</v>
      </c>
      <c r="I87" s="90"/>
      <c r="K87" s="90"/>
      <c r="L87" s="90"/>
      <c r="M87" s="90"/>
      <c r="N87" s="90"/>
      <c r="O87" s="90"/>
      <c r="P87" s="90"/>
      <c r="Q87" s="90"/>
      <c r="R87" s="90"/>
      <c r="S87" s="90"/>
      <c r="T87" s="90"/>
    </row>
    <row r="88" spans="1:29" s="90" customFormat="1" ht="15" customHeight="1" x14ac:dyDescent="0.45">
      <c r="A88" s="14"/>
      <c r="B88" s="90" t="s">
        <v>146</v>
      </c>
      <c r="I88" s="90">
        <f>Deal_Date!I94</f>
        <v>56.119303734999995</v>
      </c>
      <c r="J88" s="97">
        <f>J31</f>
        <v>250.01149813942496</v>
      </c>
      <c r="K88" s="97">
        <f t="shared" ref="K88:T88" si="31">K31</f>
        <v>277.38930046654468</v>
      </c>
      <c r="L88" s="97">
        <f t="shared" si="31"/>
        <v>289.8718189875392</v>
      </c>
      <c r="M88" s="97">
        <f t="shared" si="31"/>
        <v>302.91605084197846</v>
      </c>
      <c r="N88" s="97">
        <f t="shared" si="31"/>
        <v>316.54727312986745</v>
      </c>
      <c r="O88" s="97">
        <f t="shared" si="31"/>
        <v>330.79190042071139</v>
      </c>
      <c r="P88" s="97">
        <f t="shared" si="31"/>
        <v>345.67753593964346</v>
      </c>
      <c r="Q88" s="97">
        <f t="shared" si="31"/>
        <v>361.23302505692732</v>
      </c>
      <c r="R88" s="97">
        <f t="shared" si="31"/>
        <v>377.48851118448897</v>
      </c>
      <c r="S88" s="97">
        <f t="shared" si="31"/>
        <v>394.47549418779096</v>
      </c>
      <c r="T88" s="97">
        <f t="shared" si="31"/>
        <v>412.22689142624154</v>
      </c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>
        <f>J37</f>
        <v>0</v>
      </c>
      <c r="K89" s="96">
        <f t="shared" ref="K89:T89" si="32">K37</f>
        <v>0</v>
      </c>
      <c r="L89" s="96">
        <f t="shared" si="32"/>
        <v>0</v>
      </c>
      <c r="M89" s="96">
        <f t="shared" si="32"/>
        <v>0</v>
      </c>
      <c r="N89" s="96">
        <f t="shared" si="32"/>
        <v>0</v>
      </c>
      <c r="O89" s="96">
        <f t="shared" si="32"/>
        <v>0</v>
      </c>
      <c r="P89" s="96">
        <f t="shared" si="32"/>
        <v>0</v>
      </c>
      <c r="Q89" s="96">
        <f t="shared" si="32"/>
        <v>0</v>
      </c>
      <c r="R89" s="96">
        <f t="shared" si="32"/>
        <v>0</v>
      </c>
      <c r="S89" s="96">
        <f t="shared" si="32"/>
        <v>0</v>
      </c>
      <c r="T89" s="96">
        <f t="shared" si="32"/>
        <v>0</v>
      </c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6">
        <f>J39</f>
        <v>0</v>
      </c>
      <c r="K90" s="96">
        <f t="shared" ref="K90:T90" si="33">K39</f>
        <v>0</v>
      </c>
      <c r="L90" s="96">
        <f t="shared" si="33"/>
        <v>0</v>
      </c>
      <c r="M90" s="96">
        <f t="shared" si="33"/>
        <v>0</v>
      </c>
      <c r="N90" s="96">
        <f t="shared" si="33"/>
        <v>0</v>
      </c>
      <c r="O90" s="96">
        <f t="shared" si="33"/>
        <v>0</v>
      </c>
      <c r="P90" s="96">
        <f t="shared" si="33"/>
        <v>0</v>
      </c>
      <c r="Q90" s="96">
        <f t="shared" si="33"/>
        <v>0</v>
      </c>
      <c r="R90" s="96">
        <f t="shared" si="33"/>
        <v>0</v>
      </c>
      <c r="S90" s="96">
        <f t="shared" si="33"/>
        <v>0</v>
      </c>
      <c r="T90" s="96">
        <f t="shared" si="33"/>
        <v>0</v>
      </c>
    </row>
    <row r="91" spans="1:29" s="90" customFormat="1" ht="15" customHeight="1" x14ac:dyDescent="0.45">
      <c r="A91" s="14"/>
      <c r="B91" s="90" t="s">
        <v>194</v>
      </c>
      <c r="I91" s="90">
        <f t="shared" ref="I91:J95" si="34">I40</f>
        <v>0</v>
      </c>
      <c r="J91" s="96">
        <f t="shared" si="34"/>
        <v>0</v>
      </c>
      <c r="K91" s="96">
        <f t="shared" ref="K91:T91" si="35">K40</f>
        <v>0</v>
      </c>
      <c r="L91" s="96">
        <f t="shared" si="35"/>
        <v>0</v>
      </c>
      <c r="M91" s="96">
        <f t="shared" si="35"/>
        <v>0</v>
      </c>
      <c r="N91" s="96">
        <f t="shared" si="35"/>
        <v>0</v>
      </c>
      <c r="O91" s="96">
        <f t="shared" si="35"/>
        <v>0</v>
      </c>
      <c r="P91" s="96">
        <f t="shared" si="35"/>
        <v>0</v>
      </c>
      <c r="Q91" s="96">
        <f t="shared" si="35"/>
        <v>0</v>
      </c>
      <c r="R91" s="96">
        <f t="shared" si="35"/>
        <v>0</v>
      </c>
      <c r="S91" s="96">
        <f t="shared" si="35"/>
        <v>0</v>
      </c>
      <c r="T91" s="96">
        <f t="shared" si="35"/>
        <v>0</v>
      </c>
    </row>
    <row r="92" spans="1:29" s="90" customFormat="1" ht="15" customHeight="1" x14ac:dyDescent="0.45">
      <c r="A92" s="14"/>
      <c r="B92" s="90" t="s">
        <v>195</v>
      </c>
      <c r="I92" s="90">
        <f t="shared" si="34"/>
        <v>0</v>
      </c>
      <c r="J92" s="96">
        <f t="shared" si="34"/>
        <v>0</v>
      </c>
      <c r="K92" s="96">
        <f t="shared" ref="K92:T92" si="36">K41</f>
        <v>0</v>
      </c>
      <c r="L92" s="96">
        <f t="shared" si="36"/>
        <v>0</v>
      </c>
      <c r="M92" s="96">
        <f t="shared" si="36"/>
        <v>0</v>
      </c>
      <c r="N92" s="96">
        <f t="shared" si="36"/>
        <v>0</v>
      </c>
      <c r="O92" s="96">
        <f t="shared" si="36"/>
        <v>0</v>
      </c>
      <c r="P92" s="96">
        <f t="shared" si="36"/>
        <v>0</v>
      </c>
      <c r="Q92" s="96">
        <f t="shared" si="36"/>
        <v>0</v>
      </c>
      <c r="R92" s="96">
        <f t="shared" si="36"/>
        <v>0</v>
      </c>
      <c r="S92" s="96">
        <f t="shared" si="36"/>
        <v>0</v>
      </c>
      <c r="T92" s="96">
        <f t="shared" si="36"/>
        <v>0</v>
      </c>
    </row>
    <row r="93" spans="1:29" s="90" customFormat="1" ht="15" customHeight="1" x14ac:dyDescent="0.45">
      <c r="A93" s="14"/>
      <c r="B93" s="90" t="s">
        <v>241</v>
      </c>
      <c r="I93" s="90">
        <f t="shared" si="34"/>
        <v>0</v>
      </c>
      <c r="J93" s="96">
        <f t="shared" si="34"/>
        <v>0</v>
      </c>
      <c r="K93" s="96">
        <f t="shared" ref="K93:T93" si="37">K42</f>
        <v>0</v>
      </c>
      <c r="L93" s="96">
        <f t="shared" si="37"/>
        <v>0</v>
      </c>
      <c r="M93" s="96">
        <f t="shared" si="37"/>
        <v>0</v>
      </c>
      <c r="N93" s="96">
        <f t="shared" si="37"/>
        <v>0</v>
      </c>
      <c r="O93" s="96">
        <f t="shared" si="37"/>
        <v>0</v>
      </c>
      <c r="P93" s="96">
        <f t="shared" si="37"/>
        <v>0</v>
      </c>
      <c r="Q93" s="96">
        <f t="shared" si="37"/>
        <v>0</v>
      </c>
      <c r="R93" s="96">
        <f t="shared" si="37"/>
        <v>0</v>
      </c>
      <c r="S93" s="96">
        <f t="shared" si="37"/>
        <v>0</v>
      </c>
      <c r="T93" s="96">
        <f t="shared" si="37"/>
        <v>0</v>
      </c>
    </row>
    <row r="94" spans="1:29" s="90" customFormat="1" ht="15" customHeight="1" x14ac:dyDescent="0.45">
      <c r="A94" s="14"/>
      <c r="B94" s="90" t="s">
        <v>197</v>
      </c>
      <c r="I94" s="90">
        <f t="shared" si="34"/>
        <v>0</v>
      </c>
      <c r="J94" s="96">
        <f t="shared" si="34"/>
        <v>0</v>
      </c>
      <c r="K94" s="96">
        <f t="shared" ref="K94:T94" si="38">K43</f>
        <v>0</v>
      </c>
      <c r="L94" s="96">
        <f t="shared" si="38"/>
        <v>0</v>
      </c>
      <c r="M94" s="96">
        <f t="shared" si="38"/>
        <v>0</v>
      </c>
      <c r="N94" s="96">
        <f t="shared" si="38"/>
        <v>0</v>
      </c>
      <c r="O94" s="96">
        <f t="shared" si="38"/>
        <v>0</v>
      </c>
      <c r="P94" s="96">
        <f t="shared" si="38"/>
        <v>0</v>
      </c>
      <c r="Q94" s="96">
        <f t="shared" si="38"/>
        <v>0</v>
      </c>
      <c r="R94" s="96">
        <f t="shared" si="38"/>
        <v>0</v>
      </c>
      <c r="S94" s="96">
        <f t="shared" si="38"/>
        <v>0</v>
      </c>
      <c r="T94" s="96">
        <f t="shared" si="38"/>
        <v>0</v>
      </c>
    </row>
    <row r="95" spans="1:29" s="90" customFormat="1" ht="15" customHeight="1" x14ac:dyDescent="0.45">
      <c r="A95" s="14"/>
      <c r="B95" s="90" t="s">
        <v>198</v>
      </c>
      <c r="I95" s="90">
        <f t="shared" si="34"/>
        <v>0</v>
      </c>
      <c r="J95" s="96">
        <f t="shared" si="34"/>
        <v>0</v>
      </c>
      <c r="K95" s="96">
        <f t="shared" ref="K95:T95" si="39">K44</f>
        <v>0</v>
      </c>
      <c r="L95" s="96">
        <f t="shared" si="39"/>
        <v>0</v>
      </c>
      <c r="M95" s="96">
        <f t="shared" si="39"/>
        <v>0</v>
      </c>
      <c r="N95" s="96">
        <f t="shared" si="39"/>
        <v>0</v>
      </c>
      <c r="O95" s="96">
        <f t="shared" si="39"/>
        <v>0</v>
      </c>
      <c r="P95" s="96">
        <f t="shared" si="39"/>
        <v>0</v>
      </c>
      <c r="Q95" s="96">
        <f t="shared" si="39"/>
        <v>0</v>
      </c>
      <c r="R95" s="96">
        <f t="shared" si="39"/>
        <v>0</v>
      </c>
      <c r="S95" s="96">
        <f t="shared" si="39"/>
        <v>0</v>
      </c>
      <c r="T95" s="96">
        <f t="shared" si="39"/>
        <v>0</v>
      </c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6">
        <f>J46</f>
        <v>0</v>
      </c>
      <c r="K96" s="96">
        <f t="shared" ref="K96:T96" si="40">K46</f>
        <v>0</v>
      </c>
      <c r="L96" s="96">
        <f t="shared" si="40"/>
        <v>0</v>
      </c>
      <c r="M96" s="96">
        <f t="shared" si="40"/>
        <v>0</v>
      </c>
      <c r="N96" s="96">
        <f t="shared" si="40"/>
        <v>0</v>
      </c>
      <c r="O96" s="96">
        <f t="shared" si="40"/>
        <v>0</v>
      </c>
      <c r="P96" s="96">
        <f t="shared" si="40"/>
        <v>0</v>
      </c>
      <c r="Q96" s="96">
        <f t="shared" si="40"/>
        <v>0</v>
      </c>
      <c r="R96" s="96">
        <f t="shared" si="40"/>
        <v>0</v>
      </c>
      <c r="S96" s="96">
        <f t="shared" si="40"/>
        <v>0</v>
      </c>
      <c r="T96" s="96">
        <f t="shared" si="40"/>
        <v>0</v>
      </c>
    </row>
    <row r="97" spans="1:34" s="90" customFormat="1" ht="15" customHeight="1" x14ac:dyDescent="0.45">
      <c r="A97" s="14"/>
      <c r="B97" s="90" t="s">
        <v>60</v>
      </c>
      <c r="I97" s="90">
        <f>Deal_Date!I103</f>
        <v>-5.8071234343499984</v>
      </c>
      <c r="J97" s="97">
        <f>J49</f>
        <v>-29.741308054972492</v>
      </c>
      <c r="K97" s="97">
        <f t="shared" ref="K97:T97" si="41">K49</f>
        <v>-36.28897735530883</v>
      </c>
      <c r="L97" s="97">
        <f t="shared" si="41"/>
        <v>-39.415251655664505</v>
      </c>
      <c r="M97" s="97">
        <f t="shared" si="41"/>
        <v>-42.413820415453323</v>
      </c>
      <c r="N97" s="97">
        <f t="shared" si="41"/>
        <v>-45.328588643905114</v>
      </c>
      <c r="O97" s="97">
        <f t="shared" si="41"/>
        <v>-48.196251500332288</v>
      </c>
      <c r="P97" s="97">
        <f t="shared" si="41"/>
        <v>-51.047669182320192</v>
      </c>
      <c r="Q97" s="97">
        <f t="shared" si="41"/>
        <v>-53.908989307570032</v>
      </c>
      <c r="R97" s="97">
        <f t="shared" si="41"/>
        <v>-56.802563586227706</v>
      </c>
      <c r="S97" s="97">
        <f t="shared" si="41"/>
        <v>-59.747696926858843</v>
      </c>
      <c r="T97" s="97">
        <f t="shared" si="41"/>
        <v>-62.761260066656959</v>
      </c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9.7499999999968168E-3</v>
      </c>
      <c r="J98" s="96">
        <f>I63-J63</f>
        <v>0</v>
      </c>
      <c r="K98" s="96">
        <f t="shared" ref="K98:T98" si="42">J63-K63</f>
        <v>0</v>
      </c>
      <c r="L98" s="96">
        <f t="shared" si="42"/>
        <v>0</v>
      </c>
      <c r="M98" s="96">
        <f t="shared" si="42"/>
        <v>0</v>
      </c>
      <c r="N98" s="96">
        <f t="shared" si="42"/>
        <v>0</v>
      </c>
      <c r="O98" s="96">
        <f t="shared" si="42"/>
        <v>0</v>
      </c>
      <c r="P98" s="96">
        <f t="shared" si="42"/>
        <v>0</v>
      </c>
      <c r="Q98" s="96">
        <f t="shared" si="42"/>
        <v>0</v>
      </c>
      <c r="R98" s="96">
        <f t="shared" si="42"/>
        <v>0</v>
      </c>
      <c r="S98" s="96">
        <f t="shared" si="42"/>
        <v>0</v>
      </c>
      <c r="T98" s="96">
        <f t="shared" si="42"/>
        <v>0</v>
      </c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>
        <f>J79-I79</f>
        <v>0</v>
      </c>
      <c r="K99" s="96">
        <f t="shared" ref="K99:T99" si="43">K79-J79</f>
        <v>0</v>
      </c>
      <c r="L99" s="96">
        <f t="shared" si="43"/>
        <v>0</v>
      </c>
      <c r="M99" s="96">
        <f t="shared" si="43"/>
        <v>0</v>
      </c>
      <c r="N99" s="96">
        <f t="shared" si="43"/>
        <v>0</v>
      </c>
      <c r="O99" s="96">
        <f t="shared" si="43"/>
        <v>0</v>
      </c>
      <c r="P99" s="96">
        <f t="shared" si="43"/>
        <v>0</v>
      </c>
      <c r="Q99" s="96">
        <f t="shared" si="43"/>
        <v>0</v>
      </c>
      <c r="R99" s="96">
        <f t="shared" si="43"/>
        <v>0</v>
      </c>
      <c r="S99" s="96">
        <f t="shared" si="43"/>
        <v>0</v>
      </c>
      <c r="T99" s="96">
        <f t="shared" si="43"/>
        <v>0</v>
      </c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-3.4483363075342481</v>
      </c>
      <c r="J100" s="96">
        <f>I56-J56</f>
        <v>-14.056125535356102</v>
      </c>
      <c r="K100" s="96">
        <f t="shared" ref="K100:T100" si="44">J56-K56</f>
        <v>-14.688651184447167</v>
      </c>
      <c r="L100" s="96">
        <f t="shared" si="44"/>
        <v>-15.349640487747308</v>
      </c>
      <c r="M100" s="96">
        <f t="shared" si="44"/>
        <v>-16.040374309695892</v>
      </c>
      <c r="N100" s="96">
        <f t="shared" si="44"/>
        <v>-16.762191153632273</v>
      </c>
      <c r="O100" s="96">
        <f t="shared" si="44"/>
        <v>-17.516489755545649</v>
      </c>
      <c r="P100" s="96">
        <f t="shared" si="44"/>
        <v>-18.304731794545262</v>
      </c>
      <c r="Q100" s="96">
        <f t="shared" si="44"/>
        <v>-19.128444725299687</v>
      </c>
      <c r="R100" s="96">
        <f t="shared" si="44"/>
        <v>-19.98922473793823</v>
      </c>
      <c r="S100" s="96">
        <f t="shared" si="44"/>
        <v>-20.888739851145488</v>
      </c>
      <c r="T100" s="96">
        <f t="shared" si="44"/>
        <v>-21.828733144446971</v>
      </c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-0.68501647749999961</v>
      </c>
      <c r="J101" s="96">
        <f>I57-J57</f>
        <v>-1.8607979659499989</v>
      </c>
      <c r="K101" s="96">
        <f t="shared" ref="K101:T101" si="45">J57-K57</f>
        <v>-1.9445338744177505</v>
      </c>
      <c r="L101" s="96">
        <f t="shared" si="45"/>
        <v>-2.0320378987665393</v>
      </c>
      <c r="M101" s="96">
        <f t="shared" si="45"/>
        <v>-2.1234796042110418</v>
      </c>
      <c r="N101" s="96">
        <f t="shared" si="45"/>
        <v>-2.2190361864005368</v>
      </c>
      <c r="O101" s="96">
        <f t="shared" si="45"/>
        <v>-2.3188928147885548</v>
      </c>
      <c r="P101" s="96">
        <f t="shared" si="45"/>
        <v>-2.4232429914540532</v>
      </c>
      <c r="Q101" s="96">
        <f t="shared" si="45"/>
        <v>-2.5322889260694694</v>
      </c>
      <c r="R101" s="96">
        <f t="shared" si="45"/>
        <v>-2.6462419277426008</v>
      </c>
      <c r="S101" s="96">
        <f t="shared" si="45"/>
        <v>-2.7653228144910145</v>
      </c>
      <c r="T101" s="96">
        <f t="shared" si="45"/>
        <v>-2.8897623411431113</v>
      </c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1.510122832534222</v>
      </c>
      <c r="J102" s="96">
        <f>J67-I67</f>
        <v>6.0812771098561598</v>
      </c>
      <c r="K102" s="96">
        <f t="shared" ref="K102:T102" si="46">K67-J67</f>
        <v>6.354934579799675</v>
      </c>
      <c r="L102" s="96">
        <f t="shared" si="46"/>
        <v>6.6409066358906728</v>
      </c>
      <c r="M102" s="96">
        <f t="shared" si="46"/>
        <v>6.9397474345057333</v>
      </c>
      <c r="N102" s="96">
        <f t="shared" si="46"/>
        <v>7.2520360690585051</v>
      </c>
      <c r="O102" s="96">
        <f t="shared" si="46"/>
        <v>7.5783776921661286</v>
      </c>
      <c r="P102" s="96">
        <f t="shared" si="46"/>
        <v>7.9194046883136195</v>
      </c>
      <c r="Q102" s="96">
        <f t="shared" si="46"/>
        <v>8.2757778992877036</v>
      </c>
      <c r="R102" s="96">
        <f t="shared" si="46"/>
        <v>8.6481879047556731</v>
      </c>
      <c r="S102" s="96">
        <f t="shared" si="46"/>
        <v>9.0373563604696585</v>
      </c>
      <c r="T102" s="96">
        <f t="shared" si="46"/>
        <v>9.4440373966907885</v>
      </c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2.4906418437499838</v>
      </c>
      <c r="J103" s="96">
        <f>J68-I68</f>
        <v>9.9685605318749992</v>
      </c>
      <c r="K103" s="96">
        <f t="shared" ref="K103:T103" si="47">K68-J68</f>
        <v>10.417145755809344</v>
      </c>
      <c r="L103" s="96">
        <f t="shared" si="47"/>
        <v>10.885917314820773</v>
      </c>
      <c r="M103" s="96">
        <f t="shared" si="47"/>
        <v>11.375783593987734</v>
      </c>
      <c r="N103" s="96">
        <f t="shared" si="47"/>
        <v>11.887693855717146</v>
      </c>
      <c r="O103" s="96">
        <f t="shared" si="47"/>
        <v>12.422640079224436</v>
      </c>
      <c r="P103" s="96">
        <f t="shared" si="47"/>
        <v>12.981658882789532</v>
      </c>
      <c r="Q103" s="96">
        <f t="shared" si="47"/>
        <v>13.565833532515001</v>
      </c>
      <c r="R103" s="96">
        <f t="shared" si="47"/>
        <v>14.176296041478224</v>
      </c>
      <c r="S103" s="96">
        <f t="shared" si="47"/>
        <v>14.814229363344737</v>
      </c>
      <c r="T103" s="96">
        <f t="shared" si="47"/>
        <v>15.480869684695222</v>
      </c>
    </row>
    <row r="104" spans="1:34" ht="15" customHeight="1" x14ac:dyDescent="0.45">
      <c r="B104" t="s">
        <v>230</v>
      </c>
      <c r="I104" s="90">
        <f>SUM(I88:I103)</f>
        <v>50.189342191899954</v>
      </c>
      <c r="J104" s="96">
        <f>SUM(J88:J103)</f>
        <v>220.40310422487752</v>
      </c>
      <c r="K104" s="96">
        <f t="shared" ref="K104:T104" si="48">SUM(K88:K103)</f>
        <v>241.23921838797997</v>
      </c>
      <c r="L104" s="96">
        <f t="shared" si="48"/>
        <v>250.60171289607229</v>
      </c>
      <c r="M104" s="96">
        <f t="shared" si="48"/>
        <v>260.65390754111172</v>
      </c>
      <c r="N104" s="96">
        <f t="shared" si="48"/>
        <v>271.37718707070519</v>
      </c>
      <c r="O104" s="96">
        <f t="shared" si="48"/>
        <v>282.76128412143549</v>
      </c>
      <c r="P104" s="96">
        <f t="shared" si="48"/>
        <v>294.80295554242713</v>
      </c>
      <c r="Q104" s="96">
        <f t="shared" si="48"/>
        <v>307.50491352979083</v>
      </c>
      <c r="R104" s="96">
        <f t="shared" si="48"/>
        <v>320.8749648788143</v>
      </c>
      <c r="S104" s="96">
        <f t="shared" si="48"/>
        <v>334.92532031910997</v>
      </c>
      <c r="T104" s="96">
        <f t="shared" si="48"/>
        <v>349.67204295538045</v>
      </c>
      <c r="AB104" s="96"/>
      <c r="AC104" s="96"/>
    </row>
    <row r="105" spans="1:34" ht="15" customHeight="1" x14ac:dyDescent="0.45"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-19.937121063749998</v>
      </c>
      <c r="J106" s="90">
        <f>J14*-1</f>
        <v>-83.337166046474991</v>
      </c>
      <c r="K106" s="90">
        <f t="shared" ref="K106:T106" si="49">K14*-1</f>
        <v>-87.087338518566355</v>
      </c>
      <c r="L106" s="90">
        <f t="shared" si="49"/>
        <v>-91.006268751901843</v>
      </c>
      <c r="M106" s="90">
        <f t="shared" si="49"/>
        <v>-95.101550845737407</v>
      </c>
      <c r="N106" s="90">
        <f t="shared" si="49"/>
        <v>-99.381120633795589</v>
      </c>
      <c r="O106" s="90">
        <f t="shared" si="49"/>
        <v>-103.85327106231638</v>
      </c>
      <c r="P106" s="90">
        <f t="shared" si="49"/>
        <v>-108.52666826012062</v>
      </c>
      <c r="Q106" s="90">
        <f t="shared" si="49"/>
        <v>-113.41036833182602</v>
      </c>
      <c r="R106" s="90">
        <f t="shared" si="49"/>
        <v>-118.51383490675818</v>
      </c>
      <c r="S106" s="90">
        <f t="shared" si="49"/>
        <v>-123.84695747756228</v>
      </c>
      <c r="T106" s="90">
        <f t="shared" si="49"/>
        <v>-129.42007056405257</v>
      </c>
      <c r="AB106" s="96"/>
      <c r="AC106" s="96"/>
    </row>
    <row r="107" spans="1:34" ht="15" customHeight="1" x14ac:dyDescent="0.45">
      <c r="B107" t="s">
        <v>231</v>
      </c>
      <c r="I107" s="90">
        <f>SUM(I106)</f>
        <v>-19.937121063749998</v>
      </c>
      <c r="J107" s="90">
        <f>SUM(J106)</f>
        <v>-83.337166046474991</v>
      </c>
      <c r="K107" s="90">
        <f t="shared" ref="K107:T107" si="50">SUM(K106)</f>
        <v>-87.087338518566355</v>
      </c>
      <c r="L107" s="90">
        <f t="shared" si="50"/>
        <v>-91.006268751901843</v>
      </c>
      <c r="M107" s="90">
        <f t="shared" si="50"/>
        <v>-95.101550845737407</v>
      </c>
      <c r="N107" s="90">
        <f t="shared" si="50"/>
        <v>-99.381120633795589</v>
      </c>
      <c r="O107" s="90">
        <f t="shared" si="50"/>
        <v>-103.85327106231638</v>
      </c>
      <c r="P107" s="90">
        <f t="shared" si="50"/>
        <v>-108.52666826012062</v>
      </c>
      <c r="Q107" s="90">
        <f t="shared" si="50"/>
        <v>-113.41036833182602</v>
      </c>
      <c r="R107" s="90">
        <f t="shared" si="50"/>
        <v>-118.51383490675818</v>
      </c>
      <c r="S107" s="90">
        <f t="shared" si="50"/>
        <v>-123.84695747756228</v>
      </c>
      <c r="T107" s="90">
        <f t="shared" si="50"/>
        <v>-129.42007056405257</v>
      </c>
      <c r="AB107" s="96"/>
      <c r="AC107" s="96"/>
    </row>
    <row r="108" spans="1:34" ht="15" customHeight="1" x14ac:dyDescent="0.45"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-20</v>
      </c>
      <c r="J109" s="90">
        <f>J66-I66</f>
        <v>0</v>
      </c>
      <c r="K109" s="90">
        <f t="shared" ref="K109:T109" si="51">K66-J66</f>
        <v>0</v>
      </c>
      <c r="L109" s="90">
        <f t="shared" si="51"/>
        <v>0</v>
      </c>
      <c r="M109" s="90">
        <f t="shared" si="51"/>
        <v>0</v>
      </c>
      <c r="N109" s="90">
        <f t="shared" si="51"/>
        <v>0</v>
      </c>
      <c r="O109" s="90">
        <f t="shared" si="51"/>
        <v>0</v>
      </c>
      <c r="P109" s="90">
        <f t="shared" si="51"/>
        <v>0</v>
      </c>
      <c r="Q109" s="90">
        <f t="shared" si="51"/>
        <v>0</v>
      </c>
      <c r="R109" s="90">
        <f t="shared" si="51"/>
        <v>0</v>
      </c>
      <c r="S109" s="90">
        <f t="shared" si="51"/>
        <v>0</v>
      </c>
      <c r="T109" s="90">
        <f t="shared" si="51"/>
        <v>0</v>
      </c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>
        <f>J71-I71</f>
        <v>0</v>
      </c>
      <c r="K110" s="90">
        <f t="shared" ref="K110:T115" si="52">K71-J71</f>
        <v>0</v>
      </c>
      <c r="L110" s="90">
        <f t="shared" si="52"/>
        <v>0</v>
      </c>
      <c r="M110" s="90">
        <f t="shared" si="52"/>
        <v>0</v>
      </c>
      <c r="N110" s="90">
        <f t="shared" si="52"/>
        <v>0</v>
      </c>
      <c r="O110" s="90">
        <f t="shared" si="52"/>
        <v>0</v>
      </c>
      <c r="P110" s="90">
        <f t="shared" si="52"/>
        <v>0</v>
      </c>
      <c r="Q110" s="90">
        <f t="shared" si="52"/>
        <v>0</v>
      </c>
      <c r="R110" s="90">
        <f t="shared" si="52"/>
        <v>0</v>
      </c>
      <c r="S110" s="90">
        <f t="shared" si="52"/>
        <v>0</v>
      </c>
      <c r="T110" s="90">
        <f t="shared" si="52"/>
        <v>0</v>
      </c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J111" s="90">
        <f t="shared" ref="J111:J115" si="53">J72-I72</f>
        <v>0</v>
      </c>
      <c r="K111" s="90">
        <f t="shared" si="52"/>
        <v>0</v>
      </c>
      <c r="L111" s="90">
        <f t="shared" si="52"/>
        <v>0</v>
      </c>
      <c r="M111" s="90">
        <f t="shared" si="52"/>
        <v>0</v>
      </c>
      <c r="N111" s="90">
        <f t="shared" si="52"/>
        <v>0</v>
      </c>
      <c r="O111" s="90">
        <f t="shared" si="52"/>
        <v>0</v>
      </c>
      <c r="P111" s="90">
        <f t="shared" si="52"/>
        <v>0</v>
      </c>
      <c r="Q111" s="90">
        <f t="shared" si="52"/>
        <v>0</v>
      </c>
      <c r="R111" s="90">
        <f t="shared" si="52"/>
        <v>0</v>
      </c>
      <c r="S111" s="90">
        <f t="shared" si="52"/>
        <v>0</v>
      </c>
      <c r="T111" s="90">
        <f t="shared" si="52"/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50</v>
      </c>
      <c r="J112" s="90">
        <f t="shared" si="53"/>
        <v>50</v>
      </c>
      <c r="K112" s="90">
        <f t="shared" si="52"/>
        <v>50</v>
      </c>
      <c r="L112" s="90">
        <f t="shared" si="52"/>
        <v>50</v>
      </c>
      <c r="M112" s="90">
        <f t="shared" si="52"/>
        <v>-50</v>
      </c>
      <c r="N112" s="90">
        <f t="shared" si="52"/>
        <v>-50</v>
      </c>
      <c r="O112" s="90">
        <f t="shared" si="52"/>
        <v>-50</v>
      </c>
      <c r="P112" s="90">
        <f t="shared" si="52"/>
        <v>-50</v>
      </c>
      <c r="Q112" s="90">
        <f t="shared" si="52"/>
        <v>0</v>
      </c>
      <c r="R112" s="90">
        <f t="shared" si="52"/>
        <v>0</v>
      </c>
      <c r="S112" s="90">
        <f t="shared" si="52"/>
        <v>0</v>
      </c>
      <c r="T112" s="90">
        <f t="shared" si="52"/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-5.1261105640750202</v>
      </c>
      <c r="J113" s="90">
        <f t="shared" si="53"/>
        <v>-97.346024371238741</v>
      </c>
      <c r="K113" s="90">
        <f t="shared" si="52"/>
        <v>-155.87395212032618</v>
      </c>
      <c r="L113" s="90">
        <f t="shared" si="52"/>
        <v>-94.186099066124143</v>
      </c>
      <c r="M113" s="90">
        <f t="shared" si="52"/>
        <v>-115.12828847343667</v>
      </c>
      <c r="N113" s="90">
        <f t="shared" si="52"/>
        <v>-96.204736371443914</v>
      </c>
      <c r="O113" s="90">
        <f t="shared" si="52"/>
        <v>-236.13478903335533</v>
      </c>
      <c r="P113" s="90">
        <f t="shared" si="52"/>
        <v>0</v>
      </c>
      <c r="Q113" s="90">
        <f t="shared" si="52"/>
        <v>0</v>
      </c>
      <c r="R113" s="90">
        <f t="shared" si="52"/>
        <v>0</v>
      </c>
      <c r="S113" s="90">
        <f t="shared" si="52"/>
        <v>0</v>
      </c>
      <c r="T113" s="90">
        <f t="shared" si="52"/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J114" s="90">
        <f t="shared" si="53"/>
        <v>0</v>
      </c>
      <c r="K114" s="90">
        <f t="shared" si="52"/>
        <v>0</v>
      </c>
      <c r="L114" s="90">
        <f t="shared" si="52"/>
        <v>0</v>
      </c>
      <c r="M114" s="90">
        <f t="shared" si="52"/>
        <v>0</v>
      </c>
      <c r="N114" s="90">
        <f t="shared" si="52"/>
        <v>0</v>
      </c>
      <c r="O114" s="90">
        <f t="shared" si="52"/>
        <v>-58.519838902307896</v>
      </c>
      <c r="P114" s="90">
        <f t="shared" si="52"/>
        <v>-241.4801610976921</v>
      </c>
      <c r="Q114" s="90">
        <f t="shared" si="52"/>
        <v>0</v>
      </c>
      <c r="R114" s="90">
        <f t="shared" si="52"/>
        <v>0</v>
      </c>
      <c r="S114" s="90">
        <f t="shared" si="52"/>
        <v>0</v>
      </c>
      <c r="T114" s="90">
        <f t="shared" si="52"/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J115" s="90">
        <f t="shared" si="53"/>
        <v>0</v>
      </c>
      <c r="K115" s="90">
        <f t="shared" si="52"/>
        <v>0</v>
      </c>
      <c r="L115" s="90">
        <f t="shared" si="52"/>
        <v>0</v>
      </c>
      <c r="M115" s="90">
        <f t="shared" si="52"/>
        <v>0</v>
      </c>
      <c r="N115" s="90">
        <f t="shared" si="52"/>
        <v>0</v>
      </c>
      <c r="O115" s="90">
        <f t="shared" si="52"/>
        <v>0</v>
      </c>
      <c r="P115" s="90">
        <f t="shared" si="52"/>
        <v>0</v>
      </c>
      <c r="Q115" s="90">
        <f t="shared" si="52"/>
        <v>-100</v>
      </c>
      <c r="R115" s="90">
        <f t="shared" si="52"/>
        <v>0</v>
      </c>
      <c r="S115" s="90">
        <f t="shared" si="52"/>
        <v>0</v>
      </c>
      <c r="T115" s="90">
        <f t="shared" si="52"/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2.5</v>
      </c>
      <c r="J116" s="90">
        <f>J77-I77+J45</f>
        <v>10.25</v>
      </c>
      <c r="K116" s="90">
        <f t="shared" ref="K116:T116" si="54">K77-J77+K45</f>
        <v>11.275000000000006</v>
      </c>
      <c r="L116" s="90">
        <f t="shared" si="54"/>
        <v>12.402500000000003</v>
      </c>
      <c r="M116" s="90">
        <f t="shared" si="54"/>
        <v>13.642750000000007</v>
      </c>
      <c r="N116" s="90">
        <f t="shared" si="54"/>
        <v>15.007024999999999</v>
      </c>
      <c r="O116" s="90">
        <f t="shared" si="54"/>
        <v>16.507727500000016</v>
      </c>
      <c r="P116" s="90">
        <f t="shared" si="54"/>
        <v>18.158500250000003</v>
      </c>
      <c r="Q116" s="90">
        <f t="shared" si="54"/>
        <v>19.974350275000006</v>
      </c>
      <c r="R116" s="90">
        <f t="shared" si="54"/>
        <v>-219.71785302500004</v>
      </c>
      <c r="S116" s="90">
        <f t="shared" si="54"/>
        <v>0</v>
      </c>
      <c r="T116" s="90">
        <f t="shared" si="54"/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>
        <f>J52</f>
        <v>0</v>
      </c>
      <c r="K117" s="90">
        <f t="shared" ref="K117:T117" si="55">K52</f>
        <v>0</v>
      </c>
      <c r="L117" s="90">
        <f t="shared" si="55"/>
        <v>0</v>
      </c>
      <c r="M117" s="90">
        <f t="shared" si="55"/>
        <v>0</v>
      </c>
      <c r="N117" s="90">
        <f t="shared" si="55"/>
        <v>0</v>
      </c>
      <c r="O117" s="90">
        <f t="shared" si="55"/>
        <v>0</v>
      </c>
      <c r="P117" s="90">
        <f t="shared" si="55"/>
        <v>0</v>
      </c>
      <c r="Q117" s="90">
        <f t="shared" si="55"/>
        <v>0</v>
      </c>
      <c r="R117" s="90">
        <f t="shared" si="55"/>
        <v>0</v>
      </c>
      <c r="S117" s="90">
        <f t="shared" si="55"/>
        <v>0</v>
      </c>
      <c r="T117" s="90">
        <f t="shared" si="55"/>
        <v>0</v>
      </c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27.37388943592498</v>
      </c>
      <c r="J118" s="90">
        <f>SUM(J109:J117)</f>
        <v>-37.096024371238741</v>
      </c>
      <c r="K118" s="90">
        <f t="shared" ref="K118:T118" si="56">SUM(K109:K117)</f>
        <v>-94.598952120326175</v>
      </c>
      <c r="L118" s="90">
        <f t="shared" si="56"/>
        <v>-31.78359906612414</v>
      </c>
      <c r="M118" s="90">
        <f t="shared" si="56"/>
        <v>-151.48553847343666</v>
      </c>
      <c r="N118" s="90">
        <f t="shared" si="56"/>
        <v>-131.19771137144392</v>
      </c>
      <c r="O118" s="90">
        <f t="shared" si="56"/>
        <v>-328.14690043566327</v>
      </c>
      <c r="P118" s="90">
        <f t="shared" si="56"/>
        <v>-273.3216608476921</v>
      </c>
      <c r="Q118" s="90">
        <f t="shared" si="56"/>
        <v>-80.025649724999994</v>
      </c>
      <c r="R118" s="90">
        <f t="shared" si="56"/>
        <v>-219.71785302500004</v>
      </c>
      <c r="S118" s="90">
        <f t="shared" si="56"/>
        <v>0</v>
      </c>
      <c r="T118" s="90">
        <f t="shared" si="56"/>
        <v>0</v>
      </c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30</v>
      </c>
      <c r="J120">
        <f>I122</f>
        <v>87.626110564074935</v>
      </c>
      <c r="K120" s="90">
        <f t="shared" ref="K120:T120" si="57">J122</f>
        <v>187.59602437123871</v>
      </c>
      <c r="L120" s="90">
        <f t="shared" si="57"/>
        <v>247.14895212032616</v>
      </c>
      <c r="M120" s="90">
        <f t="shared" si="57"/>
        <v>374.96079719837246</v>
      </c>
      <c r="N120" s="90">
        <f t="shared" si="57"/>
        <v>389.0276154203101</v>
      </c>
      <c r="O120" s="90">
        <f t="shared" si="57"/>
        <v>429.82597048577577</v>
      </c>
      <c r="P120" s="90">
        <f t="shared" si="57"/>
        <v>280.58708310923163</v>
      </c>
      <c r="Q120" s="90">
        <f t="shared" si="57"/>
        <v>193.54170954384603</v>
      </c>
      <c r="R120" s="90">
        <f t="shared" si="57"/>
        <v>307.61060501681084</v>
      </c>
      <c r="S120" s="90">
        <f t="shared" si="57"/>
        <v>290.25388196386689</v>
      </c>
      <c r="T120" s="90">
        <f t="shared" si="57"/>
        <v>501.33224480541458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57.626110564074935</v>
      </c>
      <c r="J121" s="90">
        <f>SUM(J104,J107,J118)</f>
        <v>99.969913807163778</v>
      </c>
      <c r="K121" s="90">
        <f t="shared" ref="K121:T121" si="58">SUM(K104,K107,K118)</f>
        <v>59.552927749087445</v>
      </c>
      <c r="L121" s="90">
        <f t="shared" si="58"/>
        <v>127.8118450780463</v>
      </c>
      <c r="M121" s="90">
        <f t="shared" si="58"/>
        <v>14.066818221937666</v>
      </c>
      <c r="N121" s="90">
        <f t="shared" si="58"/>
        <v>40.798355065465671</v>
      </c>
      <c r="O121" s="90">
        <f t="shared" si="58"/>
        <v>-149.23888737654414</v>
      </c>
      <c r="P121" s="90">
        <f t="shared" si="58"/>
        <v>-87.045373565385603</v>
      </c>
      <c r="Q121" s="90">
        <f t="shared" si="58"/>
        <v>114.06889547296481</v>
      </c>
      <c r="R121" s="90">
        <f t="shared" si="58"/>
        <v>-17.35672305294392</v>
      </c>
      <c r="S121" s="90">
        <f t="shared" si="58"/>
        <v>211.07836284154769</v>
      </c>
      <c r="T121" s="90">
        <f t="shared" si="58"/>
        <v>220.25197239132788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30</v>
      </c>
      <c r="I122" s="90">
        <f>SUM(I120:I121)</f>
        <v>87.626110564074935</v>
      </c>
      <c r="J122" s="90">
        <f>SUM(J120:J121)</f>
        <v>187.59602437123871</v>
      </c>
      <c r="K122" s="90">
        <f t="shared" ref="K122:T122" si="59">SUM(K120:K121)</f>
        <v>247.14895212032616</v>
      </c>
      <c r="L122" s="90">
        <f t="shared" si="59"/>
        <v>374.96079719837246</v>
      </c>
      <c r="M122" s="90">
        <f t="shared" si="59"/>
        <v>389.0276154203101</v>
      </c>
      <c r="N122" s="90">
        <f t="shared" si="59"/>
        <v>429.82597048577577</v>
      </c>
      <c r="O122" s="90">
        <f t="shared" si="59"/>
        <v>280.58708310923163</v>
      </c>
      <c r="P122" s="90">
        <f t="shared" si="59"/>
        <v>193.54170954384603</v>
      </c>
      <c r="Q122" s="90">
        <f t="shared" si="59"/>
        <v>307.61060501681084</v>
      </c>
      <c r="R122" s="90">
        <f t="shared" si="59"/>
        <v>290.25388196386689</v>
      </c>
      <c r="S122" s="90">
        <f t="shared" si="59"/>
        <v>501.33224480541458</v>
      </c>
      <c r="T122" s="90">
        <f t="shared" si="59"/>
        <v>721.58421719674243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>
        <f>Postdeal_Percent+H4</f>
        <v>0.25</v>
      </c>
      <c r="J4" s="95">
        <f>I4+1</f>
        <v>1.25</v>
      </c>
      <c r="K4" s="95">
        <f t="shared" ref="K4:T4" si="1">J4+1</f>
        <v>2.25</v>
      </c>
      <c r="L4" s="95">
        <f t="shared" si="1"/>
        <v>3.25</v>
      </c>
      <c r="M4" s="95">
        <f t="shared" si="1"/>
        <v>4.25</v>
      </c>
      <c r="N4" s="95">
        <f t="shared" si="1"/>
        <v>5.25</v>
      </c>
      <c r="O4" s="95">
        <f t="shared" si="1"/>
        <v>6.25</v>
      </c>
      <c r="P4" s="95">
        <f t="shared" si="1"/>
        <v>7.25</v>
      </c>
      <c r="Q4" s="95">
        <f t="shared" si="1"/>
        <v>8.25</v>
      </c>
      <c r="R4" s="95">
        <f t="shared" si="1"/>
        <v>9.25</v>
      </c>
      <c r="S4" s="95">
        <f t="shared" si="1"/>
        <v>10.25</v>
      </c>
      <c r="T4" s="95">
        <f t="shared" si="1"/>
        <v>11.25</v>
      </c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  <c r="I24" s="90">
        <f>Deal_Model!I31</f>
        <v>56.119303734999995</v>
      </c>
      <c r="J24" s="90">
        <f>Deal_Model!J31</f>
        <v>250.01149813942496</v>
      </c>
      <c r="K24" s="90">
        <f>Deal_Model!K31</f>
        <v>277.38930046654468</v>
      </c>
      <c r="L24" s="90">
        <f>Deal_Model!L31</f>
        <v>289.8718189875392</v>
      </c>
      <c r="M24" s="90">
        <f>Deal_Model!M31</f>
        <v>302.91605084197846</v>
      </c>
      <c r="N24" s="90">
        <f>Deal_Model!N31</f>
        <v>316.54727312986745</v>
      </c>
      <c r="O24" s="90">
        <f>Deal_Model!O31</f>
        <v>330.79190042071139</v>
      </c>
      <c r="P24" s="90">
        <f>Deal_Model!P31</f>
        <v>345.67753593964346</v>
      </c>
      <c r="Q24" s="90">
        <f>Deal_Model!Q31</f>
        <v>361.23302505692732</v>
      </c>
      <c r="R24" s="90">
        <f>Deal_Model!R31</f>
        <v>377.48851118448897</v>
      </c>
      <c r="S24" s="90">
        <f>Deal_Model!S31</f>
        <v>394.47549418779096</v>
      </c>
      <c r="T24" s="90">
        <f>Deal_Model!T31</f>
        <v>412.22689142624154</v>
      </c>
    </row>
    <row r="25" spans="1:23" ht="15" customHeight="1" x14ac:dyDescent="0.45">
      <c r="B25" s="90" t="s">
        <v>60</v>
      </c>
      <c r="I25" s="90">
        <f>Deal_Model!I49</f>
        <v>-5.8071234343499984</v>
      </c>
      <c r="J25" s="90">
        <f>Deal_Model!J49</f>
        <v>-29.741308054972492</v>
      </c>
      <c r="K25" s="90">
        <f>Deal_Model!K49</f>
        <v>-36.28897735530883</v>
      </c>
      <c r="L25" s="90">
        <f>Deal_Model!L49</f>
        <v>-39.415251655664505</v>
      </c>
      <c r="M25" s="90">
        <f>Deal_Model!M49</f>
        <v>-42.413820415453323</v>
      </c>
      <c r="N25" s="90">
        <f>Deal_Model!N49</f>
        <v>-45.328588643905114</v>
      </c>
      <c r="O25" s="90">
        <f>Deal_Model!O49</f>
        <v>-48.196251500332288</v>
      </c>
      <c r="P25" s="90">
        <f>Deal_Model!P49</f>
        <v>-51.047669182320192</v>
      </c>
      <c r="Q25" s="90">
        <f>Deal_Model!Q49</f>
        <v>-53.908989307570032</v>
      </c>
      <c r="R25" s="90">
        <f>Deal_Model!R49</f>
        <v>-56.802563586227706</v>
      </c>
      <c r="S25" s="90">
        <f>Deal_Model!S49</f>
        <v>-59.747696926858843</v>
      </c>
      <c r="T25" s="90">
        <f>Deal_Model!T49</f>
        <v>-62.761260066656959</v>
      </c>
    </row>
    <row r="26" spans="1:23" ht="15" customHeight="1" x14ac:dyDescent="0.45">
      <c r="B26" s="90" t="s">
        <v>91</v>
      </c>
      <c r="I26" s="90">
        <f>Deal_Model!I98</f>
        <v>9.7499999999968168E-3</v>
      </c>
      <c r="J26" s="90">
        <f>Deal_Model!J98</f>
        <v>0</v>
      </c>
      <c r="K26" s="90">
        <f>Deal_Model!K98</f>
        <v>0</v>
      </c>
      <c r="L26" s="90">
        <f>Deal_Model!L98</f>
        <v>0</v>
      </c>
      <c r="M26" s="90">
        <f>Deal_Model!M98</f>
        <v>0</v>
      </c>
      <c r="N26" s="90">
        <f>Deal_Model!N98</f>
        <v>0</v>
      </c>
      <c r="O26" s="90">
        <f>Deal_Model!O98</f>
        <v>0</v>
      </c>
      <c r="P26" s="90">
        <f>Deal_Model!P98</f>
        <v>0</v>
      </c>
      <c r="Q26" s="90">
        <f>Deal_Model!Q98</f>
        <v>0</v>
      </c>
      <c r="R26" s="90">
        <f>Deal_Model!R98</f>
        <v>0</v>
      </c>
      <c r="S26" s="90">
        <f>Deal_Model!S98</f>
        <v>0</v>
      </c>
      <c r="T26" s="90">
        <f>Deal_Model!T98</f>
        <v>0</v>
      </c>
    </row>
    <row r="27" spans="1:23" ht="15" customHeight="1" x14ac:dyDescent="0.45">
      <c r="B27" s="90" t="s">
        <v>97</v>
      </c>
      <c r="I27" s="90">
        <f>Deal_Model!I99</f>
        <v>0</v>
      </c>
      <c r="J27" s="90">
        <f>Deal_Model!J99</f>
        <v>0</v>
      </c>
      <c r="K27" s="90">
        <f>Deal_Model!K99</f>
        <v>0</v>
      </c>
      <c r="L27" s="90">
        <f>Deal_Model!L99</f>
        <v>0</v>
      </c>
      <c r="M27" s="90">
        <f>Deal_Model!M99</f>
        <v>0</v>
      </c>
      <c r="N27" s="90">
        <f>Deal_Model!N99</f>
        <v>0</v>
      </c>
      <c r="O27" s="90">
        <f>Deal_Model!O99</f>
        <v>0</v>
      </c>
      <c r="P27" s="90">
        <f>Deal_Model!P99</f>
        <v>0</v>
      </c>
      <c r="Q27" s="90">
        <f>Deal_Model!Q99</f>
        <v>0</v>
      </c>
      <c r="R27" s="90">
        <f>Deal_Model!R99</f>
        <v>0</v>
      </c>
      <c r="S27" s="90">
        <f>Deal_Model!S99</f>
        <v>0</v>
      </c>
      <c r="T27" s="90">
        <f>Deal_Model!T99</f>
        <v>0</v>
      </c>
    </row>
    <row r="28" spans="1:23" ht="15" customHeight="1" x14ac:dyDescent="0.45">
      <c r="B28" s="90" t="s">
        <v>103</v>
      </c>
      <c r="I28" s="90">
        <f>Deal_Model!I100</f>
        <v>-3.4483363075342481</v>
      </c>
      <c r="J28" s="90">
        <f>Deal_Model!J100</f>
        <v>-14.056125535356102</v>
      </c>
      <c r="K28" s="90">
        <f>Deal_Model!K100</f>
        <v>-14.688651184447167</v>
      </c>
      <c r="L28" s="90">
        <f>Deal_Model!L100</f>
        <v>-15.349640487747308</v>
      </c>
      <c r="M28" s="90">
        <f>Deal_Model!M100</f>
        <v>-16.040374309695892</v>
      </c>
      <c r="N28" s="90">
        <f>Deal_Model!N100</f>
        <v>-16.762191153632273</v>
      </c>
      <c r="O28" s="90">
        <f>Deal_Model!O100</f>
        <v>-17.516489755545649</v>
      </c>
      <c r="P28" s="90">
        <f>Deal_Model!P100</f>
        <v>-18.304731794545262</v>
      </c>
      <c r="Q28" s="90">
        <f>Deal_Model!Q100</f>
        <v>-19.128444725299687</v>
      </c>
      <c r="R28" s="90">
        <f>Deal_Model!R100</f>
        <v>-19.98922473793823</v>
      </c>
      <c r="S28" s="90">
        <f>Deal_Model!S100</f>
        <v>-20.888739851145488</v>
      </c>
      <c r="T28" s="90">
        <f>Deal_Model!T100</f>
        <v>-21.828733144446971</v>
      </c>
    </row>
    <row r="29" spans="1:23" ht="15" customHeight="1" x14ac:dyDescent="0.45">
      <c r="B29" s="90" t="s">
        <v>104</v>
      </c>
      <c r="I29" s="90">
        <f>Deal_Model!I101</f>
        <v>-0.68501647749999961</v>
      </c>
      <c r="J29" s="90">
        <f>Deal_Model!J101</f>
        <v>-1.8607979659499989</v>
      </c>
      <c r="K29" s="90">
        <f>Deal_Model!K101</f>
        <v>-1.9445338744177505</v>
      </c>
      <c r="L29" s="90">
        <f>Deal_Model!L101</f>
        <v>-2.0320378987665393</v>
      </c>
      <c r="M29" s="90">
        <f>Deal_Model!M101</f>
        <v>-2.1234796042110418</v>
      </c>
      <c r="N29" s="90">
        <f>Deal_Model!N101</f>
        <v>-2.2190361864005368</v>
      </c>
      <c r="O29" s="90">
        <f>Deal_Model!O101</f>
        <v>-2.3188928147885548</v>
      </c>
      <c r="P29" s="90">
        <f>Deal_Model!P101</f>
        <v>-2.4232429914540532</v>
      </c>
      <c r="Q29" s="90">
        <f>Deal_Model!Q101</f>
        <v>-2.5322889260694694</v>
      </c>
      <c r="R29" s="90">
        <f>Deal_Model!R101</f>
        <v>-2.6462419277426008</v>
      </c>
      <c r="S29" s="90">
        <f>Deal_Model!S101</f>
        <v>-2.7653228144910145</v>
      </c>
      <c r="T29" s="90">
        <f>Deal_Model!T101</f>
        <v>-2.8897623411431113</v>
      </c>
    </row>
    <row r="30" spans="1:23" ht="15" customHeight="1" x14ac:dyDescent="0.45">
      <c r="B30" s="90" t="s">
        <v>105</v>
      </c>
      <c r="I30" s="90">
        <f>Deal_Model!I102</f>
        <v>1.510122832534222</v>
      </c>
      <c r="J30" s="90">
        <f>Deal_Model!J102</f>
        <v>6.0812771098561598</v>
      </c>
      <c r="K30" s="90">
        <f>Deal_Model!K102</f>
        <v>6.354934579799675</v>
      </c>
      <c r="L30" s="90">
        <f>Deal_Model!L102</f>
        <v>6.6409066358906728</v>
      </c>
      <c r="M30" s="90">
        <f>Deal_Model!M102</f>
        <v>6.9397474345057333</v>
      </c>
      <c r="N30" s="90">
        <f>Deal_Model!N102</f>
        <v>7.2520360690585051</v>
      </c>
      <c r="O30" s="90">
        <f>Deal_Model!O102</f>
        <v>7.5783776921661286</v>
      </c>
      <c r="P30" s="90">
        <f>Deal_Model!P102</f>
        <v>7.9194046883136195</v>
      </c>
      <c r="Q30" s="90">
        <f>Deal_Model!Q102</f>
        <v>8.2757778992877036</v>
      </c>
      <c r="R30" s="90">
        <f>Deal_Model!R102</f>
        <v>8.6481879047556731</v>
      </c>
      <c r="S30" s="90">
        <f>Deal_Model!S102</f>
        <v>9.0373563604696585</v>
      </c>
      <c r="T30" s="90">
        <f>Deal_Model!T102</f>
        <v>9.4440373966907885</v>
      </c>
    </row>
    <row r="31" spans="1:23" ht="15" customHeight="1" x14ac:dyDescent="0.45">
      <c r="B31" s="90" t="s">
        <v>106</v>
      </c>
      <c r="I31" s="90">
        <f>Deal_Model!I103</f>
        <v>2.4906418437499838</v>
      </c>
      <c r="J31" s="90">
        <f>Deal_Model!J103</f>
        <v>9.9685605318749992</v>
      </c>
      <c r="K31" s="90">
        <f>Deal_Model!K103</f>
        <v>10.417145755809344</v>
      </c>
      <c r="L31" s="90">
        <f>Deal_Model!L103</f>
        <v>10.885917314820773</v>
      </c>
      <c r="M31" s="90">
        <f>Deal_Model!M103</f>
        <v>11.375783593987734</v>
      </c>
      <c r="N31" s="90">
        <f>Deal_Model!N103</f>
        <v>11.887693855717146</v>
      </c>
      <c r="O31" s="90">
        <f>Deal_Model!O103</f>
        <v>12.422640079224436</v>
      </c>
      <c r="P31" s="90">
        <f>Deal_Model!P103</f>
        <v>12.981658882789532</v>
      </c>
      <c r="Q31" s="90">
        <f>Deal_Model!Q103</f>
        <v>13.565833532515001</v>
      </c>
      <c r="R31" s="90">
        <f>Deal_Model!R103</f>
        <v>14.176296041478224</v>
      </c>
      <c r="S31" s="90">
        <f>Deal_Model!S103</f>
        <v>14.814229363344737</v>
      </c>
      <c r="T31" s="90">
        <f>Deal_Model!T103</f>
        <v>15.480869684695222</v>
      </c>
    </row>
    <row r="32" spans="1:23" ht="15" customHeight="1" x14ac:dyDescent="0.45">
      <c r="B32" s="90" t="s">
        <v>90</v>
      </c>
      <c r="I32" s="96">
        <f>Deal_Model!I106</f>
        <v>-19.937121063749998</v>
      </c>
      <c r="J32" s="96">
        <f>Deal_Model!J106</f>
        <v>-83.337166046474991</v>
      </c>
      <c r="K32" s="96">
        <f>Deal_Model!K106</f>
        <v>-87.087338518566355</v>
      </c>
      <c r="L32" s="96">
        <f>Deal_Model!L106</f>
        <v>-91.006268751901843</v>
      </c>
      <c r="M32" s="96">
        <f>Deal_Model!M106</f>
        <v>-95.101550845737407</v>
      </c>
      <c r="N32" s="96">
        <f>Deal_Model!N106</f>
        <v>-99.381120633795589</v>
      </c>
      <c r="O32" s="96">
        <f>Deal_Model!O106</f>
        <v>-103.85327106231638</v>
      </c>
      <c r="P32" s="96">
        <f>Deal_Model!P106</f>
        <v>-108.52666826012062</v>
      </c>
      <c r="Q32" s="96">
        <f>Deal_Model!Q106</f>
        <v>-113.41036833182602</v>
      </c>
      <c r="R32" s="96">
        <f>Deal_Model!R106</f>
        <v>-118.51383490675818</v>
      </c>
      <c r="S32" s="96">
        <f>Deal_Model!S106</f>
        <v>-123.84695747756228</v>
      </c>
      <c r="T32" s="96">
        <f>Deal_Model!T106</f>
        <v>-129.42007056405257</v>
      </c>
    </row>
    <row r="33" spans="1:20" ht="15" customHeight="1" x14ac:dyDescent="0.45">
      <c r="B33" s="90" t="s">
        <v>168</v>
      </c>
      <c r="I33" s="96">
        <f>SUM(I24:I32)</f>
        <v>30.252221128149955</v>
      </c>
      <c r="J33" s="96">
        <f t="shared" ref="J33:T33" si="2">SUM(J24:J32)</f>
        <v>137.06593817840252</v>
      </c>
      <c r="K33" s="96">
        <f t="shared" si="2"/>
        <v>154.15187986941362</v>
      </c>
      <c r="L33" s="96">
        <f t="shared" si="2"/>
        <v>159.59544414417044</v>
      </c>
      <c r="M33" s="96">
        <f t="shared" si="2"/>
        <v>165.55235669537433</v>
      </c>
      <c r="N33" s="96">
        <f t="shared" si="2"/>
        <v>171.99606643690959</v>
      </c>
      <c r="O33" s="96">
        <f t="shared" si="2"/>
        <v>178.90801305911913</v>
      </c>
      <c r="P33" s="96">
        <f t="shared" si="2"/>
        <v>186.2762872823065</v>
      </c>
      <c r="Q33" s="96">
        <f t="shared" si="2"/>
        <v>194.09454519796481</v>
      </c>
      <c r="R33" s="96">
        <f t="shared" si="2"/>
        <v>202.36112997205612</v>
      </c>
      <c r="S33" s="96">
        <f t="shared" si="2"/>
        <v>211.07836284154769</v>
      </c>
      <c r="T33" s="96">
        <f t="shared" si="2"/>
        <v>220.25197239132788</v>
      </c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>
        <f>I75</f>
        <v>-0.44374999999999998</v>
      </c>
      <c r="J36" s="96">
        <f t="shared" ref="J36:T36" si="3">J75</f>
        <v>-1.5</v>
      </c>
      <c r="K36" s="96">
        <f t="shared" si="3"/>
        <v>-1.5</v>
      </c>
      <c r="L36" s="96">
        <f t="shared" si="3"/>
        <v>-1.5</v>
      </c>
      <c r="M36" s="96">
        <f t="shared" si="3"/>
        <v>-1.5</v>
      </c>
      <c r="N36" s="96">
        <f t="shared" si="3"/>
        <v>-1.5</v>
      </c>
      <c r="O36" s="96">
        <f t="shared" si="3"/>
        <v>-1.5</v>
      </c>
      <c r="P36" s="96">
        <f t="shared" si="3"/>
        <v>-1.5</v>
      </c>
      <c r="Q36" s="96">
        <f t="shared" si="3"/>
        <v>-1.5</v>
      </c>
      <c r="R36" s="96">
        <f t="shared" si="3"/>
        <v>-1.5</v>
      </c>
      <c r="S36" s="96">
        <f t="shared" si="3"/>
        <v>-1.5</v>
      </c>
      <c r="T36" s="96">
        <f t="shared" si="3"/>
        <v>-1.5</v>
      </c>
    </row>
    <row r="37" spans="1:20" ht="15" customHeight="1" x14ac:dyDescent="0.45">
      <c r="B37" s="90" t="s">
        <v>194</v>
      </c>
      <c r="I37" s="96">
        <f>I88</f>
        <v>0</v>
      </c>
      <c r="J37" s="96">
        <f t="shared" ref="J37:T37" si="4">J88</f>
        <v>0</v>
      </c>
      <c r="K37" s="96">
        <f t="shared" si="4"/>
        <v>0</v>
      </c>
      <c r="L37" s="96">
        <f t="shared" si="4"/>
        <v>0</v>
      </c>
      <c r="M37" s="96">
        <f t="shared" si="4"/>
        <v>0</v>
      </c>
      <c r="N37" s="96">
        <f t="shared" si="4"/>
        <v>0</v>
      </c>
      <c r="O37" s="96">
        <f t="shared" si="4"/>
        <v>0</v>
      </c>
      <c r="P37" s="96">
        <f t="shared" si="4"/>
        <v>0</v>
      </c>
      <c r="Q37" s="96">
        <f t="shared" si="4"/>
        <v>0</v>
      </c>
      <c r="R37" s="96">
        <f t="shared" si="4"/>
        <v>0</v>
      </c>
      <c r="S37" s="96">
        <f t="shared" si="4"/>
        <v>0</v>
      </c>
      <c r="T37" s="96">
        <f t="shared" si="4"/>
        <v>0</v>
      </c>
    </row>
    <row r="38" spans="1:20" ht="15" customHeight="1" x14ac:dyDescent="0.45">
      <c r="B38" s="90" t="s">
        <v>195</v>
      </c>
      <c r="I38" s="96">
        <f>I170</f>
        <v>0</v>
      </c>
      <c r="J38" s="96">
        <f t="shared" ref="J38:T38" si="5">J170</f>
        <v>0</v>
      </c>
      <c r="K38" s="96">
        <f t="shared" si="5"/>
        <v>0</v>
      </c>
      <c r="L38" s="96">
        <f t="shared" si="5"/>
        <v>0</v>
      </c>
      <c r="M38" s="96">
        <f t="shared" si="5"/>
        <v>0</v>
      </c>
      <c r="N38" s="96">
        <f t="shared" si="5"/>
        <v>0</v>
      </c>
      <c r="O38" s="96">
        <f t="shared" si="5"/>
        <v>0</v>
      </c>
      <c r="P38" s="96">
        <f t="shared" si="5"/>
        <v>0</v>
      </c>
      <c r="Q38" s="96">
        <f t="shared" si="5"/>
        <v>0</v>
      </c>
      <c r="R38" s="96">
        <f t="shared" si="5"/>
        <v>0</v>
      </c>
      <c r="S38" s="96">
        <f t="shared" si="5"/>
        <v>0</v>
      </c>
      <c r="T38" s="96">
        <f t="shared" si="5"/>
        <v>0</v>
      </c>
    </row>
    <row r="39" spans="1:20" ht="15" customHeight="1" x14ac:dyDescent="0.45">
      <c r="B39" s="90" t="s">
        <v>196</v>
      </c>
      <c r="I39" s="96">
        <f>I120</f>
        <v>-9.4695637185258033</v>
      </c>
      <c r="J39" s="96">
        <f t="shared" ref="J39:T39" si="6">J120</f>
        <v>-35.444541669389523</v>
      </c>
      <c r="K39" s="96">
        <f t="shared" si="6"/>
        <v>-29.430567227714853</v>
      </c>
      <c r="L39" s="96">
        <f t="shared" si="6"/>
        <v>-23.491641012036656</v>
      </c>
      <c r="M39" s="96">
        <f t="shared" si="6"/>
        <v>-18.520424307972085</v>
      </c>
      <c r="N39" s="96">
        <f t="shared" si="6"/>
        <v>-13.501264967906172</v>
      </c>
      <c r="O39" s="96">
        <f t="shared" si="6"/>
        <v>-5.608201239542189</v>
      </c>
      <c r="P39" s="96">
        <f t="shared" si="6"/>
        <v>0</v>
      </c>
      <c r="Q39" s="96">
        <f t="shared" si="6"/>
        <v>0</v>
      </c>
      <c r="R39" s="96">
        <f t="shared" si="6"/>
        <v>0</v>
      </c>
      <c r="S39" s="96">
        <f t="shared" si="6"/>
        <v>0</v>
      </c>
      <c r="T39" s="96">
        <f t="shared" si="6"/>
        <v>0</v>
      </c>
    </row>
    <row r="40" spans="1:20" ht="15" customHeight="1" x14ac:dyDescent="0.45">
      <c r="B40" s="90" t="s">
        <v>197</v>
      </c>
      <c r="I40" s="96">
        <f>I134</f>
        <v>-6</v>
      </c>
      <c r="J40" s="96">
        <f t="shared" ref="J40:T40" si="7">J134</f>
        <v>-24</v>
      </c>
      <c r="K40" s="96">
        <f t="shared" si="7"/>
        <v>-24</v>
      </c>
      <c r="L40" s="96">
        <f t="shared" si="7"/>
        <v>-24</v>
      </c>
      <c r="M40" s="96">
        <f t="shared" si="7"/>
        <v>-24</v>
      </c>
      <c r="N40" s="96">
        <f t="shared" si="7"/>
        <v>-24</v>
      </c>
      <c r="O40" s="96">
        <f t="shared" si="7"/>
        <v>-21.659206443907685</v>
      </c>
      <c r="P40" s="96">
        <f t="shared" si="7"/>
        <v>-9.659206443907685</v>
      </c>
      <c r="Q40" s="96">
        <f t="shared" si="7"/>
        <v>0</v>
      </c>
      <c r="R40" s="96">
        <f t="shared" si="7"/>
        <v>0</v>
      </c>
      <c r="S40" s="96">
        <f t="shared" si="7"/>
        <v>0</v>
      </c>
      <c r="T40" s="96">
        <f t="shared" si="7"/>
        <v>0</v>
      </c>
    </row>
    <row r="41" spans="1:20" ht="15" customHeight="1" x14ac:dyDescent="0.45">
      <c r="B41" s="90" t="s">
        <v>198</v>
      </c>
      <c r="I41" s="96">
        <f>I143</f>
        <v>-2.0625</v>
      </c>
      <c r="J41" s="96">
        <f t="shared" ref="J41:T41" si="8">J143</f>
        <v>-8.25</v>
      </c>
      <c r="K41" s="96">
        <f t="shared" si="8"/>
        <v>-8.25</v>
      </c>
      <c r="L41" s="96">
        <f t="shared" si="8"/>
        <v>-8.25</v>
      </c>
      <c r="M41" s="96">
        <f t="shared" si="8"/>
        <v>-8.25</v>
      </c>
      <c r="N41" s="96">
        <f t="shared" si="8"/>
        <v>-8.25</v>
      </c>
      <c r="O41" s="96">
        <f t="shared" si="8"/>
        <v>-8.25</v>
      </c>
      <c r="P41" s="96">
        <f t="shared" si="8"/>
        <v>-8.25</v>
      </c>
      <c r="Q41" s="96">
        <f t="shared" si="8"/>
        <v>-4.125</v>
      </c>
      <c r="R41" s="96">
        <f t="shared" si="8"/>
        <v>0</v>
      </c>
      <c r="S41" s="96">
        <f t="shared" si="8"/>
        <v>0</v>
      </c>
      <c r="T41" s="96">
        <f t="shared" si="8"/>
        <v>0</v>
      </c>
    </row>
    <row r="42" spans="1:20" ht="15" customHeight="1" x14ac:dyDescent="0.45">
      <c r="B42" s="90" t="s">
        <v>199</v>
      </c>
      <c r="I42" s="96">
        <f>SUM(I36:I41)</f>
        <v>-17.975813718525803</v>
      </c>
      <c r="J42" s="96">
        <f t="shared" ref="J42:T42" si="9">SUM(J36:J41)</f>
        <v>-69.194541669389523</v>
      </c>
      <c r="K42" s="96">
        <f t="shared" si="9"/>
        <v>-63.180567227714853</v>
      </c>
      <c r="L42" s="96">
        <f t="shared" si="9"/>
        <v>-57.241641012036652</v>
      </c>
      <c r="M42" s="96">
        <f t="shared" si="9"/>
        <v>-52.270424307972085</v>
      </c>
      <c r="N42" s="96">
        <f t="shared" si="9"/>
        <v>-47.251264967906174</v>
      </c>
      <c r="O42" s="96">
        <f t="shared" si="9"/>
        <v>-37.017407683449875</v>
      </c>
      <c r="P42" s="96">
        <f t="shared" si="9"/>
        <v>-19.409206443907685</v>
      </c>
      <c r="Q42" s="96">
        <f t="shared" si="9"/>
        <v>-5.625</v>
      </c>
      <c r="R42" s="96">
        <f t="shared" si="9"/>
        <v>-1.5</v>
      </c>
      <c r="S42" s="96">
        <f t="shared" si="9"/>
        <v>-1.5</v>
      </c>
      <c r="T42" s="96">
        <f t="shared" si="9"/>
        <v>-1.5</v>
      </c>
    </row>
    <row r="43" spans="1:20" ht="15" customHeight="1" x14ac:dyDescent="0.45"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ht="15" customHeight="1" x14ac:dyDescent="0.45">
      <c r="B44" s="90" t="s">
        <v>148</v>
      </c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5" customHeight="1" x14ac:dyDescent="0.45"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20" ht="15" customHeight="1" x14ac:dyDescent="0.45">
      <c r="B47" s="90" t="s">
        <v>201</v>
      </c>
      <c r="I47" s="96">
        <f>I158</f>
        <v>0</v>
      </c>
      <c r="J47" s="96">
        <f t="shared" ref="J47:T47" si="10">J158</f>
        <v>0</v>
      </c>
      <c r="K47" s="96">
        <f t="shared" si="10"/>
        <v>0</v>
      </c>
      <c r="L47" s="96">
        <f t="shared" si="10"/>
        <v>0</v>
      </c>
      <c r="M47" s="96">
        <f t="shared" si="10"/>
        <v>-50</v>
      </c>
      <c r="N47" s="96">
        <f t="shared" si="10"/>
        <v>-50</v>
      </c>
      <c r="O47" s="96">
        <f t="shared" si="10"/>
        <v>-50</v>
      </c>
      <c r="P47" s="96">
        <f t="shared" si="10"/>
        <v>-50</v>
      </c>
      <c r="Q47" s="96">
        <f t="shared" si="10"/>
        <v>0</v>
      </c>
      <c r="R47" s="96">
        <f t="shared" si="10"/>
        <v>0</v>
      </c>
      <c r="S47" s="96">
        <f t="shared" si="10"/>
        <v>0</v>
      </c>
      <c r="T47" s="96">
        <f t="shared" si="10"/>
        <v>0</v>
      </c>
    </row>
    <row r="48" spans="1:20" ht="15" customHeight="1" x14ac:dyDescent="0.45">
      <c r="B48" s="90" t="s">
        <v>202</v>
      </c>
      <c r="I48" s="96">
        <f>I112</f>
        <v>0</v>
      </c>
      <c r="J48" s="96">
        <f t="shared" ref="J48:T48" si="11">J112</f>
        <v>0</v>
      </c>
      <c r="K48" s="96">
        <f t="shared" si="11"/>
        <v>0</v>
      </c>
      <c r="L48" s="96">
        <f t="shared" si="11"/>
        <v>0</v>
      </c>
      <c r="M48" s="96">
        <f t="shared" si="11"/>
        <v>0</v>
      </c>
      <c r="N48" s="96">
        <f t="shared" si="11"/>
        <v>0</v>
      </c>
      <c r="O48" s="96">
        <f t="shared" si="11"/>
        <v>-236.13478903335533</v>
      </c>
      <c r="P48" s="96">
        <f t="shared" si="11"/>
        <v>0</v>
      </c>
      <c r="Q48" s="96">
        <f t="shared" si="11"/>
        <v>0</v>
      </c>
      <c r="R48" s="96">
        <f t="shared" si="11"/>
        <v>0</v>
      </c>
      <c r="S48" s="96">
        <f t="shared" si="11"/>
        <v>0</v>
      </c>
      <c r="T48" s="96">
        <f t="shared" si="11"/>
        <v>0</v>
      </c>
    </row>
    <row r="49" spans="1:20" ht="15" customHeight="1" x14ac:dyDescent="0.45">
      <c r="B49" s="90" t="s">
        <v>203</v>
      </c>
      <c r="I49" s="96">
        <f>I126</f>
        <v>0</v>
      </c>
      <c r="J49" s="96">
        <f t="shared" ref="J49:T49" si="12">J126</f>
        <v>0</v>
      </c>
      <c r="K49" s="96">
        <f t="shared" si="12"/>
        <v>0</v>
      </c>
      <c r="L49" s="96">
        <f t="shared" si="12"/>
        <v>0</v>
      </c>
      <c r="M49" s="96">
        <f t="shared" si="12"/>
        <v>0</v>
      </c>
      <c r="N49" s="96">
        <f t="shared" si="12"/>
        <v>0</v>
      </c>
      <c r="O49" s="96">
        <f t="shared" si="12"/>
        <v>0</v>
      </c>
      <c r="P49" s="96">
        <f t="shared" si="12"/>
        <v>-241.4801610976921</v>
      </c>
      <c r="Q49" s="96">
        <f t="shared" si="12"/>
        <v>0</v>
      </c>
      <c r="R49" s="96">
        <f t="shared" si="12"/>
        <v>0</v>
      </c>
      <c r="S49" s="96">
        <f t="shared" si="12"/>
        <v>0</v>
      </c>
      <c r="T49" s="96">
        <f t="shared" si="12"/>
        <v>0</v>
      </c>
    </row>
    <row r="50" spans="1:20" ht="15" customHeight="1" x14ac:dyDescent="0.45">
      <c r="B50" s="90" t="s">
        <v>204</v>
      </c>
      <c r="I50" s="96">
        <f>I138</f>
        <v>0</v>
      </c>
      <c r="J50" s="96">
        <f t="shared" ref="J50:T50" si="13">J138</f>
        <v>0</v>
      </c>
      <c r="K50" s="96">
        <f t="shared" si="13"/>
        <v>0</v>
      </c>
      <c r="L50" s="96">
        <f t="shared" si="13"/>
        <v>0</v>
      </c>
      <c r="M50" s="96">
        <f t="shared" si="13"/>
        <v>0</v>
      </c>
      <c r="N50" s="96">
        <f t="shared" si="13"/>
        <v>0</v>
      </c>
      <c r="O50" s="96">
        <f t="shared" si="13"/>
        <v>0</v>
      </c>
      <c r="P50" s="96">
        <f t="shared" si="13"/>
        <v>0</v>
      </c>
      <c r="Q50" s="96">
        <f t="shared" si="13"/>
        <v>-100</v>
      </c>
      <c r="R50" s="96">
        <f t="shared" si="13"/>
        <v>0</v>
      </c>
      <c r="S50" s="96">
        <f t="shared" si="13"/>
        <v>0</v>
      </c>
      <c r="T50" s="96">
        <f t="shared" si="13"/>
        <v>0</v>
      </c>
    </row>
    <row r="51" spans="1:20" ht="15" customHeight="1" x14ac:dyDescent="0.45">
      <c r="B51" s="90" t="s">
        <v>205</v>
      </c>
      <c r="I51" s="96">
        <f>I148</f>
        <v>0</v>
      </c>
      <c r="J51" s="96">
        <f t="shared" ref="J51:T51" si="14">J148</f>
        <v>0</v>
      </c>
      <c r="K51" s="96">
        <f t="shared" si="14"/>
        <v>0</v>
      </c>
      <c r="L51" s="96">
        <f t="shared" si="14"/>
        <v>0</v>
      </c>
      <c r="M51" s="96">
        <f t="shared" si="14"/>
        <v>0</v>
      </c>
      <c r="N51" s="96">
        <f t="shared" si="14"/>
        <v>0</v>
      </c>
      <c r="O51" s="96">
        <f t="shared" si="14"/>
        <v>0</v>
      </c>
      <c r="P51" s="96">
        <f t="shared" si="14"/>
        <v>0</v>
      </c>
      <c r="Q51" s="96">
        <f t="shared" si="14"/>
        <v>0</v>
      </c>
      <c r="R51" s="96">
        <f t="shared" si="14"/>
        <v>-241.68963832750003</v>
      </c>
      <c r="S51" s="96">
        <f t="shared" si="14"/>
        <v>0</v>
      </c>
      <c r="T51" s="96">
        <f t="shared" si="14"/>
        <v>0</v>
      </c>
    </row>
    <row r="52" spans="1:20" ht="15" customHeight="1" x14ac:dyDescent="0.45">
      <c r="B52" s="90" t="s">
        <v>221</v>
      </c>
      <c r="I52" s="96">
        <f>SUM(I47:I51)</f>
        <v>0</v>
      </c>
      <c r="J52" s="96">
        <f t="shared" ref="J52:T52" si="15">SUM(J47:J51)</f>
        <v>0</v>
      </c>
      <c r="K52" s="96">
        <f t="shared" si="15"/>
        <v>0</v>
      </c>
      <c r="L52" s="96">
        <f t="shared" si="15"/>
        <v>0</v>
      </c>
      <c r="M52" s="96">
        <f t="shared" si="15"/>
        <v>-50</v>
      </c>
      <c r="N52" s="96">
        <f t="shared" si="15"/>
        <v>-50</v>
      </c>
      <c r="O52" s="96">
        <f t="shared" si="15"/>
        <v>-286.13478903335533</v>
      </c>
      <c r="P52" s="96">
        <f t="shared" si="15"/>
        <v>-291.48016109769208</v>
      </c>
      <c r="Q52" s="96">
        <f t="shared" si="15"/>
        <v>-100</v>
      </c>
      <c r="R52" s="96">
        <f t="shared" si="15"/>
        <v>-241.68963832750003</v>
      </c>
      <c r="S52" s="96">
        <f t="shared" si="15"/>
        <v>0</v>
      </c>
      <c r="T52" s="96">
        <f t="shared" si="15"/>
        <v>0</v>
      </c>
    </row>
    <row r="53" spans="1:20" ht="15" customHeight="1" x14ac:dyDescent="0.45"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20" ht="15" customHeight="1" x14ac:dyDescent="0.45">
      <c r="B54" s="90" t="s">
        <v>247</v>
      </c>
      <c r="I54" s="90">
        <f>I33+I45+I52</f>
        <v>30.252221128149955</v>
      </c>
      <c r="J54" s="90">
        <f t="shared" ref="J54:T54" si="16">J33+J45+J52</f>
        <v>137.06593817840252</v>
      </c>
      <c r="K54" s="90">
        <f t="shared" si="16"/>
        <v>154.15187986941362</v>
      </c>
      <c r="L54" s="90">
        <f t="shared" si="16"/>
        <v>159.59544414417044</v>
      </c>
      <c r="M54" s="90">
        <f t="shared" si="16"/>
        <v>115.55235669537433</v>
      </c>
      <c r="N54" s="90">
        <f t="shared" si="16"/>
        <v>121.99606643690959</v>
      </c>
      <c r="O54" s="90">
        <f t="shared" si="16"/>
        <v>-107.2267759742362</v>
      </c>
      <c r="P54" s="90">
        <f t="shared" si="16"/>
        <v>-105.20387381538558</v>
      </c>
      <c r="Q54" s="90">
        <f t="shared" si="16"/>
        <v>94.094545197964806</v>
      </c>
      <c r="R54" s="90">
        <f t="shared" si="16"/>
        <v>-39.328508355443915</v>
      </c>
      <c r="S54" s="90">
        <f t="shared" si="16"/>
        <v>211.07836284154769</v>
      </c>
      <c r="T54" s="90">
        <f t="shared" si="16"/>
        <v>220.25197239132788</v>
      </c>
    </row>
    <row r="55" spans="1:20" ht="15" customHeight="1" x14ac:dyDescent="0.45">
      <c r="B55" s="90" t="s">
        <v>95</v>
      </c>
      <c r="I55" s="96">
        <f>Deal_Model!I120</f>
        <v>30</v>
      </c>
      <c r="J55" s="96">
        <f>Deal_Model!J120</f>
        <v>87.626110564074935</v>
      </c>
      <c r="K55" s="96">
        <f>Deal_Model!K120</f>
        <v>187.59602437123871</v>
      </c>
      <c r="L55" s="96">
        <f>Deal_Model!L120</f>
        <v>247.14895212032616</v>
      </c>
      <c r="M55" s="96">
        <f>Deal_Model!M120</f>
        <v>374.96079719837246</v>
      </c>
      <c r="N55" s="96">
        <f>Deal_Model!N120</f>
        <v>389.0276154203101</v>
      </c>
      <c r="O55" s="96">
        <f>Deal_Model!O120</f>
        <v>429.82597048577577</v>
      </c>
      <c r="P55" s="96">
        <f>Deal_Model!P120</f>
        <v>280.58708310923163</v>
      </c>
      <c r="Q55" s="96">
        <f>Deal_Model!Q120</f>
        <v>193.54170954384603</v>
      </c>
      <c r="R55" s="96">
        <f>Deal_Model!R120</f>
        <v>307.61060501681084</v>
      </c>
      <c r="S55" s="96">
        <f>Deal_Model!S120</f>
        <v>290.25388196386689</v>
      </c>
      <c r="T55" s="96">
        <f>Deal_Model!T120</f>
        <v>501.33224480541458</v>
      </c>
    </row>
    <row r="56" spans="1:20" ht="15" customHeight="1" x14ac:dyDescent="0.45">
      <c r="B56" s="90" t="s">
        <v>262</v>
      </c>
      <c r="I56" s="96">
        <f>SUM(I54:I55)</f>
        <v>60.252221128149955</v>
      </c>
      <c r="J56" s="96">
        <f t="shared" ref="J56:T56" si="17">SUM(J54:J55)</f>
        <v>224.69204874247745</v>
      </c>
      <c r="K56" s="96">
        <f t="shared" si="17"/>
        <v>341.74790424065236</v>
      </c>
      <c r="L56" s="96">
        <f t="shared" si="17"/>
        <v>406.74439626449657</v>
      </c>
      <c r="M56" s="96">
        <f t="shared" si="17"/>
        <v>490.51315389374679</v>
      </c>
      <c r="N56" s="96">
        <f t="shared" si="17"/>
        <v>511.02368185721969</v>
      </c>
      <c r="O56" s="96">
        <f t="shared" si="17"/>
        <v>322.59919451153957</v>
      </c>
      <c r="P56" s="96">
        <f t="shared" si="17"/>
        <v>175.38320929384605</v>
      </c>
      <c r="Q56" s="96">
        <f t="shared" si="17"/>
        <v>287.63625474181083</v>
      </c>
      <c r="R56" s="96">
        <f t="shared" si="17"/>
        <v>268.28209666136695</v>
      </c>
      <c r="S56" s="96">
        <f t="shared" si="17"/>
        <v>501.33224480541458</v>
      </c>
      <c r="T56" s="96">
        <f t="shared" si="17"/>
        <v>721.58421719674243</v>
      </c>
    </row>
    <row r="57" spans="1:20" ht="15" customHeight="1" x14ac:dyDescent="0.45">
      <c r="B57" s="90" t="s">
        <v>171</v>
      </c>
      <c r="I57" s="96">
        <f>-Input!$C$31</f>
        <v>-30</v>
      </c>
      <c r="J57" s="96">
        <f>-Input!$C$31</f>
        <v>-30</v>
      </c>
      <c r="K57" s="96">
        <f>-Input!$C$31</f>
        <v>-30</v>
      </c>
      <c r="L57" s="96">
        <f>-Input!$C$31</f>
        <v>-30</v>
      </c>
      <c r="M57" s="96">
        <f>-Input!$C$31</f>
        <v>-30</v>
      </c>
      <c r="N57" s="96">
        <f>-Input!$C$31</f>
        <v>-30</v>
      </c>
      <c r="O57" s="96">
        <f>-Input!$C$31</f>
        <v>-30</v>
      </c>
      <c r="P57" s="96">
        <f>-Input!$C$31</f>
        <v>-30</v>
      </c>
      <c r="Q57" s="96">
        <f>-Input!$C$31</f>
        <v>-30</v>
      </c>
      <c r="R57" s="96">
        <f>-Input!$C$31</f>
        <v>-30</v>
      </c>
      <c r="S57" s="96">
        <f>-Input!$C$31</f>
        <v>-30</v>
      </c>
      <c r="T57" s="96">
        <f>-Input!$C$31</f>
        <v>-30</v>
      </c>
    </row>
    <row r="58" spans="1:20" ht="15" customHeight="1" x14ac:dyDescent="0.45">
      <c r="B58" s="90" t="s">
        <v>263</v>
      </c>
      <c r="I58" s="96">
        <f>SUM(I56:I57)</f>
        <v>30.252221128149955</v>
      </c>
      <c r="J58" s="96">
        <f t="shared" ref="J58:T58" si="18">SUM(J56:J57)</f>
        <v>194.69204874247745</v>
      </c>
      <c r="K58" s="96">
        <f t="shared" si="18"/>
        <v>311.74790424065236</v>
      </c>
      <c r="L58" s="96">
        <f t="shared" si="18"/>
        <v>376.74439626449657</v>
      </c>
      <c r="M58" s="96">
        <f t="shared" si="18"/>
        <v>460.51315389374679</v>
      </c>
      <c r="N58" s="96">
        <f t="shared" si="18"/>
        <v>481.02368185721969</v>
      </c>
      <c r="O58" s="96">
        <f t="shared" si="18"/>
        <v>292.59919451153957</v>
      </c>
      <c r="P58" s="96">
        <f t="shared" si="18"/>
        <v>145.38320929384605</v>
      </c>
      <c r="Q58" s="96">
        <f t="shared" si="18"/>
        <v>257.63625474181083</v>
      </c>
      <c r="R58" s="96">
        <f t="shared" si="18"/>
        <v>238.28209666136695</v>
      </c>
      <c r="S58" s="96">
        <f t="shared" si="18"/>
        <v>471.33224480541458</v>
      </c>
      <c r="T58" s="96">
        <f t="shared" si="18"/>
        <v>691.58421719674243</v>
      </c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>
        <f>H64</f>
        <v>20</v>
      </c>
      <c r="J61" s="96">
        <f t="shared" ref="J61:T61" si="19">I64</f>
        <v>0</v>
      </c>
      <c r="K61" s="96">
        <f t="shared" si="19"/>
        <v>0</v>
      </c>
      <c r="L61" s="96">
        <f t="shared" si="19"/>
        <v>0</v>
      </c>
      <c r="M61" s="96">
        <f t="shared" si="19"/>
        <v>0</v>
      </c>
      <c r="N61" s="96">
        <f t="shared" si="19"/>
        <v>0</v>
      </c>
      <c r="O61" s="96">
        <f t="shared" si="19"/>
        <v>0</v>
      </c>
      <c r="P61" s="96">
        <f t="shared" si="19"/>
        <v>0</v>
      </c>
      <c r="Q61" s="96">
        <f t="shared" si="19"/>
        <v>0</v>
      </c>
      <c r="R61" s="96">
        <f t="shared" si="19"/>
        <v>0</v>
      </c>
      <c r="S61" s="96">
        <f t="shared" si="19"/>
        <v>0</v>
      </c>
      <c r="T61" s="96">
        <f t="shared" si="19"/>
        <v>0</v>
      </c>
    </row>
    <row r="62" spans="1:20" ht="15" customHeight="1" x14ac:dyDescent="0.45">
      <c r="B62" s="90" t="s">
        <v>144</v>
      </c>
      <c r="I62" s="96">
        <f>IF(I58&lt;0,MIN(H65,-I58),0)</f>
        <v>0</v>
      </c>
      <c r="J62" s="96">
        <f t="shared" ref="J62:T62" si="20">IF(J58&lt;0,MIN(I65,-J58),0)</f>
        <v>0</v>
      </c>
      <c r="K62" s="96">
        <f t="shared" si="20"/>
        <v>0</v>
      </c>
      <c r="L62" s="96">
        <f t="shared" si="20"/>
        <v>0</v>
      </c>
      <c r="M62" s="96">
        <f t="shared" si="20"/>
        <v>0</v>
      </c>
      <c r="N62" s="96">
        <f t="shared" si="20"/>
        <v>0</v>
      </c>
      <c r="O62" s="96">
        <f t="shared" si="20"/>
        <v>0</v>
      </c>
      <c r="P62" s="96">
        <f t="shared" si="20"/>
        <v>0</v>
      </c>
      <c r="Q62" s="96">
        <f t="shared" si="20"/>
        <v>0</v>
      </c>
      <c r="R62" s="96">
        <f t="shared" si="20"/>
        <v>0</v>
      </c>
      <c r="S62" s="96">
        <f t="shared" si="20"/>
        <v>0</v>
      </c>
      <c r="T62" s="96">
        <f t="shared" si="20"/>
        <v>0</v>
      </c>
    </row>
    <row r="63" spans="1:20" ht="15" customHeight="1" x14ac:dyDescent="0.45">
      <c r="B63" s="96" t="s">
        <v>150</v>
      </c>
      <c r="C63" s="99"/>
      <c r="D63" s="96"/>
      <c r="E63" s="96"/>
      <c r="F63" s="96"/>
      <c r="I63" s="96">
        <f>IF(I58&gt;0,-MIN(I61+I62,I58),0)</f>
        <v>-20</v>
      </c>
      <c r="J63" s="96">
        <f t="shared" ref="J63:T63" si="21">IF(J58&gt;0,-MIN(J61+J62,J58),0)</f>
        <v>0</v>
      </c>
      <c r="K63" s="96">
        <f t="shared" si="21"/>
        <v>0</v>
      </c>
      <c r="L63" s="96">
        <f t="shared" si="21"/>
        <v>0</v>
      </c>
      <c r="M63" s="96">
        <f t="shared" si="21"/>
        <v>0</v>
      </c>
      <c r="N63" s="96">
        <f t="shared" si="21"/>
        <v>0</v>
      </c>
      <c r="O63" s="96">
        <f t="shared" si="21"/>
        <v>0</v>
      </c>
      <c r="P63" s="96">
        <f t="shared" si="21"/>
        <v>0</v>
      </c>
      <c r="Q63" s="96">
        <f t="shared" si="21"/>
        <v>0</v>
      </c>
      <c r="R63" s="96">
        <f t="shared" si="21"/>
        <v>0</v>
      </c>
      <c r="S63" s="96">
        <f t="shared" si="21"/>
        <v>0</v>
      </c>
      <c r="T63" s="96">
        <f t="shared" si="21"/>
        <v>0</v>
      </c>
    </row>
    <row r="64" spans="1:20" ht="15" customHeight="1" x14ac:dyDescent="0.45">
      <c r="B64" s="90" t="s">
        <v>206</v>
      </c>
      <c r="H64" s="90">
        <f>Deal_Date!H72</f>
        <v>20</v>
      </c>
      <c r="I64" s="96">
        <f>SUM(I61:I63)</f>
        <v>0</v>
      </c>
      <c r="J64" s="96">
        <f t="shared" ref="J64:T64" si="22">SUM(J61:J63)</f>
        <v>0</v>
      </c>
      <c r="K64" s="96">
        <f t="shared" si="22"/>
        <v>0</v>
      </c>
      <c r="L64" s="96">
        <f t="shared" si="22"/>
        <v>0</v>
      </c>
      <c r="M64" s="96">
        <f t="shared" si="22"/>
        <v>0</v>
      </c>
      <c r="N64" s="96">
        <f t="shared" si="22"/>
        <v>0</v>
      </c>
      <c r="O64" s="96">
        <f t="shared" si="22"/>
        <v>0</v>
      </c>
      <c r="P64" s="96">
        <f t="shared" si="22"/>
        <v>0</v>
      </c>
      <c r="Q64" s="96">
        <f t="shared" si="22"/>
        <v>0</v>
      </c>
      <c r="R64" s="96">
        <f t="shared" si="22"/>
        <v>0</v>
      </c>
      <c r="S64" s="96">
        <f t="shared" si="22"/>
        <v>0</v>
      </c>
      <c r="T64" s="96">
        <f t="shared" si="22"/>
        <v>0</v>
      </c>
    </row>
    <row r="65" spans="1:20" ht="15" customHeight="1" x14ac:dyDescent="0.45">
      <c r="B65" s="90" t="s">
        <v>207</v>
      </c>
      <c r="H65" s="90">
        <f>Input!$C$23-Debt_Schedule!H64</f>
        <v>80</v>
      </c>
      <c r="I65" s="90">
        <f>Input!$C$23-Debt_Schedule!I64</f>
        <v>100</v>
      </c>
      <c r="J65" s="90">
        <f>Input!$C$23-Debt_Schedule!J64</f>
        <v>100</v>
      </c>
      <c r="K65" s="90">
        <f>Input!$C$23-Debt_Schedule!K64</f>
        <v>100</v>
      </c>
      <c r="L65" s="90">
        <f>Input!$C$23-Debt_Schedule!L64</f>
        <v>100</v>
      </c>
      <c r="M65" s="90">
        <f>Input!$C$23-Debt_Schedule!M64</f>
        <v>100</v>
      </c>
      <c r="N65" s="90">
        <f>Input!$C$23-Debt_Schedule!N64</f>
        <v>100</v>
      </c>
      <c r="O65" s="90">
        <f>Input!$C$23-Debt_Schedule!O64</f>
        <v>100</v>
      </c>
      <c r="P65" s="90">
        <f>Input!$C$23-Debt_Schedule!P64</f>
        <v>100</v>
      </c>
      <c r="Q65" s="90">
        <f>Input!$C$23-Debt_Schedule!Q64</f>
        <v>100</v>
      </c>
      <c r="R65" s="90">
        <f>Input!$C$23-Debt_Schedule!R64</f>
        <v>100</v>
      </c>
      <c r="S65" s="90">
        <f>Input!$C$23-Debt_Schedule!S64</f>
        <v>100</v>
      </c>
      <c r="T65" s="90">
        <f>Input!$C$23-Debt_Schedule!T64</f>
        <v>100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>
        <f>Input!$C$21</f>
        <v>5.0000000000000001E-3</v>
      </c>
      <c r="J68" s="73">
        <f>Input!$C$21</f>
        <v>5.0000000000000001E-3</v>
      </c>
      <c r="K68" s="73">
        <f>Input!$C$21</f>
        <v>5.0000000000000001E-3</v>
      </c>
      <c r="L68" s="73">
        <f>Input!$C$21</f>
        <v>5.0000000000000001E-3</v>
      </c>
      <c r="M68" s="73">
        <f>Input!$C$21</f>
        <v>5.0000000000000001E-3</v>
      </c>
      <c r="N68" s="73">
        <f>Input!$C$21</f>
        <v>5.0000000000000001E-3</v>
      </c>
      <c r="O68" s="73">
        <f>Input!$C$21</f>
        <v>5.0000000000000001E-3</v>
      </c>
      <c r="P68" s="73">
        <f>Input!$C$21</f>
        <v>5.0000000000000001E-3</v>
      </c>
      <c r="Q68" s="73">
        <f>Input!$C$21</f>
        <v>5.0000000000000001E-3</v>
      </c>
      <c r="R68" s="73">
        <f>Input!$C$21</f>
        <v>5.0000000000000001E-3</v>
      </c>
      <c r="S68" s="73">
        <f>Input!$C$21</f>
        <v>5.0000000000000001E-3</v>
      </c>
      <c r="T68" s="73">
        <f>Input!$C$21</f>
        <v>5.0000000000000001E-3</v>
      </c>
    </row>
    <row r="69" spans="1:20" ht="15" customHeight="1" x14ac:dyDescent="0.45">
      <c r="B69" s="90" t="s">
        <v>51</v>
      </c>
      <c r="I69" s="73">
        <f>Input!$K$5</f>
        <v>0</v>
      </c>
      <c r="J69" s="73">
        <f>Input!$K$5</f>
        <v>0</v>
      </c>
      <c r="K69" s="73">
        <f>Input!$K$5</f>
        <v>0</v>
      </c>
      <c r="L69" s="73">
        <f>Input!$K$5</f>
        <v>0</v>
      </c>
      <c r="M69" s="73">
        <f>Input!$K$5</f>
        <v>0</v>
      </c>
      <c r="N69" s="73">
        <f>Input!$K$5</f>
        <v>0</v>
      </c>
      <c r="O69" s="73">
        <f>Input!$K$5</f>
        <v>0</v>
      </c>
      <c r="P69" s="73">
        <f>Input!$K$5</f>
        <v>0</v>
      </c>
      <c r="Q69" s="73">
        <f>Input!$K$5</f>
        <v>0</v>
      </c>
      <c r="R69" s="73">
        <f>Input!$K$5</f>
        <v>0</v>
      </c>
      <c r="S69" s="73">
        <f>Input!$K$5</f>
        <v>0</v>
      </c>
      <c r="T69" s="73">
        <f>Input!$K$5</f>
        <v>0</v>
      </c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>
        <f>Input!$J$5</f>
        <v>3.7499999999999999E-2</v>
      </c>
      <c r="J70" s="73">
        <f>Input!$J$5</f>
        <v>3.7499999999999999E-2</v>
      </c>
      <c r="K70" s="73">
        <f>Input!$J$5</f>
        <v>3.7499999999999999E-2</v>
      </c>
      <c r="L70" s="73">
        <f>Input!$J$5</f>
        <v>3.7499999999999999E-2</v>
      </c>
      <c r="M70" s="73">
        <f>Input!$J$5</f>
        <v>3.7499999999999999E-2</v>
      </c>
      <c r="N70" s="73">
        <f>Input!$J$5</f>
        <v>3.7499999999999999E-2</v>
      </c>
      <c r="O70" s="73">
        <f>Input!$J$5</f>
        <v>3.7499999999999999E-2</v>
      </c>
      <c r="P70" s="73">
        <f>Input!$J$5</f>
        <v>3.7499999999999999E-2</v>
      </c>
      <c r="Q70" s="73">
        <f>Input!$J$5</f>
        <v>3.7499999999999999E-2</v>
      </c>
      <c r="R70" s="73">
        <f>Input!$J$5</f>
        <v>3.7499999999999999E-2</v>
      </c>
      <c r="S70" s="73">
        <f>Input!$J$5</f>
        <v>3.7499999999999999E-2</v>
      </c>
      <c r="T70" s="73">
        <f>Input!$J$5</f>
        <v>3.7499999999999999E-2</v>
      </c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>
        <f>MAX(I68,I69)+I70</f>
        <v>4.2499999999999996E-2</v>
      </c>
      <c r="J71" s="73">
        <f t="shared" ref="J71:T71" si="23">MAX(J68,J69)+J70</f>
        <v>4.2499999999999996E-2</v>
      </c>
      <c r="K71" s="73">
        <f t="shared" si="23"/>
        <v>4.2499999999999996E-2</v>
      </c>
      <c r="L71" s="73">
        <f t="shared" si="23"/>
        <v>4.2499999999999996E-2</v>
      </c>
      <c r="M71" s="73">
        <f t="shared" si="23"/>
        <v>4.2499999999999996E-2</v>
      </c>
      <c r="N71" s="73">
        <f t="shared" si="23"/>
        <v>4.2499999999999996E-2</v>
      </c>
      <c r="O71" s="73">
        <f t="shared" si="23"/>
        <v>4.2499999999999996E-2</v>
      </c>
      <c r="P71" s="73">
        <f t="shared" si="23"/>
        <v>4.2499999999999996E-2</v>
      </c>
      <c r="Q71" s="73">
        <f t="shared" si="23"/>
        <v>4.2499999999999996E-2</v>
      </c>
      <c r="R71" s="73">
        <f t="shared" si="23"/>
        <v>4.2499999999999996E-2</v>
      </c>
      <c r="S71" s="73">
        <f t="shared" si="23"/>
        <v>4.2499999999999996E-2</v>
      </c>
      <c r="T71" s="73">
        <f t="shared" si="23"/>
        <v>4.2499999999999996E-2</v>
      </c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>
        <f>I71*AVERAGE(H64:I64)*Postdeal_Percent*-1</f>
        <v>-0.10624999999999998</v>
      </c>
      <c r="J72" s="96">
        <f>J71*AVERAGE(I64:J64)*-1</f>
        <v>0</v>
      </c>
      <c r="K72" s="96">
        <f t="shared" ref="K72:T72" si="24">K71*AVERAGE(J64:K64)*-1</f>
        <v>0</v>
      </c>
      <c r="L72" s="96">
        <f t="shared" si="24"/>
        <v>0</v>
      </c>
      <c r="M72" s="96">
        <f t="shared" si="24"/>
        <v>0</v>
      </c>
      <c r="N72" s="96">
        <f t="shared" si="24"/>
        <v>0</v>
      </c>
      <c r="O72" s="96">
        <f t="shared" si="24"/>
        <v>0</v>
      </c>
      <c r="P72" s="96">
        <f t="shared" si="24"/>
        <v>0</v>
      </c>
      <c r="Q72" s="96">
        <f t="shared" si="24"/>
        <v>0</v>
      </c>
      <c r="R72" s="96">
        <f t="shared" si="24"/>
        <v>0</v>
      </c>
      <c r="S72" s="96">
        <f t="shared" si="24"/>
        <v>0</v>
      </c>
      <c r="T72" s="96">
        <f t="shared" si="24"/>
        <v>0</v>
      </c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>
        <f>Input!$C$24</f>
        <v>1.4999999999999999E-2</v>
      </c>
      <c r="J73" s="73">
        <f>Input!$C$24</f>
        <v>1.4999999999999999E-2</v>
      </c>
      <c r="K73" s="73">
        <f>Input!$C$24</f>
        <v>1.4999999999999999E-2</v>
      </c>
      <c r="L73" s="73">
        <f>Input!$C$24</f>
        <v>1.4999999999999999E-2</v>
      </c>
      <c r="M73" s="73">
        <f>Input!$C$24</f>
        <v>1.4999999999999999E-2</v>
      </c>
      <c r="N73" s="73">
        <f>Input!$C$24</f>
        <v>1.4999999999999999E-2</v>
      </c>
      <c r="O73" s="73">
        <f>Input!$C$24</f>
        <v>1.4999999999999999E-2</v>
      </c>
      <c r="P73" s="73">
        <f>Input!$C$24</f>
        <v>1.4999999999999999E-2</v>
      </c>
      <c r="Q73" s="73">
        <f>Input!$C$24</f>
        <v>1.4999999999999999E-2</v>
      </c>
      <c r="R73" s="73">
        <f>Input!$C$24</f>
        <v>1.4999999999999999E-2</v>
      </c>
      <c r="S73" s="73">
        <f>Input!$C$24</f>
        <v>1.4999999999999999E-2</v>
      </c>
      <c r="T73" s="73">
        <f>Input!$C$24</f>
        <v>1.4999999999999999E-2</v>
      </c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>
        <f>I73*AVERAGE(H65:I65)*Postdeal_Percent*-1</f>
        <v>-0.33749999999999997</v>
      </c>
      <c r="J74" s="96">
        <f>J73*AVERAGE(I65:J65)*-1</f>
        <v>-1.5</v>
      </c>
      <c r="K74" s="96">
        <f t="shared" ref="K74:T74" si="25">K73*AVERAGE(J65:K65)*-1</f>
        <v>-1.5</v>
      </c>
      <c r="L74" s="96">
        <f t="shared" si="25"/>
        <v>-1.5</v>
      </c>
      <c r="M74" s="96">
        <f t="shared" si="25"/>
        <v>-1.5</v>
      </c>
      <c r="N74" s="96">
        <f t="shared" si="25"/>
        <v>-1.5</v>
      </c>
      <c r="O74" s="96">
        <f t="shared" si="25"/>
        <v>-1.5</v>
      </c>
      <c r="P74" s="96">
        <f t="shared" si="25"/>
        <v>-1.5</v>
      </c>
      <c r="Q74" s="96">
        <f t="shared" si="25"/>
        <v>-1.5</v>
      </c>
      <c r="R74" s="96">
        <f t="shared" si="25"/>
        <v>-1.5</v>
      </c>
      <c r="S74" s="96">
        <f t="shared" si="25"/>
        <v>-1.5</v>
      </c>
      <c r="T74" s="96">
        <f t="shared" si="25"/>
        <v>-1.5</v>
      </c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>
        <f>I72+I74</f>
        <v>-0.44374999999999998</v>
      </c>
      <c r="J75" s="96">
        <f t="shared" ref="J75:T75" si="26">J72+J74</f>
        <v>-1.5</v>
      </c>
      <c r="K75" s="96">
        <f t="shared" si="26"/>
        <v>-1.5</v>
      </c>
      <c r="L75" s="96">
        <f t="shared" si="26"/>
        <v>-1.5</v>
      </c>
      <c r="M75" s="96">
        <f t="shared" si="26"/>
        <v>-1.5</v>
      </c>
      <c r="N75" s="96">
        <f t="shared" si="26"/>
        <v>-1.5</v>
      </c>
      <c r="O75" s="96">
        <f t="shared" si="26"/>
        <v>-1.5</v>
      </c>
      <c r="P75" s="96">
        <f t="shared" si="26"/>
        <v>-1.5</v>
      </c>
      <c r="Q75" s="96">
        <f t="shared" si="26"/>
        <v>-1.5</v>
      </c>
      <c r="R75" s="96">
        <f t="shared" si="26"/>
        <v>-1.5</v>
      </c>
      <c r="S75" s="96">
        <f t="shared" si="26"/>
        <v>-1.5</v>
      </c>
      <c r="T75" s="96">
        <f t="shared" si="26"/>
        <v>-1.5</v>
      </c>
    </row>
    <row r="76" spans="1:20" ht="15" customHeight="1" x14ac:dyDescent="0.45">
      <c r="C76" s="96"/>
      <c r="D76" s="96"/>
      <c r="E76" s="96"/>
      <c r="F76" s="96"/>
      <c r="G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>
        <f>I58+I62+I63</f>
        <v>10.252221128149955</v>
      </c>
      <c r="J77" s="96">
        <f t="shared" ref="J77:T77" si="27">J58+J62+J63</f>
        <v>194.69204874247745</v>
      </c>
      <c r="K77" s="96">
        <f t="shared" si="27"/>
        <v>311.74790424065236</v>
      </c>
      <c r="L77" s="96">
        <f t="shared" si="27"/>
        <v>376.74439626449657</v>
      </c>
      <c r="M77" s="96">
        <f t="shared" si="27"/>
        <v>460.51315389374679</v>
      </c>
      <c r="N77" s="96">
        <f t="shared" si="27"/>
        <v>481.02368185721969</v>
      </c>
      <c r="O77" s="96">
        <f t="shared" si="27"/>
        <v>292.59919451153957</v>
      </c>
      <c r="P77" s="96">
        <f t="shared" si="27"/>
        <v>145.38320929384605</v>
      </c>
      <c r="Q77" s="96">
        <f t="shared" si="27"/>
        <v>257.63625474181083</v>
      </c>
      <c r="R77" s="96">
        <f t="shared" si="27"/>
        <v>238.28209666136695</v>
      </c>
      <c r="S77" s="96">
        <f t="shared" si="27"/>
        <v>471.33224480541458</v>
      </c>
      <c r="T77" s="96">
        <f t="shared" si="27"/>
        <v>691.58421719674243</v>
      </c>
    </row>
    <row r="78" spans="1:20" ht="15" customHeight="1" x14ac:dyDescent="0.45">
      <c r="C78" s="96"/>
      <c r="D78" s="96"/>
      <c r="E78" s="96"/>
      <c r="F78" s="96"/>
      <c r="G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>
        <f>H82</f>
        <v>0</v>
      </c>
      <c r="J80" s="96">
        <f t="shared" ref="J80:T80" si="28">I82</f>
        <v>0</v>
      </c>
      <c r="K80" s="96">
        <f t="shared" si="28"/>
        <v>0</v>
      </c>
      <c r="L80" s="96">
        <f t="shared" si="28"/>
        <v>0</v>
      </c>
      <c r="M80" s="96">
        <f t="shared" si="28"/>
        <v>0</v>
      </c>
      <c r="N80" s="96">
        <f t="shared" si="28"/>
        <v>0</v>
      </c>
      <c r="O80" s="96">
        <f t="shared" si="28"/>
        <v>0</v>
      </c>
      <c r="P80" s="96">
        <f t="shared" si="28"/>
        <v>0</v>
      </c>
      <c r="Q80" s="96">
        <f t="shared" si="28"/>
        <v>0</v>
      </c>
      <c r="R80" s="96">
        <f t="shared" si="28"/>
        <v>0</v>
      </c>
      <c r="S80" s="96">
        <f t="shared" si="28"/>
        <v>0</v>
      </c>
      <c r="T80" s="96">
        <f t="shared" si="28"/>
        <v>0</v>
      </c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>
        <f>-MIN(I77,I80)</f>
        <v>0</v>
      </c>
      <c r="J81" s="96">
        <f t="shared" ref="J81:T81" si="29">-MIN(J77,J80)</f>
        <v>0</v>
      </c>
      <c r="K81" s="96">
        <f t="shared" si="29"/>
        <v>0</v>
      </c>
      <c r="L81" s="96">
        <f t="shared" si="29"/>
        <v>0</v>
      </c>
      <c r="M81" s="96">
        <f t="shared" si="29"/>
        <v>0</v>
      </c>
      <c r="N81" s="96">
        <f t="shared" si="29"/>
        <v>0</v>
      </c>
      <c r="O81" s="96">
        <f t="shared" si="29"/>
        <v>0</v>
      </c>
      <c r="P81" s="96">
        <f t="shared" si="29"/>
        <v>0</v>
      </c>
      <c r="Q81" s="96">
        <f t="shared" si="29"/>
        <v>0</v>
      </c>
      <c r="R81" s="96">
        <f t="shared" si="29"/>
        <v>0</v>
      </c>
      <c r="S81" s="96">
        <f t="shared" si="29"/>
        <v>0</v>
      </c>
      <c r="T81" s="96">
        <f t="shared" si="29"/>
        <v>0</v>
      </c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7">
        <f>Input!I6</f>
        <v>0</v>
      </c>
      <c r="I82" s="96">
        <f>-MIN(I78,I81)</f>
        <v>0</v>
      </c>
      <c r="J82" s="96">
        <f t="shared" ref="J82:T82" si="30">SUM(J80:J81)</f>
        <v>0</v>
      </c>
      <c r="K82" s="96">
        <f t="shared" si="30"/>
        <v>0</v>
      </c>
      <c r="L82" s="96">
        <f t="shared" si="30"/>
        <v>0</v>
      </c>
      <c r="M82" s="96">
        <f t="shared" si="30"/>
        <v>0</v>
      </c>
      <c r="N82" s="96">
        <f t="shared" si="30"/>
        <v>0</v>
      </c>
      <c r="O82" s="96">
        <f t="shared" si="30"/>
        <v>0</v>
      </c>
      <c r="P82" s="96">
        <f t="shared" si="30"/>
        <v>0</v>
      </c>
      <c r="Q82" s="96">
        <f t="shared" si="30"/>
        <v>0</v>
      </c>
      <c r="R82" s="96">
        <f t="shared" si="30"/>
        <v>0</v>
      </c>
      <c r="S82" s="96">
        <f t="shared" si="30"/>
        <v>0</v>
      </c>
      <c r="T82" s="96">
        <f t="shared" si="30"/>
        <v>0</v>
      </c>
    </row>
    <row r="83" spans="1:20" ht="15" customHeight="1" x14ac:dyDescent="0.45">
      <c r="C83" s="96"/>
      <c r="D83" s="96"/>
      <c r="E83" s="96"/>
      <c r="F83" s="96"/>
      <c r="G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>
        <f>MAX(Input!$K$6,Input!$C$21)</f>
        <v>5.0000000000000001E-3</v>
      </c>
      <c r="J85" s="73">
        <f>MAX(Input!$K$6,Input!$C$21)</f>
        <v>5.0000000000000001E-3</v>
      </c>
      <c r="K85" s="73">
        <f>MAX(Input!$K$6,Input!$C$21)</f>
        <v>5.0000000000000001E-3</v>
      </c>
      <c r="L85" s="73">
        <f>MAX(Input!$K$6,Input!$C$21)</f>
        <v>5.0000000000000001E-3</v>
      </c>
      <c r="M85" s="73">
        <f>MAX(Input!$K$6,Input!$C$21)</f>
        <v>5.0000000000000001E-3</v>
      </c>
      <c r="N85" s="73">
        <f>MAX(Input!$K$6,Input!$C$21)</f>
        <v>5.0000000000000001E-3</v>
      </c>
      <c r="O85" s="73">
        <f>MAX(Input!$K$6,Input!$C$21)</f>
        <v>5.0000000000000001E-3</v>
      </c>
      <c r="P85" s="73">
        <f>MAX(Input!$K$6,Input!$C$21)</f>
        <v>5.0000000000000001E-3</v>
      </c>
      <c r="Q85" s="73">
        <f>MAX(Input!$K$6,Input!$C$21)</f>
        <v>5.0000000000000001E-3</v>
      </c>
      <c r="R85" s="73">
        <f>MAX(Input!$K$6,Input!$C$21)</f>
        <v>5.0000000000000001E-3</v>
      </c>
      <c r="S85" s="73">
        <f>MAX(Input!$K$6,Input!$C$21)</f>
        <v>5.0000000000000001E-3</v>
      </c>
      <c r="T85" s="73">
        <f>MAX(Input!$K$6,Input!$C$21)</f>
        <v>5.0000000000000001E-3</v>
      </c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>
        <f>Input!$J$6</f>
        <v>7.4999999999999997E-2</v>
      </c>
      <c r="J86" s="73">
        <f>Input!$J$6</f>
        <v>7.4999999999999997E-2</v>
      </c>
      <c r="K86" s="73">
        <f>Input!$J$6</f>
        <v>7.4999999999999997E-2</v>
      </c>
      <c r="L86" s="73">
        <f>Input!$J$6</f>
        <v>7.4999999999999997E-2</v>
      </c>
      <c r="M86" s="73">
        <f>Input!$J$6</f>
        <v>7.4999999999999997E-2</v>
      </c>
      <c r="N86" s="73">
        <f>Input!$J$6</f>
        <v>7.4999999999999997E-2</v>
      </c>
      <c r="O86" s="73">
        <f>Input!$J$6</f>
        <v>7.4999999999999997E-2</v>
      </c>
      <c r="P86" s="73">
        <f>Input!$J$6</f>
        <v>7.4999999999999997E-2</v>
      </c>
      <c r="Q86" s="73">
        <f>Input!$J$6</f>
        <v>7.4999999999999997E-2</v>
      </c>
      <c r="R86" s="73">
        <f>Input!$J$6</f>
        <v>7.4999999999999997E-2</v>
      </c>
      <c r="S86" s="73">
        <f>Input!$J$6</f>
        <v>7.4999999999999997E-2</v>
      </c>
      <c r="T86" s="73">
        <f>Input!$J$6</f>
        <v>7.4999999999999997E-2</v>
      </c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>
        <f>SUM(I85:I86)</f>
        <v>0.08</v>
      </c>
      <c r="J87" s="73">
        <f>SUM(J85:J86)</f>
        <v>0.08</v>
      </c>
      <c r="K87" s="73">
        <f t="shared" ref="K87:T87" si="31">SUM(K85:K86)</f>
        <v>0.08</v>
      </c>
      <c r="L87" s="73">
        <f t="shared" si="31"/>
        <v>0.08</v>
      </c>
      <c r="M87" s="73">
        <f t="shared" si="31"/>
        <v>0.08</v>
      </c>
      <c r="N87" s="73">
        <f t="shared" si="31"/>
        <v>0.08</v>
      </c>
      <c r="O87" s="73">
        <f t="shared" si="31"/>
        <v>0.08</v>
      </c>
      <c r="P87" s="73">
        <f t="shared" si="31"/>
        <v>0.08</v>
      </c>
      <c r="Q87" s="73">
        <f t="shared" si="31"/>
        <v>0.08</v>
      </c>
      <c r="R87" s="73">
        <f t="shared" si="31"/>
        <v>0.08</v>
      </c>
      <c r="S87" s="73">
        <f t="shared" si="31"/>
        <v>0.08</v>
      </c>
      <c r="T87" s="73">
        <f t="shared" si="31"/>
        <v>0.08</v>
      </c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>
        <f>-I87*AVERAGE(H82:I82)*Postdeal_Percent</f>
        <v>0</v>
      </c>
      <c r="J88" s="96">
        <f>-J87*AVERAGE(I82:J82)</f>
        <v>0</v>
      </c>
      <c r="K88" s="96">
        <f t="shared" ref="K88:T88" si="32">-K87*AVERAGE(J82:K82)</f>
        <v>0</v>
      </c>
      <c r="L88" s="96">
        <f t="shared" si="32"/>
        <v>0</v>
      </c>
      <c r="M88" s="96">
        <f t="shared" si="32"/>
        <v>0</v>
      </c>
      <c r="N88" s="96">
        <f t="shared" si="32"/>
        <v>0</v>
      </c>
      <c r="O88" s="96">
        <f t="shared" si="32"/>
        <v>0</v>
      </c>
      <c r="P88" s="96">
        <f t="shared" si="32"/>
        <v>0</v>
      </c>
      <c r="Q88" s="96">
        <f t="shared" si="32"/>
        <v>0</v>
      </c>
      <c r="R88" s="96">
        <f t="shared" si="32"/>
        <v>0</v>
      </c>
      <c r="S88" s="96">
        <f t="shared" si="32"/>
        <v>0</v>
      </c>
      <c r="T88" s="96">
        <f t="shared" si="32"/>
        <v>0</v>
      </c>
    </row>
    <row r="90" spans="1:20" ht="15" customHeight="1" x14ac:dyDescent="0.45">
      <c r="B90" s="90" t="s">
        <v>190</v>
      </c>
      <c r="I90" s="90">
        <f>I77+I81</f>
        <v>10.252221128149955</v>
      </c>
      <c r="J90" s="90">
        <f t="shared" ref="J90:T90" si="33">J77+J81</f>
        <v>194.69204874247745</v>
      </c>
      <c r="K90" s="90">
        <f t="shared" si="33"/>
        <v>311.74790424065236</v>
      </c>
      <c r="L90" s="90">
        <f t="shared" si="33"/>
        <v>376.74439626449657</v>
      </c>
      <c r="M90" s="90">
        <f t="shared" si="33"/>
        <v>460.51315389374679</v>
      </c>
      <c r="N90" s="90">
        <f t="shared" si="33"/>
        <v>481.02368185721969</v>
      </c>
      <c r="O90" s="90">
        <f t="shared" si="33"/>
        <v>292.59919451153957</v>
      </c>
      <c r="P90" s="90">
        <f t="shared" si="33"/>
        <v>145.38320929384605</v>
      </c>
      <c r="Q90" s="90">
        <f t="shared" si="33"/>
        <v>257.63625474181083</v>
      </c>
      <c r="R90" s="90">
        <f t="shared" si="33"/>
        <v>238.28209666136695</v>
      </c>
      <c r="S90" s="90">
        <f t="shared" si="33"/>
        <v>471.33224480541458</v>
      </c>
      <c r="T90" s="90">
        <f t="shared" si="33"/>
        <v>691.58421719674243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96">
        <f>SUM(Deal_Date!H72,Deal_Date!H77:H83)-Deal_Date!H61</f>
        <v>1290</v>
      </c>
      <c r="J93" s="96">
        <f>SUM(Deal_Model!I66,Deal_Model!I71:I77)-Deal_Model!I55</f>
        <v>1259.74777887185</v>
      </c>
      <c r="K93" s="96">
        <f>SUM(Deal_Model!J66,Deal_Model!J71:J77)-Deal_Model!J55</f>
        <v>1122.6818406934476</v>
      </c>
      <c r="L93" s="96">
        <f>SUM(Deal_Model!K66,Deal_Model!K71:K77)-Deal_Model!K55</f>
        <v>968.52996082403388</v>
      </c>
      <c r="M93" s="96">
        <f>SUM(Deal_Model!L66,Deal_Model!L71:L77)-Deal_Model!L55</f>
        <v>808.93451667986358</v>
      </c>
      <c r="N93" s="96">
        <f>SUM(Deal_Model!M66,Deal_Model!M71:M77)-Deal_Model!M55</f>
        <v>643.38215998448925</v>
      </c>
      <c r="O93" s="96">
        <f>SUM(Deal_Model!N66,Deal_Model!N71:N77)-Deal_Model!N55</f>
        <v>471.38609354757955</v>
      </c>
      <c r="P93" s="96">
        <f>SUM(Deal_Model!O66,Deal_Model!O71:O77)-Deal_Model!O55</f>
        <v>292.47808048846053</v>
      </c>
      <c r="Q93" s="96">
        <f>SUM(Deal_Model!P66,Deal_Model!P71:P77)-Deal_Model!P55</f>
        <v>106.20179320615404</v>
      </c>
      <c r="R93" s="96">
        <f>SUM(Deal_Model!Q66,Deal_Model!Q71:Q77)-Deal_Model!Q55</f>
        <v>-87.892751991810798</v>
      </c>
      <c r="S93" s="96">
        <f>SUM(Deal_Model!R66,Deal_Model!R71:R77)-Deal_Model!R55</f>
        <v>-290.25388196386689</v>
      </c>
      <c r="T93" s="96">
        <f>SUM(Deal_Model!S66,Deal_Model!S71:S77)-Deal_Model!S55</f>
        <v>-501.33224480541458</v>
      </c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>
        <f>I52</f>
        <v>0</v>
      </c>
      <c r="J94" s="96">
        <f>J52</f>
        <v>0</v>
      </c>
      <c r="K94" s="96">
        <f t="shared" ref="K94:T94" si="34">K52</f>
        <v>0</v>
      </c>
      <c r="L94" s="96">
        <f t="shared" si="34"/>
        <v>0</v>
      </c>
      <c r="M94" s="96">
        <f t="shared" si="34"/>
        <v>-50</v>
      </c>
      <c r="N94" s="96">
        <f t="shared" si="34"/>
        <v>-50</v>
      </c>
      <c r="O94" s="96">
        <f t="shared" si="34"/>
        <v>-286.13478903335533</v>
      </c>
      <c r="P94" s="96">
        <f t="shared" si="34"/>
        <v>-291.48016109769208</v>
      </c>
      <c r="Q94" s="96">
        <f t="shared" si="34"/>
        <v>-100</v>
      </c>
      <c r="R94" s="96">
        <f t="shared" si="34"/>
        <v>-241.68963832750003</v>
      </c>
      <c r="S94" s="96">
        <f t="shared" si="34"/>
        <v>0</v>
      </c>
      <c r="T94" s="96">
        <f t="shared" si="34"/>
        <v>0</v>
      </c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>
        <f>SUM(I93:I94)</f>
        <v>1290</v>
      </c>
      <c r="J95" s="96">
        <f>SUM(J93:J94)</f>
        <v>1259.74777887185</v>
      </c>
      <c r="K95" s="96">
        <f t="shared" ref="K95:T95" si="35">SUM(K93:K94)</f>
        <v>1122.6818406934476</v>
      </c>
      <c r="L95" s="96">
        <f t="shared" si="35"/>
        <v>968.52996082403388</v>
      </c>
      <c r="M95" s="96">
        <f t="shared" si="35"/>
        <v>758.93451667986358</v>
      </c>
      <c r="N95" s="96">
        <f t="shared" si="35"/>
        <v>593.38215998448925</v>
      </c>
      <c r="O95" s="96">
        <f t="shared" si="35"/>
        <v>185.25130451422422</v>
      </c>
      <c r="P95" s="96">
        <f t="shared" si="35"/>
        <v>0.99791939076845892</v>
      </c>
      <c r="Q95" s="96">
        <f t="shared" si="35"/>
        <v>6.2017932061540364</v>
      </c>
      <c r="R95" s="96">
        <f t="shared" si="35"/>
        <v>-329.58239031931083</v>
      </c>
      <c r="S95" s="96">
        <f t="shared" si="35"/>
        <v>-290.25388196386689</v>
      </c>
      <c r="T95" s="96">
        <f t="shared" si="35"/>
        <v>-501.33224480541458</v>
      </c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96">
        <f>Deal_Date!I37/Postdeal_Percent</f>
        <v>224.47721493999998</v>
      </c>
      <c r="J96" s="96">
        <f>Deal_Model!J31</f>
        <v>250.01149813942496</v>
      </c>
      <c r="K96" s="96">
        <f>Deal_Model!K31</f>
        <v>277.38930046654468</v>
      </c>
      <c r="L96" s="96">
        <f>Deal_Model!L31</f>
        <v>289.8718189875392</v>
      </c>
      <c r="M96" s="96">
        <f>Deal_Model!M31</f>
        <v>302.91605084197846</v>
      </c>
      <c r="N96" s="96">
        <f>Deal_Model!N31</f>
        <v>316.54727312986745</v>
      </c>
      <c r="O96" s="96">
        <f>Deal_Model!O31</f>
        <v>330.79190042071139</v>
      </c>
      <c r="P96" s="96">
        <f>Deal_Model!P31</f>
        <v>345.67753593964346</v>
      </c>
      <c r="Q96" s="96">
        <f>Deal_Model!Q31</f>
        <v>361.23302505692732</v>
      </c>
      <c r="R96" s="96">
        <f>Deal_Model!R31</f>
        <v>377.48851118448897</v>
      </c>
      <c r="S96" s="96">
        <f>Deal_Model!S31</f>
        <v>394.47549418779096</v>
      </c>
      <c r="T96" s="96">
        <f>Deal_Model!T31</f>
        <v>412.22689142624154</v>
      </c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>
        <f>I95/I96</f>
        <v>5.7466856952265788</v>
      </c>
      <c r="J97" s="101">
        <f>J95/J96</f>
        <v>5.0387593700563373</v>
      </c>
      <c r="K97" s="101">
        <f t="shared" ref="K97:T97" si="36">K95/K96</f>
        <v>4.0473148704913795</v>
      </c>
      <c r="L97" s="101">
        <f t="shared" si="36"/>
        <v>3.3412353232780738</v>
      </c>
      <c r="M97" s="101">
        <f t="shared" si="36"/>
        <v>2.5054285323288306</v>
      </c>
      <c r="N97" s="101">
        <f t="shared" si="36"/>
        <v>1.8745451638784039</v>
      </c>
      <c r="O97" s="101">
        <f t="shared" si="36"/>
        <v>0.56002370154352588</v>
      </c>
      <c r="P97" s="101">
        <f t="shared" si="36"/>
        <v>2.8868505674106031E-3</v>
      </c>
      <c r="Q97" s="101">
        <f t="shared" si="36"/>
        <v>1.7168400384147284E-2</v>
      </c>
      <c r="R97" s="101">
        <f t="shared" si="36"/>
        <v>-0.87309250627295221</v>
      </c>
      <c r="S97" s="101">
        <f t="shared" si="36"/>
        <v>-0.7357969918042383</v>
      </c>
      <c r="T97" s="101">
        <f t="shared" si="36"/>
        <v>-1.2161560908141684</v>
      </c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>
        <f>IF(I97&gt;=$G$101,$H$101,0)</f>
        <v>0.5</v>
      </c>
      <c r="J101" s="93">
        <f t="shared" ref="J101:T101" si="37">IF(J97&gt;=$G$101,$H$101,0)</f>
        <v>0.5</v>
      </c>
      <c r="K101" s="93">
        <f t="shared" si="37"/>
        <v>0.5</v>
      </c>
      <c r="L101" s="93">
        <f t="shared" si="37"/>
        <v>0</v>
      </c>
      <c r="M101" s="93">
        <f t="shared" si="37"/>
        <v>0</v>
      </c>
      <c r="N101" s="93">
        <f t="shared" si="37"/>
        <v>0</v>
      </c>
      <c r="O101" s="93">
        <f t="shared" si="37"/>
        <v>0</v>
      </c>
      <c r="P101" s="93">
        <f t="shared" si="37"/>
        <v>0</v>
      </c>
      <c r="Q101" s="93">
        <f t="shared" si="37"/>
        <v>0</v>
      </c>
      <c r="R101" s="93">
        <f t="shared" si="37"/>
        <v>0</v>
      </c>
      <c r="S101" s="93">
        <f t="shared" si="37"/>
        <v>0</v>
      </c>
      <c r="T101" s="93">
        <f t="shared" si="37"/>
        <v>0</v>
      </c>
    </row>
    <row r="102" spans="1:29" ht="15" customHeight="1" x14ac:dyDescent="0.45">
      <c r="G102" s="92">
        <v>2.5</v>
      </c>
      <c r="H102" s="77">
        <v>0.25</v>
      </c>
      <c r="I102" s="93">
        <f>IF(AND(I97&gt;=$G$102,I97&lt;$G$101),$H$102,0)</f>
        <v>0</v>
      </c>
      <c r="J102" s="93">
        <f t="shared" ref="J102:T102" si="38">IF(AND(J97&gt;=$G$102,J97&lt;$G$101),$H$102,0)</f>
        <v>0</v>
      </c>
      <c r="K102" s="93">
        <f t="shared" si="38"/>
        <v>0</v>
      </c>
      <c r="L102" s="93">
        <f t="shared" si="38"/>
        <v>0.25</v>
      </c>
      <c r="M102" s="93">
        <f t="shared" si="38"/>
        <v>0.25</v>
      </c>
      <c r="N102" s="93">
        <f t="shared" si="38"/>
        <v>0</v>
      </c>
      <c r="O102" s="93">
        <f t="shared" si="38"/>
        <v>0</v>
      </c>
      <c r="P102" s="93">
        <f t="shared" si="38"/>
        <v>0</v>
      </c>
      <c r="Q102" s="93">
        <f t="shared" si="38"/>
        <v>0</v>
      </c>
      <c r="R102" s="93">
        <f t="shared" si="38"/>
        <v>0</v>
      </c>
      <c r="S102" s="93">
        <f t="shared" si="38"/>
        <v>0</v>
      </c>
      <c r="T102" s="93">
        <f t="shared" si="38"/>
        <v>0</v>
      </c>
    </row>
    <row r="103" spans="1:29" ht="15" customHeight="1" x14ac:dyDescent="0.45">
      <c r="G103" s="92">
        <v>0</v>
      </c>
      <c r="H103" s="77">
        <v>0.2</v>
      </c>
      <c r="I103" s="93">
        <f>IF(I97&lt;$G$102,$H$103,0)</f>
        <v>0</v>
      </c>
      <c r="J103" s="93">
        <f t="shared" ref="J103:T103" si="39">IF(J97&lt;$G$102,$H$103,0)</f>
        <v>0</v>
      </c>
      <c r="K103" s="93">
        <f t="shared" si="39"/>
        <v>0</v>
      </c>
      <c r="L103" s="93">
        <f t="shared" si="39"/>
        <v>0</v>
      </c>
      <c r="M103" s="93">
        <f t="shared" si="39"/>
        <v>0</v>
      </c>
      <c r="N103" s="93">
        <f t="shared" si="39"/>
        <v>0.2</v>
      </c>
      <c r="O103" s="93">
        <f t="shared" si="39"/>
        <v>0.2</v>
      </c>
      <c r="P103" s="93">
        <f t="shared" si="39"/>
        <v>0.2</v>
      </c>
      <c r="Q103" s="93">
        <f t="shared" si="39"/>
        <v>0.2</v>
      </c>
      <c r="R103" s="93">
        <f t="shared" si="39"/>
        <v>0.2</v>
      </c>
      <c r="S103" s="93">
        <f t="shared" si="39"/>
        <v>0.2</v>
      </c>
      <c r="T103" s="93">
        <f t="shared" si="39"/>
        <v>0.2</v>
      </c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>
        <f>SUM(I101:I103)</f>
        <v>0.5</v>
      </c>
      <c r="J105" s="93">
        <f t="shared" ref="J105:T105" si="40">SUM(J101:J103)</f>
        <v>0.5</v>
      </c>
      <c r="K105" s="93">
        <f t="shared" si="40"/>
        <v>0.5</v>
      </c>
      <c r="L105" s="93">
        <f t="shared" si="40"/>
        <v>0.25</v>
      </c>
      <c r="M105" s="93">
        <f t="shared" si="40"/>
        <v>0.25</v>
      </c>
      <c r="N105" s="93">
        <f t="shared" si="40"/>
        <v>0.2</v>
      </c>
      <c r="O105" s="93">
        <f t="shared" si="40"/>
        <v>0.2</v>
      </c>
      <c r="P105" s="93">
        <f t="shared" si="40"/>
        <v>0.2</v>
      </c>
      <c r="Q105" s="93">
        <f t="shared" si="40"/>
        <v>0.2</v>
      </c>
      <c r="R105" s="93">
        <f t="shared" si="40"/>
        <v>0.2</v>
      </c>
      <c r="S105" s="93">
        <f t="shared" si="40"/>
        <v>0.2</v>
      </c>
      <c r="T105" s="93">
        <f t="shared" si="40"/>
        <v>0.2</v>
      </c>
    </row>
    <row r="106" spans="1:29" ht="15" customHeight="1" x14ac:dyDescent="0.45">
      <c r="I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  <c r="I107" s="90">
        <f>I90*(1-I105)</f>
        <v>5.1261105640749776</v>
      </c>
      <c r="J107" s="90">
        <f t="shared" ref="J107:T107" si="41">J90*(1-J105)</f>
        <v>97.346024371238727</v>
      </c>
      <c r="K107" s="90">
        <f t="shared" si="41"/>
        <v>155.87395212032618</v>
      </c>
      <c r="L107" s="90">
        <f t="shared" si="41"/>
        <v>282.55829719837243</v>
      </c>
      <c r="M107" s="90">
        <f t="shared" si="41"/>
        <v>345.38486542031012</v>
      </c>
      <c r="N107" s="90">
        <f t="shared" si="41"/>
        <v>384.81894548577577</v>
      </c>
      <c r="O107" s="90">
        <f t="shared" si="41"/>
        <v>234.07935560923167</v>
      </c>
      <c r="P107" s="90">
        <f t="shared" si="41"/>
        <v>116.30656743507684</v>
      </c>
      <c r="Q107" s="90">
        <f t="shared" si="41"/>
        <v>206.10900379344866</v>
      </c>
      <c r="R107" s="90">
        <f t="shared" si="41"/>
        <v>190.62567732909358</v>
      </c>
      <c r="S107" s="90">
        <f t="shared" si="41"/>
        <v>377.06579584433166</v>
      </c>
      <c r="T107" s="90">
        <f t="shared" si="41"/>
        <v>553.26737375739401</v>
      </c>
    </row>
    <row r="108" spans="1:29" ht="15" customHeight="1" x14ac:dyDescent="0.45">
      <c r="B108" s="90" t="s">
        <v>173</v>
      </c>
      <c r="I108" s="90">
        <f>I90-I107</f>
        <v>5.1261105640749776</v>
      </c>
      <c r="J108" s="90">
        <f t="shared" ref="J108:T108" si="42">J90-J107</f>
        <v>97.346024371238727</v>
      </c>
      <c r="K108" s="90">
        <f t="shared" si="42"/>
        <v>155.87395212032618</v>
      </c>
      <c r="L108" s="90">
        <f t="shared" si="42"/>
        <v>94.186099066124143</v>
      </c>
      <c r="M108" s="90">
        <f t="shared" si="42"/>
        <v>115.12828847343667</v>
      </c>
      <c r="N108" s="90">
        <f t="shared" si="42"/>
        <v>96.204736371443914</v>
      </c>
      <c r="O108" s="90">
        <f t="shared" si="42"/>
        <v>58.519838902307896</v>
      </c>
      <c r="P108" s="90">
        <f t="shared" si="42"/>
        <v>29.076641858769207</v>
      </c>
      <c r="Q108" s="90">
        <f t="shared" si="42"/>
        <v>51.527250948362166</v>
      </c>
      <c r="R108" s="90">
        <f t="shared" si="42"/>
        <v>47.656419332273373</v>
      </c>
      <c r="S108" s="90">
        <f t="shared" si="42"/>
        <v>94.266448961082915</v>
      </c>
      <c r="T108" s="90">
        <f t="shared" si="42"/>
        <v>138.31684343934842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>
        <f>H114</f>
        <v>800</v>
      </c>
      <c r="J111" s="96">
        <f t="shared" ref="J111:T111" si="43">I114</f>
        <v>794.87388943592498</v>
      </c>
      <c r="K111" s="96">
        <f t="shared" si="43"/>
        <v>697.52786506468624</v>
      </c>
      <c r="L111" s="96">
        <f t="shared" si="43"/>
        <v>541.65391294436006</v>
      </c>
      <c r="M111" s="96">
        <f t="shared" si="43"/>
        <v>447.46781387823592</v>
      </c>
      <c r="N111" s="96">
        <f t="shared" si="43"/>
        <v>332.33952540479925</v>
      </c>
      <c r="O111" s="96">
        <f t="shared" si="43"/>
        <v>236.13478903335533</v>
      </c>
      <c r="P111" s="96">
        <f t="shared" si="43"/>
        <v>0</v>
      </c>
      <c r="Q111" s="96">
        <f t="shared" si="43"/>
        <v>0</v>
      </c>
      <c r="R111" s="96">
        <f t="shared" si="43"/>
        <v>0</v>
      </c>
      <c r="S111" s="96">
        <f t="shared" si="43"/>
        <v>0</v>
      </c>
      <c r="T111" s="96">
        <f t="shared" si="43"/>
        <v>0</v>
      </c>
    </row>
    <row r="112" spans="1:29" ht="15" customHeight="1" x14ac:dyDescent="0.45">
      <c r="B112" s="90" t="s">
        <v>178</v>
      </c>
      <c r="I112" s="96">
        <f>-MIN(I111,$H$114*I18)</f>
        <v>0</v>
      </c>
      <c r="J112" s="96">
        <f t="shared" ref="J112:T112" si="44">-MIN(J111,$H$114*J18)</f>
        <v>0</v>
      </c>
      <c r="K112" s="96">
        <f t="shared" si="44"/>
        <v>0</v>
      </c>
      <c r="L112" s="96">
        <f t="shared" si="44"/>
        <v>0</v>
      </c>
      <c r="M112" s="96">
        <f t="shared" si="44"/>
        <v>0</v>
      </c>
      <c r="N112" s="96">
        <f t="shared" si="44"/>
        <v>0</v>
      </c>
      <c r="O112" s="96">
        <f t="shared" si="44"/>
        <v>-236.13478903335533</v>
      </c>
      <c r="P112" s="96">
        <f t="shared" si="44"/>
        <v>0</v>
      </c>
      <c r="Q112" s="96">
        <f t="shared" si="44"/>
        <v>0</v>
      </c>
      <c r="R112" s="96">
        <f t="shared" si="44"/>
        <v>0</v>
      </c>
      <c r="S112" s="96">
        <f t="shared" si="44"/>
        <v>0</v>
      </c>
      <c r="T112" s="96">
        <f t="shared" si="44"/>
        <v>0</v>
      </c>
    </row>
    <row r="113" spans="1:20" ht="15" customHeight="1" x14ac:dyDescent="0.45">
      <c r="B113" s="90" t="s">
        <v>179</v>
      </c>
      <c r="I113" s="96">
        <f>-MIN(I108,I111+I112)</f>
        <v>-5.1261105640749776</v>
      </c>
      <c r="J113" s="96">
        <f t="shared" ref="J113:T113" si="45">-MIN(J108,J111+J112)</f>
        <v>-97.346024371238727</v>
      </c>
      <c r="K113" s="96">
        <f t="shared" si="45"/>
        <v>-155.87395212032618</v>
      </c>
      <c r="L113" s="96">
        <f t="shared" si="45"/>
        <v>-94.186099066124143</v>
      </c>
      <c r="M113" s="96">
        <f t="shared" si="45"/>
        <v>-115.12828847343667</v>
      </c>
      <c r="N113" s="96">
        <f t="shared" si="45"/>
        <v>-96.204736371443914</v>
      </c>
      <c r="O113" s="96">
        <f t="shared" si="45"/>
        <v>0</v>
      </c>
      <c r="P113" s="96">
        <f t="shared" si="45"/>
        <v>0</v>
      </c>
      <c r="Q113" s="96">
        <f t="shared" si="45"/>
        <v>0</v>
      </c>
      <c r="R113" s="96">
        <f t="shared" si="45"/>
        <v>0</v>
      </c>
      <c r="S113" s="96">
        <f t="shared" si="45"/>
        <v>0</v>
      </c>
      <c r="T113" s="96">
        <f t="shared" si="45"/>
        <v>0</v>
      </c>
    </row>
    <row r="114" spans="1:20" ht="15" customHeight="1" x14ac:dyDescent="0.45">
      <c r="B114" s="90" t="s">
        <v>206</v>
      </c>
      <c r="H114" s="90">
        <f>Input!I8</f>
        <v>800</v>
      </c>
      <c r="I114" s="96">
        <f>SUM(I111:I113)</f>
        <v>794.87388943592498</v>
      </c>
      <c r="J114" s="96">
        <f t="shared" ref="J114:T114" si="46">SUM(J111:J113)</f>
        <v>697.52786506468624</v>
      </c>
      <c r="K114" s="96">
        <f t="shared" si="46"/>
        <v>541.65391294436006</v>
      </c>
      <c r="L114" s="96">
        <f t="shared" si="46"/>
        <v>447.46781387823592</v>
      </c>
      <c r="M114" s="96">
        <f t="shared" si="46"/>
        <v>332.33952540479925</v>
      </c>
      <c r="N114" s="96">
        <f t="shared" si="46"/>
        <v>236.13478903335533</v>
      </c>
      <c r="O114" s="96">
        <f t="shared" si="46"/>
        <v>0</v>
      </c>
      <c r="P114" s="96">
        <f t="shared" si="46"/>
        <v>0</v>
      </c>
      <c r="Q114" s="96">
        <f t="shared" si="46"/>
        <v>0</v>
      </c>
      <c r="R114" s="96">
        <f t="shared" si="46"/>
        <v>0</v>
      </c>
      <c r="S114" s="96">
        <f t="shared" si="46"/>
        <v>0</v>
      </c>
      <c r="T114" s="96">
        <f t="shared" si="46"/>
        <v>0</v>
      </c>
    </row>
    <row r="115" spans="1:20" ht="15" customHeight="1" x14ac:dyDescent="0.45"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ht="15" customHeight="1" x14ac:dyDescent="0.45">
      <c r="B116" s="90" t="s">
        <v>208</v>
      </c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</row>
    <row r="117" spans="1:20" ht="15" customHeight="1" x14ac:dyDescent="0.45">
      <c r="B117" s="90" t="s">
        <v>215</v>
      </c>
      <c r="I117" s="73">
        <f>MAX(Input!$C$21,Input!$K$8)</f>
        <v>5.0000000000000001E-3</v>
      </c>
      <c r="J117" s="73">
        <f>MAX(Input!$C$21,Input!$K$8)</f>
        <v>5.0000000000000001E-3</v>
      </c>
      <c r="K117" s="73">
        <f>MAX(Input!$C$21,Input!$K$8)</f>
        <v>5.0000000000000001E-3</v>
      </c>
      <c r="L117" s="73">
        <f>MAX(Input!$C$21,Input!$K$8)</f>
        <v>5.0000000000000001E-3</v>
      </c>
      <c r="M117" s="73">
        <f>MAX(Input!$C$21,Input!$K$8)</f>
        <v>5.0000000000000001E-3</v>
      </c>
      <c r="N117" s="73">
        <f>MAX(Input!$C$21,Input!$K$8)</f>
        <v>5.0000000000000001E-3</v>
      </c>
      <c r="O117" s="73">
        <f>MAX(Input!$C$21,Input!$K$8)</f>
        <v>5.0000000000000001E-3</v>
      </c>
      <c r="P117" s="73">
        <f>MAX(Input!$C$21,Input!$K$8)</f>
        <v>5.0000000000000001E-3</v>
      </c>
      <c r="Q117" s="73">
        <f>MAX(Input!$C$21,Input!$K$8)</f>
        <v>5.0000000000000001E-3</v>
      </c>
      <c r="R117" s="73">
        <f>MAX(Input!$C$21,Input!$K$8)</f>
        <v>5.0000000000000001E-3</v>
      </c>
      <c r="S117" s="73">
        <f>MAX(Input!$C$21,Input!$K$8)</f>
        <v>5.0000000000000001E-3</v>
      </c>
      <c r="T117" s="73">
        <f>MAX(Input!$C$21,Input!$K$8)</f>
        <v>5.0000000000000001E-3</v>
      </c>
    </row>
    <row r="118" spans="1:20" ht="15" customHeight="1" x14ac:dyDescent="0.45">
      <c r="B118" s="90" t="s">
        <v>48</v>
      </c>
      <c r="I118" s="73">
        <f>Input!$J$8</f>
        <v>4.2500000000000003E-2</v>
      </c>
      <c r="J118" s="73">
        <f>Input!$J$8</f>
        <v>4.2500000000000003E-2</v>
      </c>
      <c r="K118" s="73">
        <f>Input!$J$8</f>
        <v>4.2500000000000003E-2</v>
      </c>
      <c r="L118" s="73">
        <f>Input!$J$8</f>
        <v>4.2500000000000003E-2</v>
      </c>
      <c r="M118" s="73">
        <f>Input!$J$8</f>
        <v>4.2500000000000003E-2</v>
      </c>
      <c r="N118" s="73">
        <f>Input!$J$8</f>
        <v>4.2500000000000003E-2</v>
      </c>
      <c r="O118" s="73">
        <f>Input!$J$8</f>
        <v>4.2500000000000003E-2</v>
      </c>
      <c r="P118" s="73">
        <f>Input!$J$8</f>
        <v>4.2500000000000003E-2</v>
      </c>
      <c r="Q118" s="73">
        <f>Input!$J$8</f>
        <v>4.2500000000000003E-2</v>
      </c>
      <c r="R118" s="73">
        <f>Input!$J$8</f>
        <v>4.2500000000000003E-2</v>
      </c>
      <c r="S118" s="73">
        <f>Input!$J$8</f>
        <v>4.2500000000000003E-2</v>
      </c>
      <c r="T118" s="73">
        <f>Input!$J$8</f>
        <v>4.2500000000000003E-2</v>
      </c>
    </row>
    <row r="119" spans="1:20" ht="15" customHeight="1" x14ac:dyDescent="0.45">
      <c r="B119" s="90" t="s">
        <v>210</v>
      </c>
      <c r="I119" s="73">
        <f>SUM(I117:I118)</f>
        <v>4.7500000000000001E-2</v>
      </c>
      <c r="J119" s="73">
        <f t="shared" ref="J119:T119" si="47">SUM(J117:J118)</f>
        <v>4.7500000000000001E-2</v>
      </c>
      <c r="K119" s="73">
        <f t="shared" si="47"/>
        <v>4.7500000000000001E-2</v>
      </c>
      <c r="L119" s="73">
        <f t="shared" si="47"/>
        <v>4.7500000000000001E-2</v>
      </c>
      <c r="M119" s="73">
        <f t="shared" si="47"/>
        <v>4.7500000000000001E-2</v>
      </c>
      <c r="N119" s="73">
        <f t="shared" si="47"/>
        <v>4.7500000000000001E-2</v>
      </c>
      <c r="O119" s="73">
        <f t="shared" si="47"/>
        <v>4.7500000000000001E-2</v>
      </c>
      <c r="P119" s="73">
        <f t="shared" si="47"/>
        <v>4.7500000000000001E-2</v>
      </c>
      <c r="Q119" s="73">
        <f t="shared" si="47"/>
        <v>4.7500000000000001E-2</v>
      </c>
      <c r="R119" s="73">
        <f t="shared" si="47"/>
        <v>4.7500000000000001E-2</v>
      </c>
      <c r="S119" s="73">
        <f t="shared" si="47"/>
        <v>4.7500000000000001E-2</v>
      </c>
      <c r="T119" s="73">
        <f t="shared" si="47"/>
        <v>4.7500000000000001E-2</v>
      </c>
    </row>
    <row r="120" spans="1:20" ht="15" customHeight="1" x14ac:dyDescent="0.45">
      <c r="B120" s="90" t="s">
        <v>134</v>
      </c>
      <c r="I120" s="96">
        <f>-I119*AVERAGE(H114:I114)*Postdeal_Percent</f>
        <v>-9.4695637185258033</v>
      </c>
      <c r="J120" s="96">
        <f t="shared" ref="J120:T120" si="48">-J119*AVERAGE(I114:J114)</f>
        <v>-35.444541669389523</v>
      </c>
      <c r="K120" s="96">
        <f t="shared" si="48"/>
        <v>-29.430567227714853</v>
      </c>
      <c r="L120" s="96">
        <f t="shared" si="48"/>
        <v>-23.491641012036656</v>
      </c>
      <c r="M120" s="96">
        <f t="shared" si="48"/>
        <v>-18.520424307972085</v>
      </c>
      <c r="N120" s="96">
        <f t="shared" si="48"/>
        <v>-13.501264967906172</v>
      </c>
      <c r="O120" s="96">
        <f t="shared" si="48"/>
        <v>-5.608201239542189</v>
      </c>
      <c r="P120" s="96">
        <f t="shared" si="48"/>
        <v>0</v>
      </c>
      <c r="Q120" s="96">
        <f t="shared" si="48"/>
        <v>0</v>
      </c>
      <c r="R120" s="96">
        <f t="shared" si="48"/>
        <v>0</v>
      </c>
      <c r="S120" s="96">
        <f t="shared" si="48"/>
        <v>0</v>
      </c>
      <c r="T120" s="96">
        <f t="shared" si="48"/>
        <v>0</v>
      </c>
    </row>
    <row r="121" spans="1:20" ht="15" customHeight="1" x14ac:dyDescent="0.45"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ht="15" customHeight="1" x14ac:dyDescent="0.45">
      <c r="B122" s="90" t="s">
        <v>174</v>
      </c>
      <c r="I122" s="96">
        <f>I108+I113</f>
        <v>0</v>
      </c>
      <c r="J122" s="96">
        <f t="shared" ref="J122:T122" si="49">J108+J113</f>
        <v>0</v>
      </c>
      <c r="K122" s="96">
        <f t="shared" si="49"/>
        <v>0</v>
      </c>
      <c r="L122" s="96">
        <f t="shared" si="49"/>
        <v>0</v>
      </c>
      <c r="M122" s="96">
        <f t="shared" si="49"/>
        <v>0</v>
      </c>
      <c r="N122" s="96">
        <f t="shared" si="49"/>
        <v>0</v>
      </c>
      <c r="O122" s="96">
        <f t="shared" si="49"/>
        <v>58.519838902307896</v>
      </c>
      <c r="P122" s="96">
        <f t="shared" si="49"/>
        <v>29.076641858769207</v>
      </c>
      <c r="Q122" s="96">
        <f t="shared" si="49"/>
        <v>51.527250948362166</v>
      </c>
      <c r="R122" s="96">
        <f t="shared" si="49"/>
        <v>47.656419332273373</v>
      </c>
      <c r="S122" s="96">
        <f t="shared" si="49"/>
        <v>94.266448961082915</v>
      </c>
      <c r="T122" s="96">
        <f t="shared" si="49"/>
        <v>138.31684343934842</v>
      </c>
    </row>
    <row r="123" spans="1:20" ht="15" customHeight="1" x14ac:dyDescent="0.45"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</row>
    <row r="124" spans="1:20" ht="15" customHeight="1" x14ac:dyDescent="0.45">
      <c r="A124" s="14" t="s">
        <v>36</v>
      </c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ht="15" customHeight="1" x14ac:dyDescent="0.45">
      <c r="B125" s="90" t="s">
        <v>214</v>
      </c>
      <c r="I125" s="96">
        <f>H128</f>
        <v>300</v>
      </c>
      <c r="J125" s="96">
        <f t="shared" ref="J125:T125" si="50">I128</f>
        <v>300</v>
      </c>
      <c r="K125" s="96">
        <f t="shared" si="50"/>
        <v>300</v>
      </c>
      <c r="L125" s="96">
        <f t="shared" si="50"/>
        <v>300</v>
      </c>
      <c r="M125" s="96">
        <f t="shared" si="50"/>
        <v>300</v>
      </c>
      <c r="N125" s="96">
        <f t="shared" si="50"/>
        <v>300</v>
      </c>
      <c r="O125" s="96">
        <f t="shared" si="50"/>
        <v>300</v>
      </c>
      <c r="P125" s="96">
        <f t="shared" si="50"/>
        <v>241.4801610976921</v>
      </c>
      <c r="Q125" s="96">
        <f t="shared" si="50"/>
        <v>0</v>
      </c>
      <c r="R125" s="96">
        <f t="shared" si="50"/>
        <v>0</v>
      </c>
      <c r="S125" s="96">
        <f t="shared" si="50"/>
        <v>0</v>
      </c>
      <c r="T125" s="96">
        <f t="shared" si="50"/>
        <v>0</v>
      </c>
    </row>
    <row r="126" spans="1:20" ht="15" customHeight="1" x14ac:dyDescent="0.45">
      <c r="B126" s="90" t="s">
        <v>178</v>
      </c>
      <c r="I126" s="96">
        <f>-MIN(I125,$H$128*I19)</f>
        <v>0</v>
      </c>
      <c r="J126" s="96">
        <f t="shared" ref="J126:T126" si="51">-MIN(J125,$H$128*J19)</f>
        <v>0</v>
      </c>
      <c r="K126" s="96">
        <f t="shared" si="51"/>
        <v>0</v>
      </c>
      <c r="L126" s="96">
        <f t="shared" si="51"/>
        <v>0</v>
      </c>
      <c r="M126" s="96">
        <f t="shared" si="51"/>
        <v>0</v>
      </c>
      <c r="N126" s="96">
        <f t="shared" si="51"/>
        <v>0</v>
      </c>
      <c r="O126" s="96">
        <f t="shared" si="51"/>
        <v>0</v>
      </c>
      <c r="P126" s="96">
        <f t="shared" si="51"/>
        <v>-241.4801610976921</v>
      </c>
      <c r="Q126" s="96">
        <f t="shared" si="51"/>
        <v>0</v>
      </c>
      <c r="R126" s="96">
        <f t="shared" si="51"/>
        <v>0</v>
      </c>
      <c r="S126" s="96">
        <f t="shared" si="51"/>
        <v>0</v>
      </c>
      <c r="T126" s="96">
        <f t="shared" si="51"/>
        <v>0</v>
      </c>
    </row>
    <row r="127" spans="1:20" ht="15" customHeight="1" x14ac:dyDescent="0.45">
      <c r="B127" s="90" t="s">
        <v>179</v>
      </c>
      <c r="I127" s="96">
        <f>-MIN(I122,I125+I126)</f>
        <v>0</v>
      </c>
      <c r="J127" s="96">
        <f t="shared" ref="J127:T127" si="52">-MIN(J122,J125+J126)</f>
        <v>0</v>
      </c>
      <c r="K127" s="96">
        <f t="shared" si="52"/>
        <v>0</v>
      </c>
      <c r="L127" s="96">
        <f t="shared" si="52"/>
        <v>0</v>
      </c>
      <c r="M127" s="96">
        <f t="shared" si="52"/>
        <v>0</v>
      </c>
      <c r="N127" s="96">
        <f t="shared" si="52"/>
        <v>0</v>
      </c>
      <c r="O127" s="96">
        <f t="shared" si="52"/>
        <v>-58.519838902307896</v>
      </c>
      <c r="P127" s="96">
        <f t="shared" si="52"/>
        <v>0</v>
      </c>
      <c r="Q127" s="96">
        <f t="shared" si="52"/>
        <v>0</v>
      </c>
      <c r="R127" s="96">
        <f t="shared" si="52"/>
        <v>0</v>
      </c>
      <c r="S127" s="96">
        <f t="shared" si="52"/>
        <v>0</v>
      </c>
      <c r="T127" s="96">
        <f t="shared" si="52"/>
        <v>0</v>
      </c>
    </row>
    <row r="128" spans="1:20" ht="15" customHeight="1" x14ac:dyDescent="0.45">
      <c r="B128" s="90" t="s">
        <v>206</v>
      </c>
      <c r="H128" s="90">
        <f>Input!I9</f>
        <v>300</v>
      </c>
      <c r="I128" s="96">
        <f>SUM(I125:I127)</f>
        <v>300</v>
      </c>
      <c r="J128" s="96">
        <f t="shared" ref="J128:T128" si="53">SUM(J125:J127)</f>
        <v>300</v>
      </c>
      <c r="K128" s="96">
        <f t="shared" si="53"/>
        <v>300</v>
      </c>
      <c r="L128" s="96">
        <f t="shared" si="53"/>
        <v>300</v>
      </c>
      <c r="M128" s="96">
        <f t="shared" si="53"/>
        <v>300</v>
      </c>
      <c r="N128" s="96">
        <f t="shared" si="53"/>
        <v>300</v>
      </c>
      <c r="O128" s="96">
        <f t="shared" si="53"/>
        <v>241.4801610976921</v>
      </c>
      <c r="P128" s="96">
        <f t="shared" si="53"/>
        <v>0</v>
      </c>
      <c r="Q128" s="96">
        <f t="shared" si="53"/>
        <v>0</v>
      </c>
      <c r="R128" s="96">
        <f t="shared" si="53"/>
        <v>0</v>
      </c>
      <c r="S128" s="96">
        <f t="shared" si="53"/>
        <v>0</v>
      </c>
      <c r="T128" s="96">
        <f t="shared" si="53"/>
        <v>0</v>
      </c>
    </row>
    <row r="129" spans="1:20" ht="15" customHeight="1" x14ac:dyDescent="0.45"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</row>
    <row r="130" spans="1:20" ht="15" customHeight="1" x14ac:dyDescent="0.45">
      <c r="B130" s="90" t="s">
        <v>208</v>
      </c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1:20" ht="15" customHeight="1" x14ac:dyDescent="0.45">
      <c r="B131" s="90" t="s">
        <v>215</v>
      </c>
      <c r="I131" s="73">
        <f>MAX(Input!$C$21,Input!$K$8)</f>
        <v>5.0000000000000001E-3</v>
      </c>
      <c r="J131" s="73">
        <f>MAX(Input!$C$21,Input!$K$8)</f>
        <v>5.0000000000000001E-3</v>
      </c>
      <c r="K131" s="73">
        <f>MAX(Input!$C$21,Input!$K$8)</f>
        <v>5.0000000000000001E-3</v>
      </c>
      <c r="L131" s="73">
        <f>MAX(Input!$C$21,Input!$K$8)</f>
        <v>5.0000000000000001E-3</v>
      </c>
      <c r="M131" s="73">
        <f>MAX(Input!$C$21,Input!$K$8)</f>
        <v>5.0000000000000001E-3</v>
      </c>
      <c r="N131" s="73">
        <f>MAX(Input!$C$21,Input!$K$8)</f>
        <v>5.0000000000000001E-3</v>
      </c>
      <c r="O131" s="73">
        <f>MAX(Input!$C$21,Input!$K$8)</f>
        <v>5.0000000000000001E-3</v>
      </c>
      <c r="P131" s="73">
        <f>MAX(Input!$C$21,Input!$K$8)</f>
        <v>5.0000000000000001E-3</v>
      </c>
      <c r="Q131" s="73">
        <f>MAX(Input!$C$21,Input!$K$8)</f>
        <v>5.0000000000000001E-3</v>
      </c>
      <c r="R131" s="73">
        <f>MAX(Input!$C$21,Input!$K$8)</f>
        <v>5.0000000000000001E-3</v>
      </c>
      <c r="S131" s="73">
        <f>MAX(Input!$C$21,Input!$K$8)</f>
        <v>5.0000000000000001E-3</v>
      </c>
      <c r="T131" s="73">
        <f>MAX(Input!$C$21,Input!$K$8)</f>
        <v>5.0000000000000001E-3</v>
      </c>
    </row>
    <row r="132" spans="1:20" ht="15" customHeight="1" x14ac:dyDescent="0.45">
      <c r="B132" s="90" t="s">
        <v>48</v>
      </c>
      <c r="I132" s="73">
        <f>Input!$J$9</f>
        <v>7.4999999999999997E-2</v>
      </c>
      <c r="J132" s="73">
        <f>Input!$J$9</f>
        <v>7.4999999999999997E-2</v>
      </c>
      <c r="K132" s="73">
        <f>Input!$J$9</f>
        <v>7.4999999999999997E-2</v>
      </c>
      <c r="L132" s="73">
        <f>Input!$J$9</f>
        <v>7.4999999999999997E-2</v>
      </c>
      <c r="M132" s="73">
        <f>Input!$J$9</f>
        <v>7.4999999999999997E-2</v>
      </c>
      <c r="N132" s="73">
        <f>Input!$J$9</f>
        <v>7.4999999999999997E-2</v>
      </c>
      <c r="O132" s="73">
        <f>Input!$J$9</f>
        <v>7.4999999999999997E-2</v>
      </c>
      <c r="P132" s="73">
        <f>Input!$J$9</f>
        <v>7.4999999999999997E-2</v>
      </c>
      <c r="Q132" s="73">
        <f>Input!$J$9</f>
        <v>7.4999999999999997E-2</v>
      </c>
      <c r="R132" s="73">
        <f>Input!$J$9</f>
        <v>7.4999999999999997E-2</v>
      </c>
      <c r="S132" s="73">
        <f>Input!$J$9</f>
        <v>7.4999999999999997E-2</v>
      </c>
      <c r="T132" s="73">
        <f>Input!$J$9</f>
        <v>7.4999999999999997E-2</v>
      </c>
    </row>
    <row r="133" spans="1:20" ht="15" customHeight="1" x14ac:dyDescent="0.45">
      <c r="B133" s="90" t="s">
        <v>210</v>
      </c>
      <c r="I133" s="73">
        <f>SUM(I131:I132)</f>
        <v>0.08</v>
      </c>
      <c r="J133" s="73">
        <f t="shared" ref="J133:T133" si="54">SUM(J131:J132)</f>
        <v>0.08</v>
      </c>
      <c r="K133" s="73">
        <f t="shared" si="54"/>
        <v>0.08</v>
      </c>
      <c r="L133" s="73">
        <f t="shared" si="54"/>
        <v>0.08</v>
      </c>
      <c r="M133" s="73">
        <f t="shared" si="54"/>
        <v>0.08</v>
      </c>
      <c r="N133" s="73">
        <f t="shared" si="54"/>
        <v>0.08</v>
      </c>
      <c r="O133" s="73">
        <f t="shared" si="54"/>
        <v>0.08</v>
      </c>
      <c r="P133" s="73">
        <f t="shared" si="54"/>
        <v>0.08</v>
      </c>
      <c r="Q133" s="73">
        <f t="shared" si="54"/>
        <v>0.08</v>
      </c>
      <c r="R133" s="73">
        <f t="shared" si="54"/>
        <v>0.08</v>
      </c>
      <c r="S133" s="73">
        <f t="shared" si="54"/>
        <v>0.08</v>
      </c>
      <c r="T133" s="73">
        <f t="shared" si="54"/>
        <v>0.08</v>
      </c>
    </row>
    <row r="134" spans="1:20" ht="15" customHeight="1" x14ac:dyDescent="0.45">
      <c r="B134" s="90" t="s">
        <v>134</v>
      </c>
      <c r="I134" s="96">
        <f>-I133*AVERAGE(H128:I128)*Postdeal_Percent</f>
        <v>-6</v>
      </c>
      <c r="J134" s="96">
        <f>-J133*AVERAGE(I128:J128)</f>
        <v>-24</v>
      </c>
      <c r="K134" s="96">
        <f t="shared" ref="K134:T134" si="55">-K133*AVERAGE(J128:K128)</f>
        <v>-24</v>
      </c>
      <c r="L134" s="96">
        <f t="shared" si="55"/>
        <v>-24</v>
      </c>
      <c r="M134" s="96">
        <f t="shared" si="55"/>
        <v>-24</v>
      </c>
      <c r="N134" s="96">
        <f t="shared" si="55"/>
        <v>-24</v>
      </c>
      <c r="O134" s="96">
        <f t="shared" si="55"/>
        <v>-21.659206443907685</v>
      </c>
      <c r="P134" s="96">
        <f t="shared" si="55"/>
        <v>-9.659206443907685</v>
      </c>
      <c r="Q134" s="96">
        <f t="shared" si="55"/>
        <v>0</v>
      </c>
      <c r="R134" s="96">
        <f t="shared" si="55"/>
        <v>0</v>
      </c>
      <c r="S134" s="96">
        <f t="shared" si="55"/>
        <v>0</v>
      </c>
      <c r="T134" s="96">
        <f t="shared" si="55"/>
        <v>0</v>
      </c>
    </row>
    <row r="135" spans="1:20" ht="15" customHeight="1" x14ac:dyDescent="0.45"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ht="15" customHeight="1" x14ac:dyDescent="0.45">
      <c r="A136" s="14" t="s">
        <v>37</v>
      </c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</row>
    <row r="137" spans="1:20" ht="15" customHeight="1" x14ac:dyDescent="0.45">
      <c r="B137" s="90" t="s">
        <v>214</v>
      </c>
      <c r="I137" s="96">
        <f>H139</f>
        <v>100</v>
      </c>
      <c r="J137" s="96">
        <f t="shared" ref="J137:T137" si="56">I139</f>
        <v>100</v>
      </c>
      <c r="K137" s="96">
        <f t="shared" si="56"/>
        <v>100</v>
      </c>
      <c r="L137" s="96">
        <f t="shared" si="56"/>
        <v>100</v>
      </c>
      <c r="M137" s="96">
        <f t="shared" si="56"/>
        <v>100</v>
      </c>
      <c r="N137" s="96">
        <f t="shared" si="56"/>
        <v>100</v>
      </c>
      <c r="O137" s="96">
        <f t="shared" si="56"/>
        <v>100</v>
      </c>
      <c r="P137" s="96">
        <f t="shared" si="56"/>
        <v>100</v>
      </c>
      <c r="Q137" s="96">
        <f t="shared" si="56"/>
        <v>100</v>
      </c>
      <c r="R137" s="96">
        <f t="shared" si="56"/>
        <v>0</v>
      </c>
      <c r="S137" s="96">
        <f t="shared" si="56"/>
        <v>0</v>
      </c>
      <c r="T137" s="96">
        <f t="shared" si="56"/>
        <v>0</v>
      </c>
    </row>
    <row r="138" spans="1:20" s="96" customFormat="1" ht="15" customHeight="1" x14ac:dyDescent="0.45">
      <c r="A138" s="98"/>
      <c r="B138" s="96" t="s">
        <v>153</v>
      </c>
      <c r="I138" s="96">
        <f>-$I$137*I20</f>
        <v>0</v>
      </c>
      <c r="J138" s="96">
        <f t="shared" ref="J138:T138" si="57">-$I$137*J20</f>
        <v>0</v>
      </c>
      <c r="K138" s="96">
        <f t="shared" si="57"/>
        <v>0</v>
      </c>
      <c r="L138" s="96">
        <f t="shared" si="57"/>
        <v>0</v>
      </c>
      <c r="M138" s="96">
        <f t="shared" si="57"/>
        <v>0</v>
      </c>
      <c r="N138" s="96">
        <f t="shared" si="57"/>
        <v>0</v>
      </c>
      <c r="O138" s="96">
        <f t="shared" si="57"/>
        <v>0</v>
      </c>
      <c r="P138" s="96">
        <f t="shared" si="57"/>
        <v>0</v>
      </c>
      <c r="Q138" s="96">
        <f t="shared" si="57"/>
        <v>-100</v>
      </c>
      <c r="R138" s="96">
        <f t="shared" si="57"/>
        <v>0</v>
      </c>
      <c r="S138" s="96">
        <f t="shared" si="57"/>
        <v>0</v>
      </c>
      <c r="T138" s="96">
        <f t="shared" si="57"/>
        <v>0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H139" s="90">
        <f>Input!I10</f>
        <v>100</v>
      </c>
      <c r="I139" s="96">
        <f>SUM(I137:I138)</f>
        <v>100</v>
      </c>
      <c r="J139" s="96">
        <f t="shared" ref="J139:T139" si="58">SUM(J137:J138)</f>
        <v>100</v>
      </c>
      <c r="K139" s="96">
        <f t="shared" si="58"/>
        <v>100</v>
      </c>
      <c r="L139" s="96">
        <f t="shared" si="58"/>
        <v>100</v>
      </c>
      <c r="M139" s="96">
        <f t="shared" si="58"/>
        <v>100</v>
      </c>
      <c r="N139" s="96">
        <f t="shared" si="58"/>
        <v>100</v>
      </c>
      <c r="O139" s="96">
        <f t="shared" si="58"/>
        <v>100</v>
      </c>
      <c r="P139" s="96">
        <f t="shared" si="58"/>
        <v>100</v>
      </c>
      <c r="Q139" s="96">
        <f t="shared" si="58"/>
        <v>0</v>
      </c>
      <c r="R139" s="96">
        <f t="shared" si="58"/>
        <v>0</v>
      </c>
      <c r="S139" s="96">
        <f t="shared" si="58"/>
        <v>0</v>
      </c>
      <c r="T139" s="96">
        <f t="shared" si="58"/>
        <v>0</v>
      </c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>
        <f>Input!$L$10</f>
        <v>8.2500000000000004E-2</v>
      </c>
      <c r="J142" s="73">
        <f>Input!$L$10</f>
        <v>8.2500000000000004E-2</v>
      </c>
      <c r="K142" s="73">
        <f>Input!$L$10</f>
        <v>8.2500000000000004E-2</v>
      </c>
      <c r="L142" s="73">
        <f>Input!$L$10</f>
        <v>8.2500000000000004E-2</v>
      </c>
      <c r="M142" s="73">
        <f>Input!$L$10</f>
        <v>8.2500000000000004E-2</v>
      </c>
      <c r="N142" s="73">
        <f>Input!$L$10</f>
        <v>8.2500000000000004E-2</v>
      </c>
      <c r="O142" s="73">
        <f>Input!$L$10</f>
        <v>8.2500000000000004E-2</v>
      </c>
      <c r="P142" s="73">
        <f>Input!$L$10</f>
        <v>8.2500000000000004E-2</v>
      </c>
      <c r="Q142" s="73">
        <f>Input!$L$10</f>
        <v>8.2500000000000004E-2</v>
      </c>
      <c r="R142" s="73">
        <f>Input!$L$10</f>
        <v>8.2500000000000004E-2</v>
      </c>
      <c r="S142" s="73">
        <f>Input!$L$10</f>
        <v>8.2500000000000004E-2</v>
      </c>
      <c r="T142" s="73">
        <f>Input!$L$10</f>
        <v>8.2500000000000004E-2</v>
      </c>
    </row>
    <row r="143" spans="1:20" ht="15" customHeight="1" x14ac:dyDescent="0.45">
      <c r="B143" s="90" t="s">
        <v>134</v>
      </c>
      <c r="I143" s="96">
        <f>-I142*AVERAGE(H139:I139)*Postdeal_Percent</f>
        <v>-2.0625</v>
      </c>
      <c r="J143" s="96">
        <f t="shared" ref="J143:T143" si="59">-J142*AVERAGE(I139:J139)</f>
        <v>-8.25</v>
      </c>
      <c r="K143" s="96">
        <f t="shared" si="59"/>
        <v>-8.25</v>
      </c>
      <c r="L143" s="96">
        <f t="shared" si="59"/>
        <v>-8.25</v>
      </c>
      <c r="M143" s="96">
        <f t="shared" si="59"/>
        <v>-8.25</v>
      </c>
      <c r="N143" s="96">
        <f t="shared" si="59"/>
        <v>-8.25</v>
      </c>
      <c r="O143" s="96">
        <f t="shared" si="59"/>
        <v>-8.25</v>
      </c>
      <c r="P143" s="96">
        <f t="shared" si="59"/>
        <v>-8.25</v>
      </c>
      <c r="Q143" s="96">
        <f t="shared" si="59"/>
        <v>-4.125</v>
      </c>
      <c r="R143" s="96">
        <f t="shared" si="59"/>
        <v>0</v>
      </c>
      <c r="S143" s="96">
        <f t="shared" si="59"/>
        <v>0</v>
      </c>
      <c r="T143" s="96">
        <f t="shared" si="59"/>
        <v>0</v>
      </c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>
        <f>H149</f>
        <v>100</v>
      </c>
      <c r="J146" s="96">
        <f t="shared" ref="J146:T146" si="60">I149</f>
        <v>102.5</v>
      </c>
      <c r="K146" s="96">
        <f t="shared" si="60"/>
        <v>112.75</v>
      </c>
      <c r="L146" s="96">
        <f t="shared" si="60"/>
        <v>124.02500000000001</v>
      </c>
      <c r="M146" s="96">
        <f t="shared" si="60"/>
        <v>136.42750000000001</v>
      </c>
      <c r="N146" s="96">
        <f t="shared" si="60"/>
        <v>150.07025000000002</v>
      </c>
      <c r="O146" s="96">
        <f t="shared" si="60"/>
        <v>165.07727500000001</v>
      </c>
      <c r="P146" s="96">
        <f t="shared" si="60"/>
        <v>181.58500250000003</v>
      </c>
      <c r="Q146" s="96">
        <f t="shared" si="60"/>
        <v>199.74350275000003</v>
      </c>
      <c r="R146" s="96">
        <f t="shared" si="60"/>
        <v>219.71785302500004</v>
      </c>
      <c r="S146" s="96">
        <f t="shared" si="60"/>
        <v>0</v>
      </c>
      <c r="T146" s="96">
        <f t="shared" si="60"/>
        <v>0</v>
      </c>
    </row>
    <row r="147" spans="1:20" ht="15" customHeight="1" x14ac:dyDescent="0.45">
      <c r="B147" s="90" t="s">
        <v>177</v>
      </c>
      <c r="I147" s="96">
        <f>I153*-1</f>
        <v>2.5</v>
      </c>
      <c r="J147" s="96">
        <f t="shared" ref="J147:T147" si="61">J153*-1</f>
        <v>10.25</v>
      </c>
      <c r="K147" s="96">
        <f t="shared" si="61"/>
        <v>11.275</v>
      </c>
      <c r="L147" s="96">
        <f t="shared" si="61"/>
        <v>12.402500000000002</v>
      </c>
      <c r="M147" s="96">
        <f t="shared" si="61"/>
        <v>13.642750000000001</v>
      </c>
      <c r="N147" s="96">
        <f t="shared" si="61"/>
        <v>15.007025000000002</v>
      </c>
      <c r="O147" s="96">
        <f t="shared" si="61"/>
        <v>16.507727500000001</v>
      </c>
      <c r="P147" s="96">
        <f t="shared" si="61"/>
        <v>18.158500250000003</v>
      </c>
      <c r="Q147" s="96">
        <f t="shared" si="61"/>
        <v>19.974350275000006</v>
      </c>
      <c r="R147" s="96">
        <f t="shared" si="61"/>
        <v>21.971785302500006</v>
      </c>
      <c r="S147" s="96">
        <f t="shared" si="61"/>
        <v>0</v>
      </c>
      <c r="T147" s="96">
        <f t="shared" si="61"/>
        <v>0</v>
      </c>
    </row>
    <row r="148" spans="1:20" ht="15" customHeight="1" x14ac:dyDescent="0.45">
      <c r="B148" s="90" t="s">
        <v>153</v>
      </c>
      <c r="I148" s="96">
        <f>-(I146+I147)*I21</f>
        <v>0</v>
      </c>
      <c r="J148" s="96">
        <f t="shared" ref="J148:T148" si="62">-(J146+J147)*J21</f>
        <v>0</v>
      </c>
      <c r="K148" s="96">
        <f t="shared" si="62"/>
        <v>0</v>
      </c>
      <c r="L148" s="96">
        <f t="shared" si="62"/>
        <v>0</v>
      </c>
      <c r="M148" s="96">
        <f t="shared" si="62"/>
        <v>0</v>
      </c>
      <c r="N148" s="96">
        <f t="shared" si="62"/>
        <v>0</v>
      </c>
      <c r="O148" s="96">
        <f t="shared" si="62"/>
        <v>0</v>
      </c>
      <c r="P148" s="96">
        <f t="shared" si="62"/>
        <v>0</v>
      </c>
      <c r="Q148" s="96">
        <f t="shared" si="62"/>
        <v>0</v>
      </c>
      <c r="R148" s="96">
        <f t="shared" si="62"/>
        <v>-241.68963832750003</v>
      </c>
      <c r="S148" s="96">
        <f t="shared" si="62"/>
        <v>0</v>
      </c>
      <c r="T148" s="96">
        <f t="shared" si="62"/>
        <v>0</v>
      </c>
    </row>
    <row r="149" spans="1:20" ht="15" customHeight="1" x14ac:dyDescent="0.45">
      <c r="B149" s="90" t="s">
        <v>206</v>
      </c>
      <c r="H149" s="90">
        <f>Input!I11</f>
        <v>100</v>
      </c>
      <c r="I149" s="96">
        <f>SUM(I146:I148)</f>
        <v>102.5</v>
      </c>
      <c r="J149" s="96">
        <f t="shared" ref="J149:T149" si="63">SUM(J146:J148)</f>
        <v>112.75</v>
      </c>
      <c r="K149" s="96">
        <f t="shared" si="63"/>
        <v>124.02500000000001</v>
      </c>
      <c r="L149" s="96">
        <f t="shared" si="63"/>
        <v>136.42750000000001</v>
      </c>
      <c r="M149" s="96">
        <f t="shared" si="63"/>
        <v>150.07025000000002</v>
      </c>
      <c r="N149" s="96">
        <f t="shared" si="63"/>
        <v>165.07727500000001</v>
      </c>
      <c r="O149" s="96">
        <f t="shared" si="63"/>
        <v>181.58500250000003</v>
      </c>
      <c r="P149" s="96">
        <f t="shared" si="63"/>
        <v>199.74350275000003</v>
      </c>
      <c r="Q149" s="96">
        <f t="shared" si="63"/>
        <v>219.71785302500004</v>
      </c>
      <c r="R149" s="96">
        <f t="shared" si="63"/>
        <v>0</v>
      </c>
      <c r="S149" s="96">
        <f t="shared" si="63"/>
        <v>0</v>
      </c>
      <c r="T149" s="96">
        <f t="shared" si="63"/>
        <v>0</v>
      </c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>
        <f>Input!$L$11</f>
        <v>0.1</v>
      </c>
      <c r="J152" s="73">
        <f>Input!$L$11</f>
        <v>0.1</v>
      </c>
      <c r="K152" s="73">
        <f>Input!$L$11</f>
        <v>0.1</v>
      </c>
      <c r="L152" s="73">
        <f>Input!$L$11</f>
        <v>0.1</v>
      </c>
      <c r="M152" s="73">
        <f>Input!$L$11</f>
        <v>0.1</v>
      </c>
      <c r="N152" s="73">
        <f>Input!$L$11</f>
        <v>0.1</v>
      </c>
      <c r="O152" s="73">
        <f>Input!$L$11</f>
        <v>0.1</v>
      </c>
      <c r="P152" s="73">
        <f>Input!$L$11</f>
        <v>0.1</v>
      </c>
      <c r="Q152" s="73">
        <f>Input!$L$11</f>
        <v>0.1</v>
      </c>
      <c r="R152" s="73">
        <f>Input!$L$11</f>
        <v>0.1</v>
      </c>
      <c r="S152" s="73">
        <f>Input!$L$11</f>
        <v>0.1</v>
      </c>
      <c r="T152" s="73">
        <f>Input!$L$11</f>
        <v>0.1</v>
      </c>
    </row>
    <row r="153" spans="1:20" ht="15" customHeight="1" x14ac:dyDescent="0.45">
      <c r="B153" s="90" t="s">
        <v>134</v>
      </c>
      <c r="I153" s="96">
        <f>-I152*I146*Postdeal_Percent</f>
        <v>-2.5</v>
      </c>
      <c r="J153" s="96">
        <f t="shared" ref="J153:T153" si="64">-J152*J146</f>
        <v>-10.25</v>
      </c>
      <c r="K153" s="96">
        <f t="shared" si="64"/>
        <v>-11.275</v>
      </c>
      <c r="L153" s="96">
        <f t="shared" si="64"/>
        <v>-12.402500000000002</v>
      </c>
      <c r="M153" s="96">
        <f t="shared" si="64"/>
        <v>-13.642750000000001</v>
      </c>
      <c r="N153" s="96">
        <f t="shared" si="64"/>
        <v>-15.007025000000002</v>
      </c>
      <c r="O153" s="96">
        <f t="shared" si="64"/>
        <v>-16.507727500000001</v>
      </c>
      <c r="P153" s="96">
        <f t="shared" si="64"/>
        <v>-18.158500250000003</v>
      </c>
      <c r="Q153" s="96">
        <f t="shared" si="64"/>
        <v>-19.974350275000006</v>
      </c>
      <c r="R153" s="96">
        <f t="shared" si="64"/>
        <v>-21.971785302500006</v>
      </c>
      <c r="S153" s="96">
        <f t="shared" si="64"/>
        <v>0</v>
      </c>
      <c r="T153" s="96">
        <f t="shared" si="64"/>
        <v>0</v>
      </c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>
        <f>H159</f>
        <v>0</v>
      </c>
      <c r="J156" s="96">
        <f t="shared" ref="J156:T156" si="65">I159</f>
        <v>50</v>
      </c>
      <c r="K156" s="96">
        <f t="shared" si="65"/>
        <v>100</v>
      </c>
      <c r="L156" s="96">
        <f t="shared" si="65"/>
        <v>150</v>
      </c>
      <c r="M156" s="96">
        <f t="shared" si="65"/>
        <v>200</v>
      </c>
      <c r="N156" s="96">
        <f t="shared" si="65"/>
        <v>150</v>
      </c>
      <c r="O156" s="96">
        <f t="shared" si="65"/>
        <v>100</v>
      </c>
      <c r="P156" s="96">
        <f t="shared" si="65"/>
        <v>50</v>
      </c>
      <c r="Q156" s="96">
        <f t="shared" si="65"/>
        <v>0</v>
      </c>
      <c r="R156" s="96">
        <f t="shared" si="65"/>
        <v>0</v>
      </c>
      <c r="S156" s="96">
        <f t="shared" si="65"/>
        <v>0</v>
      </c>
      <c r="T156" s="96">
        <f t="shared" si="65"/>
        <v>0</v>
      </c>
    </row>
    <row r="157" spans="1:20" ht="15" customHeight="1" x14ac:dyDescent="0.45">
      <c r="B157" s="90" t="s">
        <v>144</v>
      </c>
      <c r="I157" s="96">
        <f>$H$160*I16</f>
        <v>50</v>
      </c>
      <c r="J157" s="96">
        <f t="shared" ref="J157:T157" si="66">$H$160*J16</f>
        <v>50</v>
      </c>
      <c r="K157" s="96">
        <f t="shared" si="66"/>
        <v>50</v>
      </c>
      <c r="L157" s="96">
        <f t="shared" si="66"/>
        <v>50</v>
      </c>
      <c r="M157" s="96">
        <f t="shared" si="66"/>
        <v>0</v>
      </c>
      <c r="N157" s="96">
        <f t="shared" si="66"/>
        <v>0</v>
      </c>
      <c r="O157" s="96">
        <f t="shared" si="66"/>
        <v>0</v>
      </c>
      <c r="P157" s="96">
        <f t="shared" si="66"/>
        <v>0</v>
      </c>
      <c r="Q157" s="96">
        <f t="shared" si="66"/>
        <v>0</v>
      </c>
      <c r="R157" s="96">
        <f t="shared" si="66"/>
        <v>0</v>
      </c>
      <c r="S157" s="96">
        <f t="shared" si="66"/>
        <v>0</v>
      </c>
      <c r="T157" s="96">
        <f t="shared" si="66"/>
        <v>0</v>
      </c>
    </row>
    <row r="158" spans="1:20" ht="15" customHeight="1" x14ac:dyDescent="0.45">
      <c r="B158" s="90" t="s">
        <v>153</v>
      </c>
      <c r="I158" s="96">
        <f>-MIN($H$160*I17,I156+I157)</f>
        <v>0</v>
      </c>
      <c r="J158" s="96">
        <f t="shared" ref="J158:T158" si="67">-MIN($H$160*J17,J156+J157)</f>
        <v>0</v>
      </c>
      <c r="K158" s="96">
        <f t="shared" si="67"/>
        <v>0</v>
      </c>
      <c r="L158" s="96">
        <f t="shared" si="67"/>
        <v>0</v>
      </c>
      <c r="M158" s="96">
        <f t="shared" si="67"/>
        <v>-50</v>
      </c>
      <c r="N158" s="96">
        <f t="shared" si="67"/>
        <v>-50</v>
      </c>
      <c r="O158" s="96">
        <f t="shared" si="67"/>
        <v>-50</v>
      </c>
      <c r="P158" s="96">
        <f t="shared" si="67"/>
        <v>-50</v>
      </c>
      <c r="Q158" s="96">
        <f t="shared" si="67"/>
        <v>0</v>
      </c>
      <c r="R158" s="96">
        <f t="shared" si="67"/>
        <v>0</v>
      </c>
      <c r="S158" s="96">
        <f t="shared" si="67"/>
        <v>0</v>
      </c>
      <c r="T158" s="96">
        <f t="shared" si="67"/>
        <v>0</v>
      </c>
    </row>
    <row r="159" spans="1:20" ht="15" customHeight="1" x14ac:dyDescent="0.45">
      <c r="B159" s="90" t="s">
        <v>206</v>
      </c>
      <c r="H159" s="90">
        <f>Input!I7</f>
        <v>0</v>
      </c>
      <c r="I159" s="96">
        <f>SUM(I156:I158)</f>
        <v>50</v>
      </c>
      <c r="J159" s="96">
        <f t="shared" ref="J159:T159" si="68">SUM(J156:J158)</f>
        <v>100</v>
      </c>
      <c r="K159" s="96">
        <f t="shared" si="68"/>
        <v>150</v>
      </c>
      <c r="L159" s="96">
        <f t="shared" si="68"/>
        <v>200</v>
      </c>
      <c r="M159" s="96">
        <f t="shared" si="68"/>
        <v>150</v>
      </c>
      <c r="N159" s="96">
        <f t="shared" si="68"/>
        <v>100</v>
      </c>
      <c r="O159" s="96">
        <f t="shared" si="68"/>
        <v>50</v>
      </c>
      <c r="P159" s="96">
        <f t="shared" si="68"/>
        <v>0</v>
      </c>
      <c r="Q159" s="96">
        <f t="shared" si="68"/>
        <v>0</v>
      </c>
      <c r="R159" s="96">
        <f t="shared" si="68"/>
        <v>0</v>
      </c>
      <c r="S159" s="96">
        <f t="shared" si="68"/>
        <v>0</v>
      </c>
      <c r="T159" s="96">
        <f t="shared" si="68"/>
        <v>0</v>
      </c>
    </row>
    <row r="160" spans="1:20" s="96" customFormat="1" ht="15" customHeight="1" x14ac:dyDescent="0.45">
      <c r="A160" s="98"/>
      <c r="B160" s="96" t="s">
        <v>207</v>
      </c>
      <c r="H160" s="96">
        <f>Input!$C$25-Debt_Schedule!H159</f>
        <v>200</v>
      </c>
      <c r="I160" s="96">
        <f>Input!$C$25-Debt_Schedule!I159</f>
        <v>150</v>
      </c>
      <c r="J160" s="96">
        <f>Input!$C$25-Debt_Schedule!J159</f>
        <v>100</v>
      </c>
      <c r="K160" s="96">
        <f>Input!$C$25-Debt_Schedule!K159</f>
        <v>50</v>
      </c>
      <c r="L160" s="96">
        <f>Input!$C$25-Debt_Schedule!L159</f>
        <v>0</v>
      </c>
      <c r="M160" s="96">
        <f>Input!$C$25-Debt_Schedule!M159</f>
        <v>50</v>
      </c>
      <c r="N160" s="96">
        <f>Input!$C$25-Debt_Schedule!N159</f>
        <v>100</v>
      </c>
      <c r="O160" s="96">
        <f>Input!$C$25-Debt_Schedule!O159</f>
        <v>150</v>
      </c>
      <c r="P160" s="96">
        <f>Input!$C$25-Debt_Schedule!P159</f>
        <v>200</v>
      </c>
      <c r="Q160" s="96">
        <f>Input!$C$25-Debt_Schedule!Q159</f>
        <v>200</v>
      </c>
      <c r="R160" s="96">
        <f>Input!$C$25-Debt_Schedule!R159</f>
        <v>200</v>
      </c>
      <c r="S160" s="96">
        <f>Input!$C$25-Debt_Schedule!S159</f>
        <v>200</v>
      </c>
      <c r="T160" s="96">
        <f>Input!$C$25-Debt_Schedule!T159</f>
        <v>200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2" s="96" customFormat="1" ht="15" customHeight="1" x14ac:dyDescent="0.45">
      <c r="A164" s="98"/>
      <c r="B164" s="96" t="s">
        <v>51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2" s="96" customFormat="1" ht="15" customHeight="1" x14ac:dyDescent="0.45">
      <c r="A165" s="98"/>
      <c r="B165" s="96" t="s">
        <v>48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2" s="96" customFormat="1" ht="15" customHeight="1" x14ac:dyDescent="0.45">
      <c r="A166" s="98"/>
      <c r="B166" s="96" t="s">
        <v>210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2" ht="15" customHeight="1" x14ac:dyDescent="0.45">
      <c r="B167" s="90" t="s">
        <v>134</v>
      </c>
      <c r="I167" s="96"/>
    </row>
    <row r="168" spans="1:22" ht="15" customHeight="1" x14ac:dyDescent="0.45">
      <c r="B168" s="90" t="s">
        <v>211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2" ht="15" customHeight="1" x14ac:dyDescent="0.45">
      <c r="B169" s="90" t="s">
        <v>212</v>
      </c>
      <c r="I169" s="96"/>
    </row>
    <row r="170" spans="1:22" ht="15" customHeight="1" x14ac:dyDescent="0.45">
      <c r="B170" s="90" t="s">
        <v>213</v>
      </c>
      <c r="I170" s="96"/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>
        <f>H175</f>
        <v>12</v>
      </c>
      <c r="J173" s="96">
        <f>I175</f>
        <v>11.666666666666666</v>
      </c>
      <c r="K173" s="96">
        <f t="shared" ref="K173:T173" si="69">J175</f>
        <v>10.333333333333332</v>
      </c>
      <c r="L173" s="96">
        <f t="shared" si="69"/>
        <v>8.9999999999999982</v>
      </c>
      <c r="M173" s="96">
        <f t="shared" si="69"/>
        <v>7.6666666666666652</v>
      </c>
      <c r="N173" s="96">
        <f t="shared" si="69"/>
        <v>6.3333333333333321</v>
      </c>
      <c r="O173" s="96">
        <f t="shared" si="69"/>
        <v>4.9999999999999991</v>
      </c>
      <c r="P173" s="96">
        <f t="shared" si="69"/>
        <v>3.6666666666666661</v>
      </c>
      <c r="Q173" s="96">
        <f t="shared" si="69"/>
        <v>2.333333333333333</v>
      </c>
      <c r="R173" s="96">
        <f t="shared" si="69"/>
        <v>0.99999999999999978</v>
      </c>
      <c r="S173" s="96">
        <f t="shared" si="69"/>
        <v>0</v>
      </c>
      <c r="T173" s="96">
        <f t="shared" si="69"/>
        <v>0</v>
      </c>
    </row>
    <row r="174" spans="1:22" s="96" customFormat="1" ht="15" customHeight="1" x14ac:dyDescent="0.45">
      <c r="A174" s="98"/>
      <c r="B174" s="96" t="s">
        <v>59</v>
      </c>
      <c r="I174" s="96">
        <f>-MIN(I173,$H$175/Input!$C$28)*Postdeal_Percent</f>
        <v>-0.33333333333333331</v>
      </c>
      <c r="J174" s="96">
        <f>-MIN(J173,$H$175/Input!$C$28)</f>
        <v>-1.3333333333333333</v>
      </c>
      <c r="K174" s="96">
        <f>-MIN(K173,$H$175/Input!$C$28)</f>
        <v>-1.3333333333333333</v>
      </c>
      <c r="L174" s="96">
        <f>-MIN(L173,$H$175/Input!$C$28)</f>
        <v>-1.3333333333333333</v>
      </c>
      <c r="M174" s="96">
        <f>-MIN(M173,$H$175/Input!$C$28)</f>
        <v>-1.3333333333333333</v>
      </c>
      <c r="N174" s="96">
        <f>-MIN(N173,$H$175/Input!$C$28)</f>
        <v>-1.3333333333333333</v>
      </c>
      <c r="O174" s="96">
        <f>-MIN(O173,$H$175/Input!$C$28)</f>
        <v>-1.3333333333333333</v>
      </c>
      <c r="P174" s="96">
        <f>-MIN(P173,$H$175/Input!$C$28)</f>
        <v>-1.3333333333333333</v>
      </c>
      <c r="Q174" s="96">
        <f>-MIN(Q173,$H$175/Input!$C$28)</f>
        <v>-1.3333333333333333</v>
      </c>
      <c r="R174" s="96">
        <f>-MIN(R173,$H$175/Input!$C$28)</f>
        <v>-0.99999999999999978</v>
      </c>
      <c r="S174" s="96">
        <f>-MIN(S173,$H$175/Input!$C$28)</f>
        <v>0</v>
      </c>
      <c r="T174" s="96">
        <f>-MIN(T173,$H$175/Input!$C$28)</f>
        <v>0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H175" s="90">
        <f>Input!C16</f>
        <v>12</v>
      </c>
      <c r="I175" s="96">
        <f>SUM(I173:I174)</f>
        <v>11.666666666666666</v>
      </c>
      <c r="J175" s="96">
        <f>SUM(J173:J174)</f>
        <v>10.333333333333332</v>
      </c>
      <c r="K175" s="96">
        <f t="shared" ref="K175:T175" si="70">SUM(K173:K174)</f>
        <v>8.9999999999999982</v>
      </c>
      <c r="L175" s="96">
        <f t="shared" si="70"/>
        <v>7.6666666666666652</v>
      </c>
      <c r="M175" s="96">
        <f t="shared" si="70"/>
        <v>6.3333333333333321</v>
      </c>
      <c r="N175" s="96">
        <f t="shared" si="70"/>
        <v>4.9999999999999991</v>
      </c>
      <c r="O175" s="96">
        <f t="shared" si="70"/>
        <v>3.6666666666666661</v>
      </c>
      <c r="P175" s="96">
        <f t="shared" si="70"/>
        <v>2.333333333333333</v>
      </c>
      <c r="Q175" s="96">
        <f t="shared" si="70"/>
        <v>0.99999999999999978</v>
      </c>
      <c r="R175" s="96">
        <f t="shared" si="70"/>
        <v>0</v>
      </c>
      <c r="S175" s="96">
        <f t="shared" si="70"/>
        <v>0</v>
      </c>
      <c r="T175" s="96">
        <f t="shared" si="70"/>
        <v>0</v>
      </c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>
        <f>I64</f>
        <v>0</v>
      </c>
      <c r="J178" s="96">
        <f t="shared" ref="J178:T178" si="71">J64</f>
        <v>0</v>
      </c>
      <c r="K178" s="96">
        <f t="shared" si="71"/>
        <v>0</v>
      </c>
      <c r="L178" s="96">
        <f t="shared" si="71"/>
        <v>0</v>
      </c>
      <c r="M178" s="96">
        <f t="shared" si="71"/>
        <v>0</v>
      </c>
      <c r="N178" s="96">
        <f t="shared" si="71"/>
        <v>0</v>
      </c>
      <c r="O178" s="96">
        <f t="shared" si="71"/>
        <v>0</v>
      </c>
      <c r="P178" s="96">
        <f t="shared" si="71"/>
        <v>0</v>
      </c>
      <c r="Q178" s="96">
        <f t="shared" si="71"/>
        <v>0</v>
      </c>
      <c r="R178" s="96">
        <f t="shared" si="71"/>
        <v>0</v>
      </c>
      <c r="S178" s="96">
        <f t="shared" si="71"/>
        <v>0</v>
      </c>
      <c r="T178" s="96">
        <f t="shared" si="71"/>
        <v>0</v>
      </c>
      <c r="X178" s="96"/>
    </row>
    <row r="179" spans="1:35" ht="15" customHeight="1" x14ac:dyDescent="0.45">
      <c r="B179" s="90" t="s">
        <v>33</v>
      </c>
      <c r="I179" s="96">
        <f>I82</f>
        <v>0</v>
      </c>
      <c r="J179" s="96">
        <f t="shared" ref="J179:T179" si="72">J82</f>
        <v>0</v>
      </c>
      <c r="K179" s="96">
        <f t="shared" si="72"/>
        <v>0</v>
      </c>
      <c r="L179" s="96">
        <f t="shared" si="72"/>
        <v>0</v>
      </c>
      <c r="M179" s="96">
        <f t="shared" si="72"/>
        <v>0</v>
      </c>
      <c r="N179" s="96">
        <f t="shared" si="72"/>
        <v>0</v>
      </c>
      <c r="O179" s="96">
        <f t="shared" si="72"/>
        <v>0</v>
      </c>
      <c r="P179" s="96">
        <f t="shared" si="72"/>
        <v>0</v>
      </c>
      <c r="Q179" s="96">
        <f t="shared" si="72"/>
        <v>0</v>
      </c>
      <c r="R179" s="96">
        <f t="shared" si="72"/>
        <v>0</v>
      </c>
      <c r="S179" s="96">
        <f t="shared" si="72"/>
        <v>0</v>
      </c>
      <c r="T179" s="96">
        <f t="shared" si="72"/>
        <v>0</v>
      </c>
      <c r="X179" s="96"/>
    </row>
    <row r="180" spans="1:35" ht="15" customHeight="1" x14ac:dyDescent="0.45">
      <c r="B180" s="90" t="s">
        <v>160</v>
      </c>
      <c r="I180" s="96">
        <f>I159</f>
        <v>50</v>
      </c>
      <c r="J180" s="96">
        <f t="shared" ref="J180:T180" si="73">J159</f>
        <v>100</v>
      </c>
      <c r="K180" s="96">
        <f t="shared" si="73"/>
        <v>150</v>
      </c>
      <c r="L180" s="96">
        <f t="shared" si="73"/>
        <v>200</v>
      </c>
      <c r="M180" s="96">
        <f t="shared" si="73"/>
        <v>150</v>
      </c>
      <c r="N180" s="96">
        <f t="shared" si="73"/>
        <v>100</v>
      </c>
      <c r="O180" s="96">
        <f t="shared" si="73"/>
        <v>50</v>
      </c>
      <c r="P180" s="96">
        <f t="shared" si="73"/>
        <v>0</v>
      </c>
      <c r="Q180" s="96">
        <f t="shared" si="73"/>
        <v>0</v>
      </c>
      <c r="R180" s="96">
        <f t="shared" si="73"/>
        <v>0</v>
      </c>
      <c r="S180" s="96">
        <f t="shared" si="73"/>
        <v>0</v>
      </c>
      <c r="T180" s="96">
        <f t="shared" si="73"/>
        <v>0</v>
      </c>
      <c r="X180" s="96"/>
    </row>
    <row r="181" spans="1:35" ht="15" customHeight="1" x14ac:dyDescent="0.45">
      <c r="B181" s="90" t="s">
        <v>220</v>
      </c>
      <c r="I181" s="96">
        <f>I114</f>
        <v>794.87388943592498</v>
      </c>
      <c r="J181" s="96">
        <f t="shared" ref="J181:T181" si="74">J114</f>
        <v>697.52786506468624</v>
      </c>
      <c r="K181" s="96">
        <f t="shared" si="74"/>
        <v>541.65391294436006</v>
      </c>
      <c r="L181" s="96">
        <f t="shared" si="74"/>
        <v>447.46781387823592</v>
      </c>
      <c r="M181" s="96">
        <f t="shared" si="74"/>
        <v>332.33952540479925</v>
      </c>
      <c r="N181" s="96">
        <f t="shared" si="74"/>
        <v>236.13478903335533</v>
      </c>
      <c r="O181" s="96">
        <f t="shared" si="74"/>
        <v>0</v>
      </c>
      <c r="P181" s="96">
        <f t="shared" si="74"/>
        <v>0</v>
      </c>
      <c r="Q181" s="96">
        <f t="shared" si="74"/>
        <v>0</v>
      </c>
      <c r="R181" s="96">
        <f t="shared" si="74"/>
        <v>0</v>
      </c>
      <c r="S181" s="96">
        <f t="shared" si="74"/>
        <v>0</v>
      </c>
      <c r="T181" s="96">
        <f t="shared" si="74"/>
        <v>0</v>
      </c>
    </row>
    <row r="182" spans="1:35" ht="15" customHeight="1" x14ac:dyDescent="0.45">
      <c r="B182" s="90" t="s">
        <v>218</v>
      </c>
      <c r="I182" s="96">
        <f>I128</f>
        <v>300</v>
      </c>
      <c r="J182" s="96">
        <f t="shared" ref="J182:T182" si="75">J128</f>
        <v>300</v>
      </c>
      <c r="K182" s="96">
        <f t="shared" si="75"/>
        <v>300</v>
      </c>
      <c r="L182" s="96">
        <f t="shared" si="75"/>
        <v>300</v>
      </c>
      <c r="M182" s="96">
        <f t="shared" si="75"/>
        <v>300</v>
      </c>
      <c r="N182" s="96">
        <f t="shared" si="75"/>
        <v>300</v>
      </c>
      <c r="O182" s="96">
        <f t="shared" si="75"/>
        <v>241.4801610976921</v>
      </c>
      <c r="P182" s="96">
        <f t="shared" si="75"/>
        <v>0</v>
      </c>
      <c r="Q182" s="96">
        <f t="shared" si="75"/>
        <v>0</v>
      </c>
      <c r="R182" s="96">
        <f t="shared" si="75"/>
        <v>0</v>
      </c>
      <c r="S182" s="96">
        <f t="shared" si="75"/>
        <v>0</v>
      </c>
      <c r="T182" s="96">
        <f t="shared" si="75"/>
        <v>0</v>
      </c>
    </row>
    <row r="183" spans="1:35" ht="15" customHeight="1" x14ac:dyDescent="0.45">
      <c r="B183" s="90" t="s">
        <v>219</v>
      </c>
      <c r="I183" s="96">
        <f>I139</f>
        <v>100</v>
      </c>
      <c r="J183" s="96">
        <f t="shared" ref="J183:T183" si="76">J139</f>
        <v>100</v>
      </c>
      <c r="K183" s="96">
        <f t="shared" si="76"/>
        <v>100</v>
      </c>
      <c r="L183" s="96">
        <f t="shared" si="76"/>
        <v>100</v>
      </c>
      <c r="M183" s="96">
        <f t="shared" si="76"/>
        <v>100</v>
      </c>
      <c r="N183" s="96">
        <f t="shared" si="76"/>
        <v>100</v>
      </c>
      <c r="O183" s="96">
        <f t="shared" si="76"/>
        <v>100</v>
      </c>
      <c r="P183" s="96">
        <f t="shared" si="76"/>
        <v>100</v>
      </c>
      <c r="Q183" s="96">
        <f t="shared" si="76"/>
        <v>0</v>
      </c>
      <c r="R183" s="96">
        <f t="shared" si="76"/>
        <v>0</v>
      </c>
      <c r="S183" s="96">
        <f t="shared" si="76"/>
        <v>0</v>
      </c>
      <c r="T183" s="96">
        <f t="shared" si="76"/>
        <v>0</v>
      </c>
    </row>
    <row r="184" spans="1:35" ht="15" customHeight="1" x14ac:dyDescent="0.45">
      <c r="B184" s="90" t="s">
        <v>38</v>
      </c>
      <c r="I184" s="96">
        <f>I149</f>
        <v>102.5</v>
      </c>
      <c r="J184" s="96">
        <f t="shared" ref="J184:T184" si="77">J149</f>
        <v>112.75</v>
      </c>
      <c r="K184" s="96">
        <f t="shared" si="77"/>
        <v>124.02500000000001</v>
      </c>
      <c r="L184" s="96">
        <f t="shared" si="77"/>
        <v>136.42750000000001</v>
      </c>
      <c r="M184" s="96">
        <f t="shared" si="77"/>
        <v>150.07025000000002</v>
      </c>
      <c r="N184" s="96">
        <f t="shared" si="77"/>
        <v>165.07727500000001</v>
      </c>
      <c r="O184" s="96">
        <f t="shared" si="77"/>
        <v>181.58500250000003</v>
      </c>
      <c r="P184" s="96">
        <f t="shared" si="77"/>
        <v>199.74350275000003</v>
      </c>
      <c r="Q184" s="96">
        <f t="shared" si="77"/>
        <v>219.71785302500004</v>
      </c>
      <c r="R184" s="96">
        <f t="shared" si="77"/>
        <v>0</v>
      </c>
      <c r="S184" s="96">
        <f t="shared" si="77"/>
        <v>0</v>
      </c>
      <c r="T184" s="96">
        <f t="shared" si="77"/>
        <v>0</v>
      </c>
    </row>
    <row r="185" spans="1:35" ht="15" customHeight="1" x14ac:dyDescent="0.45">
      <c r="B185" s="90" t="s">
        <v>163</v>
      </c>
      <c r="I185" s="96">
        <f>SUM(I178:I184)</f>
        <v>1347.3738894359249</v>
      </c>
      <c r="J185" s="96">
        <f t="shared" ref="J185:T185" si="78">SUM(J178:J184)</f>
        <v>1310.2778650646862</v>
      </c>
      <c r="K185" s="96">
        <f t="shared" si="78"/>
        <v>1215.67891294436</v>
      </c>
      <c r="L185" s="96">
        <f t="shared" si="78"/>
        <v>1183.895313878236</v>
      </c>
      <c r="M185" s="96">
        <f t="shared" si="78"/>
        <v>1032.4097754047993</v>
      </c>
      <c r="N185" s="96">
        <f t="shared" si="78"/>
        <v>901.21206403335532</v>
      </c>
      <c r="O185" s="96">
        <f t="shared" si="78"/>
        <v>573.06516359769216</v>
      </c>
      <c r="P185" s="96">
        <f t="shared" si="78"/>
        <v>299.74350275000006</v>
      </c>
      <c r="Q185" s="96">
        <f t="shared" si="78"/>
        <v>219.71785302500004</v>
      </c>
      <c r="R185" s="96">
        <f t="shared" si="78"/>
        <v>0</v>
      </c>
      <c r="S185" s="96">
        <f t="shared" si="78"/>
        <v>0</v>
      </c>
      <c r="T185" s="96">
        <f t="shared" si="78"/>
        <v>0</v>
      </c>
    </row>
    <row r="187" spans="1:35" ht="15" customHeight="1" x14ac:dyDescent="0.45">
      <c r="A187" s="14" t="s">
        <v>180</v>
      </c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1:35" ht="15" customHeight="1" x14ac:dyDescent="0.45">
      <c r="B188" s="90" t="s">
        <v>168</v>
      </c>
      <c r="I188" s="96">
        <f>I33</f>
        <v>30.252221128149955</v>
      </c>
      <c r="J188" s="96">
        <f t="shared" ref="J188:T188" si="79">J33</f>
        <v>137.06593817840252</v>
      </c>
      <c r="K188" s="96">
        <f t="shared" si="79"/>
        <v>154.15187986941362</v>
      </c>
      <c r="L188" s="96">
        <f t="shared" si="79"/>
        <v>159.59544414417044</v>
      </c>
      <c r="M188" s="96">
        <f t="shared" si="79"/>
        <v>165.55235669537433</v>
      </c>
      <c r="N188" s="96">
        <f t="shared" si="79"/>
        <v>171.99606643690959</v>
      </c>
      <c r="O188" s="96">
        <f t="shared" si="79"/>
        <v>178.90801305911913</v>
      </c>
      <c r="P188" s="96">
        <f t="shared" si="79"/>
        <v>186.2762872823065</v>
      </c>
      <c r="Q188" s="96">
        <f t="shared" si="79"/>
        <v>194.09454519796481</v>
      </c>
      <c r="R188" s="96">
        <f t="shared" si="79"/>
        <v>202.36112997205612</v>
      </c>
      <c r="S188" s="96">
        <f t="shared" si="79"/>
        <v>211.07836284154769</v>
      </c>
      <c r="T188" s="96">
        <f t="shared" si="79"/>
        <v>220.25197239132788</v>
      </c>
    </row>
    <row r="189" spans="1:35" ht="15" customHeight="1" x14ac:dyDescent="0.45">
      <c r="B189" s="90" t="s">
        <v>169</v>
      </c>
      <c r="I189" s="96">
        <f>I45</f>
        <v>0</v>
      </c>
      <c r="J189" s="96">
        <f t="shared" ref="J189:T189" si="80">J45</f>
        <v>0</v>
      </c>
      <c r="K189" s="96">
        <f t="shared" si="80"/>
        <v>0</v>
      </c>
      <c r="L189" s="96">
        <f t="shared" si="80"/>
        <v>0</v>
      </c>
      <c r="M189" s="96">
        <f t="shared" si="80"/>
        <v>0</v>
      </c>
      <c r="N189" s="96">
        <f t="shared" si="80"/>
        <v>0</v>
      </c>
      <c r="O189" s="96">
        <f t="shared" si="80"/>
        <v>0</v>
      </c>
      <c r="P189" s="96">
        <f t="shared" si="80"/>
        <v>0</v>
      </c>
      <c r="Q189" s="96">
        <f t="shared" si="80"/>
        <v>0</v>
      </c>
      <c r="R189" s="96">
        <f t="shared" si="80"/>
        <v>0</v>
      </c>
      <c r="S189" s="96">
        <f t="shared" si="80"/>
        <v>0</v>
      </c>
      <c r="T189" s="96">
        <f t="shared" si="80"/>
        <v>0</v>
      </c>
    </row>
    <row r="190" spans="1:35" ht="15" customHeight="1" x14ac:dyDescent="0.45">
      <c r="B190" s="90" t="s">
        <v>221</v>
      </c>
      <c r="I190" s="96">
        <f>I52</f>
        <v>0</v>
      </c>
      <c r="J190" s="96">
        <f t="shared" ref="J190:T190" si="81">J52</f>
        <v>0</v>
      </c>
      <c r="K190" s="96">
        <f t="shared" si="81"/>
        <v>0</v>
      </c>
      <c r="L190" s="96">
        <f t="shared" si="81"/>
        <v>0</v>
      </c>
      <c r="M190" s="96">
        <f t="shared" si="81"/>
        <v>-50</v>
      </c>
      <c r="N190" s="96">
        <f t="shared" si="81"/>
        <v>-50</v>
      </c>
      <c r="O190" s="96">
        <f t="shared" si="81"/>
        <v>-286.13478903335533</v>
      </c>
      <c r="P190" s="96">
        <f t="shared" si="81"/>
        <v>-291.48016109769208</v>
      </c>
      <c r="Q190" s="96">
        <f t="shared" si="81"/>
        <v>-100</v>
      </c>
      <c r="R190" s="96">
        <f t="shared" si="81"/>
        <v>-241.68963832750003</v>
      </c>
      <c r="S190" s="96">
        <f t="shared" si="81"/>
        <v>0</v>
      </c>
      <c r="T190" s="96">
        <f t="shared" si="81"/>
        <v>0</v>
      </c>
    </row>
    <row r="191" spans="1:35" ht="15" customHeight="1" x14ac:dyDescent="0.45">
      <c r="B191" s="90" t="s">
        <v>181</v>
      </c>
      <c r="I191" s="96">
        <f>I62+I63</f>
        <v>-20</v>
      </c>
      <c r="J191" s="96">
        <f t="shared" ref="J191:T191" si="82">J62+J63</f>
        <v>0</v>
      </c>
      <c r="K191" s="96">
        <f t="shared" si="82"/>
        <v>0</v>
      </c>
      <c r="L191" s="96">
        <f t="shared" si="82"/>
        <v>0</v>
      </c>
      <c r="M191" s="96">
        <f t="shared" si="82"/>
        <v>0</v>
      </c>
      <c r="N191" s="96">
        <f t="shared" si="82"/>
        <v>0</v>
      </c>
      <c r="O191" s="96">
        <f t="shared" si="82"/>
        <v>0</v>
      </c>
      <c r="P191" s="96">
        <f t="shared" si="82"/>
        <v>0</v>
      </c>
      <c r="Q191" s="96">
        <f t="shared" si="82"/>
        <v>0</v>
      </c>
      <c r="R191" s="96">
        <f t="shared" si="82"/>
        <v>0</v>
      </c>
      <c r="S191" s="96">
        <f t="shared" si="82"/>
        <v>0</v>
      </c>
      <c r="T191" s="96">
        <f t="shared" si="82"/>
        <v>0</v>
      </c>
    </row>
    <row r="192" spans="1:35" ht="15" customHeight="1" x14ac:dyDescent="0.45">
      <c r="B192" s="90" t="s">
        <v>182</v>
      </c>
      <c r="I192" s="96">
        <f>I81</f>
        <v>0</v>
      </c>
      <c r="J192" s="96">
        <f t="shared" ref="J192:T192" si="83">J81</f>
        <v>0</v>
      </c>
      <c r="K192" s="96">
        <f t="shared" si="83"/>
        <v>0</v>
      </c>
      <c r="L192" s="96">
        <f t="shared" si="83"/>
        <v>0</v>
      </c>
      <c r="M192" s="96">
        <f t="shared" si="83"/>
        <v>0</v>
      </c>
      <c r="N192" s="96">
        <f t="shared" si="83"/>
        <v>0</v>
      </c>
      <c r="O192" s="96">
        <f t="shared" si="83"/>
        <v>0</v>
      </c>
      <c r="P192" s="96">
        <f t="shared" si="83"/>
        <v>0</v>
      </c>
      <c r="Q192" s="96">
        <f t="shared" si="83"/>
        <v>0</v>
      </c>
      <c r="R192" s="96">
        <f t="shared" si="83"/>
        <v>0</v>
      </c>
      <c r="S192" s="96">
        <f t="shared" si="83"/>
        <v>0</v>
      </c>
      <c r="T192" s="96">
        <f t="shared" si="83"/>
        <v>0</v>
      </c>
    </row>
    <row r="193" spans="1:20" ht="15" customHeight="1" x14ac:dyDescent="0.45">
      <c r="B193" s="90" t="s">
        <v>183</v>
      </c>
      <c r="I193" s="96">
        <f>I113</f>
        <v>-5.1261105640749776</v>
      </c>
      <c r="J193" s="96">
        <f t="shared" ref="J193:T193" si="84">J113</f>
        <v>-97.346024371238727</v>
      </c>
      <c r="K193" s="96">
        <f t="shared" si="84"/>
        <v>-155.87395212032618</v>
      </c>
      <c r="L193" s="96">
        <f t="shared" si="84"/>
        <v>-94.186099066124143</v>
      </c>
      <c r="M193" s="96">
        <f t="shared" si="84"/>
        <v>-115.12828847343667</v>
      </c>
      <c r="N193" s="96">
        <f t="shared" si="84"/>
        <v>-96.204736371443914</v>
      </c>
      <c r="O193" s="96">
        <f t="shared" si="84"/>
        <v>0</v>
      </c>
      <c r="P193" s="96">
        <f t="shared" si="84"/>
        <v>0</v>
      </c>
      <c r="Q193" s="96">
        <f t="shared" si="84"/>
        <v>0</v>
      </c>
      <c r="R193" s="96">
        <f t="shared" si="84"/>
        <v>0</v>
      </c>
      <c r="S193" s="96">
        <f t="shared" si="84"/>
        <v>0</v>
      </c>
      <c r="T193" s="96">
        <f t="shared" si="84"/>
        <v>0</v>
      </c>
    </row>
    <row r="194" spans="1:20" ht="15" customHeight="1" x14ac:dyDescent="0.45">
      <c r="B194" s="90" t="s">
        <v>184</v>
      </c>
      <c r="I194" s="96">
        <f>I127</f>
        <v>0</v>
      </c>
      <c r="J194" s="96">
        <f t="shared" ref="J194:T194" si="85">J127</f>
        <v>0</v>
      </c>
      <c r="K194" s="96">
        <f t="shared" si="85"/>
        <v>0</v>
      </c>
      <c r="L194" s="96">
        <f t="shared" si="85"/>
        <v>0</v>
      </c>
      <c r="M194" s="96">
        <f t="shared" si="85"/>
        <v>0</v>
      </c>
      <c r="N194" s="96">
        <f t="shared" si="85"/>
        <v>0</v>
      </c>
      <c r="O194" s="96">
        <f t="shared" si="85"/>
        <v>-58.519838902307896</v>
      </c>
      <c r="P194" s="96">
        <f t="shared" si="85"/>
        <v>0</v>
      </c>
      <c r="Q194" s="96">
        <f t="shared" si="85"/>
        <v>0</v>
      </c>
      <c r="R194" s="96">
        <f t="shared" si="85"/>
        <v>0</v>
      </c>
      <c r="S194" s="96">
        <f t="shared" si="85"/>
        <v>0</v>
      </c>
      <c r="T194" s="96">
        <f t="shared" si="85"/>
        <v>0</v>
      </c>
    </row>
    <row r="195" spans="1:20" ht="15" customHeight="1" x14ac:dyDescent="0.45">
      <c r="B195" s="90" t="s">
        <v>185</v>
      </c>
      <c r="I195" s="96">
        <f>I157</f>
        <v>50</v>
      </c>
      <c r="J195" s="96">
        <f t="shared" ref="J195:T195" si="86">J157</f>
        <v>50</v>
      </c>
      <c r="K195" s="96">
        <f t="shared" si="86"/>
        <v>50</v>
      </c>
      <c r="L195" s="96">
        <f t="shared" si="86"/>
        <v>50</v>
      </c>
      <c r="M195" s="96">
        <f t="shared" si="86"/>
        <v>0</v>
      </c>
      <c r="N195" s="96">
        <f t="shared" si="86"/>
        <v>0</v>
      </c>
      <c r="O195" s="96">
        <f t="shared" si="86"/>
        <v>0</v>
      </c>
      <c r="P195" s="96">
        <f t="shared" si="86"/>
        <v>0</v>
      </c>
      <c r="Q195" s="96">
        <f t="shared" si="86"/>
        <v>0</v>
      </c>
      <c r="R195" s="96">
        <f t="shared" si="86"/>
        <v>0</v>
      </c>
      <c r="S195" s="96">
        <f t="shared" si="86"/>
        <v>0</v>
      </c>
      <c r="T195" s="96">
        <f t="shared" si="86"/>
        <v>0</v>
      </c>
    </row>
    <row r="196" spans="1:20" ht="15" customHeight="1" x14ac:dyDescent="0.45">
      <c r="B196" s="90" t="s">
        <v>96</v>
      </c>
      <c r="I196" s="96">
        <f>SUM(I188:I195)</f>
        <v>55.126110564074978</v>
      </c>
      <c r="J196" s="96">
        <f t="shared" ref="J196:T196" si="87">SUM(J188:J195)</f>
        <v>89.719913807163792</v>
      </c>
      <c r="K196" s="96">
        <f t="shared" si="87"/>
        <v>48.277927749087439</v>
      </c>
      <c r="L196" s="96">
        <f t="shared" si="87"/>
        <v>115.4093450780463</v>
      </c>
      <c r="M196" s="96">
        <f t="shared" si="87"/>
        <v>0.42406822193765947</v>
      </c>
      <c r="N196" s="96">
        <f t="shared" si="87"/>
        <v>25.791330065465672</v>
      </c>
      <c r="O196" s="96">
        <f t="shared" si="87"/>
        <v>-165.7466148765441</v>
      </c>
      <c r="P196" s="96">
        <f t="shared" si="87"/>
        <v>-105.20387381538558</v>
      </c>
      <c r="Q196" s="96">
        <f t="shared" si="87"/>
        <v>94.094545197964806</v>
      </c>
      <c r="R196" s="96">
        <f t="shared" si="87"/>
        <v>-39.328508355443915</v>
      </c>
      <c r="S196" s="96">
        <f t="shared" si="87"/>
        <v>211.07836284154769</v>
      </c>
      <c r="T196" s="96">
        <f t="shared" si="87"/>
        <v>220.25197239132788</v>
      </c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>
        <f>H200</f>
        <v>30</v>
      </c>
      <c r="J198" s="96">
        <f t="shared" ref="J198:T198" si="88">I200</f>
        <v>85.126110564074978</v>
      </c>
      <c r="K198" s="96">
        <f t="shared" si="88"/>
        <v>174.84602437123877</v>
      </c>
      <c r="L198" s="96">
        <f t="shared" si="88"/>
        <v>223.12395212032621</v>
      </c>
      <c r="M198" s="96">
        <f t="shared" si="88"/>
        <v>338.53329719837251</v>
      </c>
      <c r="N198" s="96">
        <f t="shared" si="88"/>
        <v>338.95736542031017</v>
      </c>
      <c r="O198" s="96">
        <f t="shared" si="88"/>
        <v>364.74869548577584</v>
      </c>
      <c r="P198" s="96">
        <f t="shared" si="88"/>
        <v>199.00208060923174</v>
      </c>
      <c r="Q198" s="96">
        <f t="shared" si="88"/>
        <v>93.798206793846163</v>
      </c>
      <c r="R198" s="96">
        <f t="shared" si="88"/>
        <v>187.89275199181097</v>
      </c>
      <c r="S198" s="96">
        <f t="shared" si="88"/>
        <v>148.56424363636705</v>
      </c>
      <c r="T198" s="96">
        <f t="shared" si="88"/>
        <v>359.64260647791474</v>
      </c>
    </row>
    <row r="199" spans="1:20" ht="15" customHeight="1" x14ac:dyDescent="0.45">
      <c r="B199" s="90" t="s">
        <v>96</v>
      </c>
      <c r="I199" s="96">
        <f>I196</f>
        <v>55.126110564074978</v>
      </c>
      <c r="J199" s="96">
        <f t="shared" ref="J199:T199" si="89">J196</f>
        <v>89.719913807163792</v>
      </c>
      <c r="K199" s="96">
        <f t="shared" si="89"/>
        <v>48.277927749087439</v>
      </c>
      <c r="L199" s="96">
        <f t="shared" si="89"/>
        <v>115.4093450780463</v>
      </c>
      <c r="M199" s="96">
        <f t="shared" si="89"/>
        <v>0.42406822193765947</v>
      </c>
      <c r="N199" s="96">
        <f t="shared" si="89"/>
        <v>25.791330065465672</v>
      </c>
      <c r="O199" s="96">
        <f t="shared" si="89"/>
        <v>-165.7466148765441</v>
      </c>
      <c r="P199" s="96">
        <f t="shared" si="89"/>
        <v>-105.20387381538558</v>
      </c>
      <c r="Q199" s="96">
        <f t="shared" si="89"/>
        <v>94.094545197964806</v>
      </c>
      <c r="R199" s="96">
        <f t="shared" si="89"/>
        <v>-39.328508355443915</v>
      </c>
      <c r="S199" s="96">
        <f t="shared" si="89"/>
        <v>211.07836284154769</v>
      </c>
      <c r="T199" s="96">
        <f t="shared" si="89"/>
        <v>220.25197239132788</v>
      </c>
    </row>
    <row r="200" spans="1:20" ht="15" customHeight="1" x14ac:dyDescent="0.45">
      <c r="B200" s="90" t="s">
        <v>186</v>
      </c>
      <c r="H200" s="90">
        <f>Deal_Date!H61</f>
        <v>30</v>
      </c>
      <c r="I200" s="96">
        <f>SUM(I198:I199)</f>
        <v>85.126110564074978</v>
      </c>
      <c r="J200" s="96">
        <f t="shared" ref="J200:T200" si="90">SUM(J198:J199)</f>
        <v>174.84602437123877</v>
      </c>
      <c r="K200" s="96">
        <f t="shared" si="90"/>
        <v>223.12395212032621</v>
      </c>
      <c r="L200" s="96">
        <f t="shared" si="90"/>
        <v>338.53329719837251</v>
      </c>
      <c r="M200" s="96">
        <f t="shared" si="90"/>
        <v>338.95736542031017</v>
      </c>
      <c r="N200" s="96">
        <f t="shared" si="90"/>
        <v>364.74869548577584</v>
      </c>
      <c r="O200" s="96">
        <f t="shared" si="90"/>
        <v>199.00208060923174</v>
      </c>
      <c r="P200" s="96">
        <f t="shared" si="90"/>
        <v>93.798206793846163</v>
      </c>
      <c r="Q200" s="96">
        <f t="shared" si="90"/>
        <v>187.89275199181097</v>
      </c>
      <c r="R200" s="96">
        <f t="shared" si="90"/>
        <v>148.56424363636705</v>
      </c>
      <c r="S200" s="96">
        <f t="shared" si="90"/>
        <v>359.64260647791474</v>
      </c>
      <c r="T200" s="96">
        <f t="shared" si="90"/>
        <v>579.89457886924265</v>
      </c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  <c r="I204" s="90">
        <f>H208</f>
        <v>30</v>
      </c>
      <c r="J204" s="90">
        <f t="shared" ref="J204:T204" si="91">I208</f>
        <v>85.126110564074978</v>
      </c>
      <c r="K204" s="90">
        <f t="shared" si="91"/>
        <v>174.84602437123874</v>
      </c>
      <c r="L204" s="90">
        <f t="shared" si="91"/>
        <v>223.12395212032618</v>
      </c>
      <c r="M204" s="90">
        <f t="shared" si="91"/>
        <v>338.53329719837245</v>
      </c>
      <c r="N204" s="90">
        <f t="shared" si="91"/>
        <v>338.95736542031011</v>
      </c>
      <c r="O204" s="90">
        <f t="shared" si="91"/>
        <v>364.74869548577578</v>
      </c>
      <c r="P204" s="90">
        <f t="shared" si="91"/>
        <v>199.00208060923168</v>
      </c>
      <c r="Q204" s="90">
        <f t="shared" si="91"/>
        <v>93.798206793846106</v>
      </c>
      <c r="R204" s="90">
        <f t="shared" si="91"/>
        <v>187.89275199181091</v>
      </c>
      <c r="S204" s="90">
        <f t="shared" si="91"/>
        <v>148.564243636367</v>
      </c>
      <c r="T204" s="90">
        <f t="shared" si="91"/>
        <v>359.64260647791468</v>
      </c>
    </row>
    <row r="205" spans="1:20" ht="15" customHeight="1" x14ac:dyDescent="0.45">
      <c r="B205" s="64" t="s">
        <v>248</v>
      </c>
      <c r="C205" s="96"/>
      <c r="D205" s="96"/>
      <c r="E205" s="96"/>
      <c r="F205" s="96"/>
      <c r="I205" s="90">
        <f>SUM(I188:I192)</f>
        <v>10.252221128149955</v>
      </c>
      <c r="J205" s="90">
        <f t="shared" ref="J205:T205" si="92">SUM(J188:J192)</f>
        <v>137.06593817840252</v>
      </c>
      <c r="K205" s="90">
        <f t="shared" si="92"/>
        <v>154.15187986941362</v>
      </c>
      <c r="L205" s="90">
        <f t="shared" si="92"/>
        <v>159.59544414417044</v>
      </c>
      <c r="M205" s="90">
        <f t="shared" si="92"/>
        <v>115.55235669537433</v>
      </c>
      <c r="N205" s="90">
        <f t="shared" si="92"/>
        <v>121.99606643690959</v>
      </c>
      <c r="O205" s="90">
        <f t="shared" si="92"/>
        <v>-107.2267759742362</v>
      </c>
      <c r="P205" s="90">
        <f t="shared" si="92"/>
        <v>-105.20387381538558</v>
      </c>
      <c r="Q205" s="90">
        <f t="shared" si="92"/>
        <v>94.094545197964806</v>
      </c>
      <c r="R205" s="90">
        <f t="shared" si="92"/>
        <v>-39.328508355443915</v>
      </c>
      <c r="S205" s="90">
        <f t="shared" si="92"/>
        <v>211.07836284154769</v>
      </c>
      <c r="T205" s="90">
        <f t="shared" si="92"/>
        <v>220.25197239132788</v>
      </c>
    </row>
    <row r="206" spans="1:20" ht="15" customHeight="1" x14ac:dyDescent="0.45">
      <c r="B206" s="64" t="s">
        <v>249</v>
      </c>
      <c r="C206" s="96"/>
      <c r="D206" s="96"/>
      <c r="E206" s="96"/>
      <c r="F206" s="96"/>
      <c r="I206" s="90">
        <f>I127+I113</f>
        <v>-5.1261105640749776</v>
      </c>
      <c r="J206" s="90">
        <f t="shared" ref="J206:T206" si="93">J127+J113</f>
        <v>-97.346024371238727</v>
      </c>
      <c r="K206" s="90">
        <f t="shared" si="93"/>
        <v>-155.87395212032618</v>
      </c>
      <c r="L206" s="90">
        <f t="shared" si="93"/>
        <v>-94.186099066124143</v>
      </c>
      <c r="M206" s="90">
        <f t="shared" si="93"/>
        <v>-115.12828847343667</v>
      </c>
      <c r="N206" s="90">
        <f t="shared" si="93"/>
        <v>-96.204736371443914</v>
      </c>
      <c r="O206" s="90">
        <f t="shared" si="93"/>
        <v>-58.519838902307896</v>
      </c>
      <c r="P206" s="90">
        <f t="shared" si="93"/>
        <v>0</v>
      </c>
      <c r="Q206" s="90">
        <f t="shared" si="93"/>
        <v>0</v>
      </c>
      <c r="R206" s="90">
        <f t="shared" si="93"/>
        <v>0</v>
      </c>
      <c r="S206" s="90">
        <f t="shared" si="93"/>
        <v>0</v>
      </c>
      <c r="T206" s="90">
        <f t="shared" si="93"/>
        <v>0</v>
      </c>
    </row>
    <row r="207" spans="1:20" ht="15" customHeight="1" x14ac:dyDescent="0.45">
      <c r="B207" s="64" t="s">
        <v>250</v>
      </c>
      <c r="C207" s="96"/>
      <c r="D207" s="96"/>
      <c r="E207" s="96"/>
      <c r="F207" s="96"/>
      <c r="I207" s="90">
        <f>I157</f>
        <v>50</v>
      </c>
      <c r="J207" s="90">
        <f t="shared" ref="J207:T207" si="94">J157</f>
        <v>50</v>
      </c>
      <c r="K207" s="90">
        <f t="shared" si="94"/>
        <v>50</v>
      </c>
      <c r="L207" s="90">
        <f t="shared" si="94"/>
        <v>50</v>
      </c>
      <c r="M207" s="90">
        <f t="shared" si="94"/>
        <v>0</v>
      </c>
      <c r="N207" s="90">
        <f t="shared" si="94"/>
        <v>0</v>
      </c>
      <c r="O207" s="90">
        <f t="shared" si="94"/>
        <v>0</v>
      </c>
      <c r="P207" s="90">
        <f t="shared" si="94"/>
        <v>0</v>
      </c>
      <c r="Q207" s="90">
        <f t="shared" si="94"/>
        <v>0</v>
      </c>
      <c r="R207" s="90">
        <f t="shared" si="94"/>
        <v>0</v>
      </c>
      <c r="S207" s="90">
        <f t="shared" si="94"/>
        <v>0</v>
      </c>
      <c r="T207" s="90">
        <f t="shared" si="94"/>
        <v>0</v>
      </c>
    </row>
    <row r="208" spans="1:20" ht="15" customHeight="1" x14ac:dyDescent="0.45">
      <c r="B208" s="90" t="s">
        <v>186</v>
      </c>
      <c r="C208" s="96"/>
      <c r="D208" s="96"/>
      <c r="E208" s="96"/>
      <c r="F208" s="96"/>
      <c r="H208" s="90">
        <f>H200</f>
        <v>30</v>
      </c>
      <c r="I208" s="90">
        <f>SUM(I204:I207)</f>
        <v>85.126110564074978</v>
      </c>
      <c r="J208" s="90">
        <f t="shared" ref="J208:T208" si="95">SUM(J204:J207)</f>
        <v>174.84602437123874</v>
      </c>
      <c r="K208" s="90">
        <f t="shared" si="95"/>
        <v>223.12395212032618</v>
      </c>
      <c r="L208" s="90">
        <f t="shared" si="95"/>
        <v>338.53329719837245</v>
      </c>
      <c r="M208" s="90">
        <f t="shared" si="95"/>
        <v>338.95736542031011</v>
      </c>
      <c r="N208" s="90">
        <f t="shared" si="95"/>
        <v>364.74869548577578</v>
      </c>
      <c r="O208" s="90">
        <f t="shared" si="95"/>
        <v>199.00208060923168</v>
      </c>
      <c r="P208" s="90">
        <f t="shared" si="95"/>
        <v>93.798206793846106</v>
      </c>
      <c r="Q208" s="90">
        <f t="shared" si="95"/>
        <v>187.89275199181091</v>
      </c>
      <c r="R208" s="90">
        <f t="shared" si="95"/>
        <v>148.564243636367</v>
      </c>
      <c r="S208" s="90">
        <f t="shared" si="95"/>
        <v>359.64260647791468</v>
      </c>
      <c r="T208" s="90">
        <f t="shared" si="95"/>
        <v>579.89457886924254</v>
      </c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862518B-9960-4661-8B80-4CC1770F39E5}"/>
</file>

<file path=customXml/itemProps2.xml><?xml version="1.0" encoding="utf-8"?>
<ds:datastoreItem xmlns:ds="http://schemas.openxmlformats.org/officeDocument/2006/customXml" ds:itemID="{338CC184-EED0-40BF-9873-4BEFC9A0305B}"/>
</file>

<file path=customXml/itemProps3.xml><?xml version="1.0" encoding="utf-8"?>
<ds:datastoreItem xmlns:ds="http://schemas.openxmlformats.org/officeDocument/2006/customXml" ds:itemID="{7B78A1E0-1FC6-43F5-B341-484B90C9A6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2019-11-14T13:47:08Z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