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G:\My Drive\Advanced LBO Modeling\Advanced LBO Modeling Recordings\7 Stub Period - Income Statement\"/>
    </mc:Choice>
  </mc:AlternateContent>
  <xr:revisionPtr revIDLastSave="0" documentId="13_ncr:1_{809768D1-8584-4CBB-9AA5-79A84761E641}" xr6:coauthVersionLast="45" xr6:coauthVersionMax="45" xr10:uidLastSave="{00000000-0000-0000-0000-000000000000}"/>
  <bookViews>
    <workbookView xWindow="-98" yWindow="-98" windowWidth="20715" windowHeight="13425" tabRatio="880" xr2:uid="{00000000-000D-0000-FFFF-FFFF00000000}"/>
  </bookViews>
  <sheets>
    <sheet name="Welcome" sheetId="1" r:id="rId1"/>
    <sheet name="Info" sheetId="6" r:id="rId2"/>
    <sheet name="Input" sheetId="2" r:id="rId3"/>
    <sheet name="Model" sheetId="12" r:id="rId4"/>
    <sheet name="Deal_Date" sheetId="8" r:id="rId5"/>
    <sheet name="Deal_Model" sheetId="7" r:id="rId6"/>
    <sheet name="Debt_Schedule" sheetId="13" r:id="rId7"/>
    <sheet name="Returns" sheetId="14" r:id="rId8"/>
  </sheets>
  <definedNames>
    <definedName name="_xlnm._FilterDatabase" localSheetId="6" hidden="1">Debt_Schedule!$I$92:$J$92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Postdeal_Percent">Deal_Date!$C$11</definedName>
    <definedName name="Predeal_Percent">Deal_Date!$C$10</definedName>
    <definedName name="switch">Info!$N$10</definedName>
  </definedNames>
  <calcPr calcId="191029" calcMode="autoNoTable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7" i="7" l="1"/>
  <c r="G88" i="8" l="1"/>
  <c r="G85" i="8"/>
  <c r="G84" i="8"/>
  <c r="G79" i="8"/>
  <c r="G80" i="8"/>
  <c r="H80" i="8" s="1"/>
  <c r="G81" i="8"/>
  <c r="G82" i="8"/>
  <c r="H82" i="8" s="1"/>
  <c r="G83" i="8"/>
  <c r="G78" i="8"/>
  <c r="G77" i="8"/>
  <c r="G72" i="8"/>
  <c r="G68" i="8"/>
  <c r="G61" i="8"/>
  <c r="H88" i="8"/>
  <c r="H85" i="8"/>
  <c r="H84" i="8"/>
  <c r="H83" i="8"/>
  <c r="H81" i="8"/>
  <c r="H79" i="8"/>
  <c r="H78" i="8"/>
  <c r="H77" i="8"/>
  <c r="H74" i="8"/>
  <c r="H73" i="8"/>
  <c r="H72" i="8"/>
  <c r="H75" i="8" s="1"/>
  <c r="H69" i="8"/>
  <c r="H68" i="8"/>
  <c r="H67" i="8"/>
  <c r="H66" i="8"/>
  <c r="H63" i="8"/>
  <c r="H62" i="8"/>
  <c r="H61" i="8"/>
  <c r="H64" i="8" s="1"/>
  <c r="H70" i="8" s="1"/>
  <c r="H86" i="8" l="1"/>
  <c r="H89" i="8" s="1"/>
  <c r="I13" i="2" l="1"/>
  <c r="I12" i="2"/>
  <c r="C18" i="2"/>
  <c r="C17" i="2"/>
  <c r="C16" i="2"/>
  <c r="C15" i="2"/>
  <c r="C14" i="2"/>
  <c r="C12" i="2"/>
  <c r="F61" i="8" l="1"/>
  <c r="F128" i="8"/>
  <c r="F127" i="8"/>
  <c r="F126" i="8"/>
  <c r="E128" i="8"/>
  <c r="F124" i="8"/>
  <c r="F123" i="8"/>
  <c r="F116" i="8"/>
  <c r="F115" i="8"/>
  <c r="F113" i="8"/>
  <c r="F112" i="8"/>
  <c r="F110" i="8"/>
  <c r="F109" i="8"/>
  <c r="F108" i="8"/>
  <c r="F107" i="8"/>
  <c r="F106" i="8"/>
  <c r="F105" i="8"/>
  <c r="F104" i="8"/>
  <c r="F103" i="8"/>
  <c r="F102" i="8"/>
  <c r="F100" i="8"/>
  <c r="F101" i="8"/>
  <c r="F97" i="8"/>
  <c r="F98" i="8"/>
  <c r="F99" i="8"/>
  <c r="F96" i="8"/>
  <c r="F95" i="8"/>
  <c r="F94" i="8"/>
  <c r="F88" i="8" l="1"/>
  <c r="F67" i="8"/>
  <c r="F66" i="8"/>
  <c r="F89" i="8"/>
  <c r="F86" i="8"/>
  <c r="F75" i="8"/>
  <c r="F64" i="8"/>
  <c r="F85" i="8"/>
  <c r="F77" i="8"/>
  <c r="F74" i="8"/>
  <c r="F73" i="8"/>
  <c r="F72" i="8"/>
  <c r="F69" i="8"/>
  <c r="F63" i="8"/>
  <c r="F62" i="8"/>
  <c r="F58" i="8"/>
  <c r="F32" i="8" s="1"/>
  <c r="F56" i="8"/>
  <c r="F31" i="8" s="1"/>
  <c r="F55" i="8"/>
  <c r="F53" i="8"/>
  <c r="F43" i="8"/>
  <c r="F41" i="8"/>
  <c r="F40" i="8"/>
  <c r="F39" i="8"/>
  <c r="F37" i="8"/>
  <c r="F36" i="8"/>
  <c r="F30" i="8"/>
  <c r="E33" i="8"/>
  <c r="F26" i="8"/>
  <c r="F27" i="8" s="1"/>
  <c r="F25" i="8"/>
  <c r="E27" i="8"/>
  <c r="F22" i="8"/>
  <c r="F21" i="8"/>
  <c r="F20" i="8"/>
  <c r="F19" i="8"/>
  <c r="E22" i="8"/>
  <c r="C10" i="8"/>
  <c r="C11" i="8"/>
  <c r="F70" i="8" l="1"/>
  <c r="F91" i="8"/>
  <c r="F33" i="8"/>
  <c r="I118" i="7" l="1"/>
  <c r="I107" i="7"/>
  <c r="E73" i="8" l="1"/>
  <c r="E74" i="8"/>
  <c r="E72" i="8"/>
  <c r="E75" i="8" s="1"/>
  <c r="E86" i="8" s="1"/>
  <c r="E89" i="8" s="1"/>
  <c r="E69" i="8"/>
  <c r="E88" i="8"/>
  <c r="E85" i="8"/>
  <c r="E77" i="8"/>
  <c r="E70" i="8"/>
  <c r="E64" i="8"/>
  <c r="E62" i="8"/>
  <c r="E63" i="8"/>
  <c r="E66" i="8"/>
  <c r="E67" i="8"/>
  <c r="E61" i="8"/>
  <c r="I15" i="8" l="1"/>
  <c r="C28" i="2" l="1"/>
  <c r="C7" i="8"/>
  <c r="C8" i="8"/>
  <c r="I41" i="7"/>
  <c r="I92" i="7" s="1"/>
  <c r="I33" i="7"/>
  <c r="I34" i="7"/>
  <c r="F31" i="7"/>
  <c r="J8" i="7"/>
  <c r="I63" i="7"/>
  <c r="J9" i="7"/>
  <c r="I56" i="7"/>
  <c r="I57" i="7"/>
  <c r="I67" i="7"/>
  <c r="I68" i="7"/>
  <c r="K8" i="7"/>
  <c r="K9" i="7"/>
  <c r="L8" i="7"/>
  <c r="L9" i="7"/>
  <c r="M8" i="7"/>
  <c r="M9" i="7"/>
  <c r="N8" i="7"/>
  <c r="N9" i="7"/>
  <c r="O8" i="7"/>
  <c r="O9" i="7"/>
  <c r="P8" i="7"/>
  <c r="P9" i="7"/>
  <c r="Q8" i="7"/>
  <c r="Q9" i="7"/>
  <c r="R8" i="7"/>
  <c r="R9" i="7"/>
  <c r="S8" i="7"/>
  <c r="S9" i="7"/>
  <c r="T8" i="7"/>
  <c r="T9" i="7"/>
  <c r="L5" i="2"/>
  <c r="J7" i="13"/>
  <c r="K7" i="13"/>
  <c r="L7" i="13"/>
  <c r="M7" i="13"/>
  <c r="N7" i="13"/>
  <c r="O7" i="13"/>
  <c r="P7" i="13"/>
  <c r="Q7" i="13"/>
  <c r="R7" i="13"/>
  <c r="S7" i="13"/>
  <c r="T7" i="13"/>
  <c r="L6" i="2"/>
  <c r="J8" i="13"/>
  <c r="K8" i="13"/>
  <c r="L8" i="13"/>
  <c r="M8" i="13"/>
  <c r="N8" i="13"/>
  <c r="O8" i="13"/>
  <c r="P8" i="13"/>
  <c r="Q8" i="13"/>
  <c r="R8" i="13"/>
  <c r="S8" i="13"/>
  <c r="T8" i="13"/>
  <c r="L7" i="2"/>
  <c r="J9" i="13"/>
  <c r="K9" i="13"/>
  <c r="L9" i="13"/>
  <c r="M9" i="13"/>
  <c r="N9" i="13"/>
  <c r="O9" i="13"/>
  <c r="P9" i="13"/>
  <c r="Q9" i="13"/>
  <c r="R9" i="13"/>
  <c r="S9" i="13"/>
  <c r="T9" i="13"/>
  <c r="L8" i="2"/>
  <c r="J10" i="13"/>
  <c r="K10" i="13"/>
  <c r="L10" i="13"/>
  <c r="M10" i="13"/>
  <c r="N10" i="13"/>
  <c r="O10" i="13"/>
  <c r="P10" i="13"/>
  <c r="Q10" i="13"/>
  <c r="R10" i="13"/>
  <c r="S10" i="13"/>
  <c r="T10" i="13"/>
  <c r="L9" i="2"/>
  <c r="J11" i="13"/>
  <c r="K11" i="13"/>
  <c r="L11" i="13"/>
  <c r="M11" i="13"/>
  <c r="N11" i="13"/>
  <c r="O11" i="13"/>
  <c r="P11" i="13"/>
  <c r="Q11" i="13"/>
  <c r="R11" i="13"/>
  <c r="S11" i="13"/>
  <c r="T11" i="13"/>
  <c r="J12" i="13"/>
  <c r="K12" i="13"/>
  <c r="L12" i="13"/>
  <c r="M12" i="13"/>
  <c r="N12" i="13"/>
  <c r="O12" i="13"/>
  <c r="P12" i="13"/>
  <c r="Q12" i="13"/>
  <c r="R12" i="13"/>
  <c r="S12" i="13"/>
  <c r="T12" i="13"/>
  <c r="J13" i="13"/>
  <c r="K13" i="13"/>
  <c r="L13" i="13"/>
  <c r="M13" i="13"/>
  <c r="N13" i="13"/>
  <c r="O13" i="13"/>
  <c r="P13" i="13"/>
  <c r="Q13" i="13"/>
  <c r="R13" i="13"/>
  <c r="S13" i="13"/>
  <c r="T13" i="13"/>
  <c r="I13" i="13"/>
  <c r="I12" i="13"/>
  <c r="I11" i="13"/>
  <c r="I10" i="13"/>
  <c r="I9" i="13"/>
  <c r="I8" i="13"/>
  <c r="I7" i="13"/>
  <c r="F2" i="7"/>
  <c r="D2" i="7"/>
  <c r="E2" i="7"/>
  <c r="I2" i="7"/>
  <c r="I3" i="7"/>
  <c r="F35" i="7"/>
  <c r="F47" i="7" s="1"/>
  <c r="I14" i="8"/>
  <c r="I14" i="7"/>
  <c r="I15" i="7"/>
  <c r="I20" i="7"/>
  <c r="I30" i="7"/>
  <c r="I31" i="7"/>
  <c r="I35" i="7" s="1"/>
  <c r="I37" i="7"/>
  <c r="I44" i="7"/>
  <c r="I95" i="7" s="1"/>
  <c r="I89" i="7"/>
  <c r="I98" i="7"/>
  <c r="I102" i="7"/>
  <c r="F71" i="7"/>
  <c r="F66" i="7"/>
  <c r="F56" i="7"/>
  <c r="F57" i="7"/>
  <c r="F63" i="7"/>
  <c r="F67" i="7"/>
  <c r="F68" i="7"/>
  <c r="J86" i="12"/>
  <c r="K86" i="12"/>
  <c r="L86" i="12"/>
  <c r="M86" i="12"/>
  <c r="N86" i="12"/>
  <c r="O86" i="12"/>
  <c r="P86" i="12"/>
  <c r="Q86" i="12"/>
  <c r="R86" i="12"/>
  <c r="S86" i="12"/>
  <c r="T86" i="12"/>
  <c r="I45" i="12"/>
  <c r="I46" i="12"/>
  <c r="E31" i="12"/>
  <c r="I28" i="12"/>
  <c r="I30" i="12"/>
  <c r="I48" i="12"/>
  <c r="I35" i="12"/>
  <c r="I49" i="12"/>
  <c r="I50" i="12"/>
  <c r="I86" i="12"/>
  <c r="E68" i="12"/>
  <c r="I68" i="12"/>
  <c r="I77" i="12"/>
  <c r="I62" i="12"/>
  <c r="I63" i="12"/>
  <c r="I72" i="12"/>
  <c r="I73" i="12"/>
  <c r="E73" i="12"/>
  <c r="J45" i="12"/>
  <c r="K45" i="12"/>
  <c r="K46" i="12"/>
  <c r="I29" i="12"/>
  <c r="I31" i="12"/>
  <c r="J28" i="12"/>
  <c r="J29" i="12"/>
  <c r="J30" i="12"/>
  <c r="J31" i="12"/>
  <c r="K28" i="12"/>
  <c r="K30" i="12"/>
  <c r="K35" i="12"/>
  <c r="L45" i="12"/>
  <c r="L46" i="12"/>
  <c r="K29" i="12"/>
  <c r="K31" i="12"/>
  <c r="L28" i="12"/>
  <c r="L30" i="12"/>
  <c r="L35" i="12"/>
  <c r="M45" i="12"/>
  <c r="M46" i="12"/>
  <c r="L29" i="12"/>
  <c r="L31" i="12"/>
  <c r="M28" i="12"/>
  <c r="M30" i="12"/>
  <c r="M35" i="12"/>
  <c r="N45" i="12"/>
  <c r="N46" i="12"/>
  <c r="M29" i="12"/>
  <c r="M31" i="12"/>
  <c r="N28" i="12"/>
  <c r="N30" i="12"/>
  <c r="N35" i="12"/>
  <c r="O45" i="12"/>
  <c r="O46" i="12"/>
  <c r="N29" i="12"/>
  <c r="N31" i="12"/>
  <c r="O28" i="12"/>
  <c r="O30" i="12"/>
  <c r="O35" i="12"/>
  <c r="P45" i="12"/>
  <c r="P46" i="12"/>
  <c r="O29" i="12"/>
  <c r="O31" i="12"/>
  <c r="P28" i="12"/>
  <c r="P30" i="12"/>
  <c r="P35" i="12"/>
  <c r="Q45" i="12"/>
  <c r="Q46" i="12"/>
  <c r="P29" i="12"/>
  <c r="P31" i="12"/>
  <c r="Q28" i="12"/>
  <c r="Q30" i="12"/>
  <c r="Q35" i="12"/>
  <c r="R45" i="12"/>
  <c r="R46" i="12"/>
  <c r="Q29" i="12"/>
  <c r="Q31" i="12"/>
  <c r="R28" i="12"/>
  <c r="R30" i="12"/>
  <c r="R35" i="12"/>
  <c r="S45" i="12"/>
  <c r="S46" i="12"/>
  <c r="R29" i="12"/>
  <c r="R31" i="12"/>
  <c r="S28" i="12"/>
  <c r="S30" i="12"/>
  <c r="S35" i="12"/>
  <c r="T45" i="12"/>
  <c r="T46" i="12"/>
  <c r="S29" i="12"/>
  <c r="S31" i="12"/>
  <c r="T28" i="12"/>
  <c r="T30" i="12"/>
  <c r="T35" i="12"/>
  <c r="J46" i="12"/>
  <c r="J35" i="12"/>
  <c r="D35" i="7"/>
  <c r="D47" i="7"/>
  <c r="E35" i="7"/>
  <c r="E47" i="7"/>
  <c r="C35" i="7"/>
  <c r="C47" i="7"/>
  <c r="I58" i="12"/>
  <c r="I71" i="12"/>
  <c r="I76" i="12"/>
  <c r="F2" i="8"/>
  <c r="D2" i="8"/>
  <c r="E2" i="8"/>
  <c r="F3" i="8"/>
  <c r="J68" i="12"/>
  <c r="J62" i="12"/>
  <c r="J63" i="12"/>
  <c r="J72" i="12"/>
  <c r="J73" i="12"/>
  <c r="K68" i="12"/>
  <c r="K62" i="12"/>
  <c r="K63" i="12"/>
  <c r="K72" i="12"/>
  <c r="K73" i="12"/>
  <c r="L68" i="12"/>
  <c r="L62" i="12"/>
  <c r="L63" i="12"/>
  <c r="L72" i="12"/>
  <c r="L73" i="12"/>
  <c r="M68" i="12"/>
  <c r="M62" i="12"/>
  <c r="M63" i="12"/>
  <c r="M72" i="12"/>
  <c r="M73" i="12"/>
  <c r="N68" i="12"/>
  <c r="N62" i="12"/>
  <c r="N63" i="12"/>
  <c r="N72" i="12"/>
  <c r="N73" i="12"/>
  <c r="O68" i="12"/>
  <c r="O62" i="12"/>
  <c r="O63" i="12"/>
  <c r="O72" i="12"/>
  <c r="O73" i="12"/>
  <c r="P68" i="12"/>
  <c r="P62" i="12"/>
  <c r="P63" i="12"/>
  <c r="P72" i="12"/>
  <c r="P73" i="12"/>
  <c r="Q68" i="12"/>
  <c r="Q62" i="12"/>
  <c r="Q63" i="12"/>
  <c r="Q72" i="12"/>
  <c r="Q73" i="12"/>
  <c r="R68" i="12"/>
  <c r="R62" i="12"/>
  <c r="R63" i="12"/>
  <c r="R72" i="12"/>
  <c r="R73" i="12"/>
  <c r="S68" i="12"/>
  <c r="S62" i="12"/>
  <c r="S63" i="12"/>
  <c r="S72" i="12"/>
  <c r="S73" i="12"/>
  <c r="T68" i="12"/>
  <c r="T62" i="12"/>
  <c r="T63" i="12"/>
  <c r="T72" i="12"/>
  <c r="T73" i="12"/>
  <c r="T29" i="12"/>
  <c r="F3" i="7"/>
  <c r="F30" i="7"/>
  <c r="A1" i="13"/>
  <c r="A1" i="14"/>
  <c r="H10" i="14"/>
  <c r="D2" i="14"/>
  <c r="E2" i="14"/>
  <c r="I2" i="14"/>
  <c r="D2" i="13"/>
  <c r="E2" i="13"/>
  <c r="I2" i="13" s="1"/>
  <c r="J2" i="13" s="1"/>
  <c r="K2" i="13" s="1"/>
  <c r="L2" i="13" s="1"/>
  <c r="M2" i="13" s="1"/>
  <c r="N2" i="13" s="1"/>
  <c r="O2" i="13" s="1"/>
  <c r="P2" i="13" s="1"/>
  <c r="Q2" i="13" s="1"/>
  <c r="R2" i="13" s="1"/>
  <c r="S2" i="13" s="1"/>
  <c r="T2" i="13" s="1"/>
  <c r="I10" i="14"/>
  <c r="C8" i="2"/>
  <c r="J2" i="14"/>
  <c r="J10" i="14"/>
  <c r="K2" i="14"/>
  <c r="E82" i="7"/>
  <c r="D82" i="7"/>
  <c r="C82" i="7"/>
  <c r="E79" i="7"/>
  <c r="D79" i="7"/>
  <c r="C79" i="7"/>
  <c r="E71" i="7"/>
  <c r="D71" i="7"/>
  <c r="C71" i="7"/>
  <c r="D68" i="7"/>
  <c r="E67" i="7"/>
  <c r="D67" i="7"/>
  <c r="C67" i="7"/>
  <c r="E66" i="7"/>
  <c r="D66" i="7"/>
  <c r="C66" i="7"/>
  <c r="D63" i="7"/>
  <c r="C63" i="7"/>
  <c r="E61" i="7"/>
  <c r="D61" i="7"/>
  <c r="C61" i="7"/>
  <c r="E60" i="7"/>
  <c r="D60" i="7"/>
  <c r="C60" i="7"/>
  <c r="C56" i="7"/>
  <c r="D56" i="7"/>
  <c r="E56" i="7"/>
  <c r="C57" i="7"/>
  <c r="D57" i="7"/>
  <c r="E57" i="7"/>
  <c r="D55" i="7"/>
  <c r="E55" i="7"/>
  <c r="C55" i="7"/>
  <c r="D52" i="7"/>
  <c r="E52" i="7"/>
  <c r="C52" i="7"/>
  <c r="D49" i="7"/>
  <c r="E49" i="7"/>
  <c r="C49" i="7"/>
  <c r="D34" i="7"/>
  <c r="E34" i="7"/>
  <c r="C34" i="7"/>
  <c r="D30" i="7"/>
  <c r="E30" i="7"/>
  <c r="C30" i="7"/>
  <c r="E107" i="12"/>
  <c r="I105" i="12"/>
  <c r="I90" i="12"/>
  <c r="J76" i="12"/>
  <c r="J71" i="12"/>
  <c r="K71" i="12"/>
  <c r="L71" i="12"/>
  <c r="M71" i="12"/>
  <c r="N71" i="12"/>
  <c r="O71" i="12"/>
  <c r="P71" i="12"/>
  <c r="Q71" i="12"/>
  <c r="R71" i="12"/>
  <c r="S71" i="12"/>
  <c r="T71" i="12"/>
  <c r="I100" i="12"/>
  <c r="J58" i="12"/>
  <c r="K58" i="12"/>
  <c r="L58" i="12"/>
  <c r="M58" i="12"/>
  <c r="N58" i="12"/>
  <c r="O58" i="12"/>
  <c r="P58" i="12"/>
  <c r="Q58" i="12"/>
  <c r="R58" i="12"/>
  <c r="S58" i="12"/>
  <c r="T58" i="12"/>
  <c r="D10" i="12"/>
  <c r="E10" i="12"/>
  <c r="C10" i="12"/>
  <c r="E42" i="12"/>
  <c r="I39" i="12"/>
  <c r="E36" i="12"/>
  <c r="I34" i="12"/>
  <c r="S110" i="12"/>
  <c r="K110" i="12"/>
  <c r="O110" i="12"/>
  <c r="J77" i="12"/>
  <c r="K77" i="12"/>
  <c r="L77" i="12"/>
  <c r="M77" i="12"/>
  <c r="N77" i="12"/>
  <c r="O77" i="12"/>
  <c r="P77" i="12"/>
  <c r="Q77" i="12"/>
  <c r="R77" i="12"/>
  <c r="S77" i="12"/>
  <c r="T77" i="12"/>
  <c r="R110" i="12"/>
  <c r="N110" i="12"/>
  <c r="Q110" i="12"/>
  <c r="M110" i="12"/>
  <c r="T110" i="12"/>
  <c r="P110" i="12"/>
  <c r="L110" i="12"/>
  <c r="K10" i="14"/>
  <c r="L2" i="14"/>
  <c r="I110" i="12"/>
  <c r="I101" i="12"/>
  <c r="J110" i="12"/>
  <c r="J111" i="12"/>
  <c r="K76" i="12"/>
  <c r="I111" i="12"/>
  <c r="L10" i="14"/>
  <c r="M2" i="14"/>
  <c r="L76" i="12"/>
  <c r="K111" i="12"/>
  <c r="I91" i="12"/>
  <c r="I93" i="12"/>
  <c r="I92" i="12"/>
  <c r="D74" i="12"/>
  <c r="D78" i="12"/>
  <c r="D81" i="12"/>
  <c r="C73" i="12"/>
  <c r="E15" i="12"/>
  <c r="E64" i="12"/>
  <c r="D64" i="12"/>
  <c r="D69" i="12"/>
  <c r="C64" i="12"/>
  <c r="C69" i="12"/>
  <c r="E53" i="12"/>
  <c r="E56" i="12"/>
  <c r="D53" i="12"/>
  <c r="D56" i="12"/>
  <c r="C53" i="12"/>
  <c r="C56" i="12"/>
  <c r="T49" i="12"/>
  <c r="S49" i="12"/>
  <c r="R49" i="12"/>
  <c r="Q49" i="12"/>
  <c r="P49" i="12"/>
  <c r="O49" i="12"/>
  <c r="N49" i="12"/>
  <c r="M49" i="12"/>
  <c r="L49" i="12"/>
  <c r="K49" i="12"/>
  <c r="J49" i="12"/>
  <c r="E48" i="12"/>
  <c r="E33" i="7"/>
  <c r="D48" i="12"/>
  <c r="D33" i="7"/>
  <c r="C48" i="12"/>
  <c r="T41" i="12"/>
  <c r="T102" i="12"/>
  <c r="S41" i="12"/>
  <c r="S102" i="12"/>
  <c r="R41" i="12"/>
  <c r="R102" i="12"/>
  <c r="Q41" i="12"/>
  <c r="Q102" i="12"/>
  <c r="P41" i="12"/>
  <c r="P102" i="12"/>
  <c r="O41" i="12"/>
  <c r="O102" i="12"/>
  <c r="N41" i="12"/>
  <c r="N102" i="12"/>
  <c r="M41" i="12"/>
  <c r="M102" i="12"/>
  <c r="L41" i="12"/>
  <c r="L102" i="12"/>
  <c r="K41" i="12"/>
  <c r="K102" i="12"/>
  <c r="J41" i="12"/>
  <c r="J102" i="12"/>
  <c r="I41" i="12"/>
  <c r="I97" i="12"/>
  <c r="E18" i="12"/>
  <c r="D18" i="12"/>
  <c r="E17" i="12"/>
  <c r="D17" i="12"/>
  <c r="E16" i="12"/>
  <c r="D16" i="12"/>
  <c r="C16" i="12"/>
  <c r="D15" i="12"/>
  <c r="C15" i="12"/>
  <c r="E14" i="12"/>
  <c r="D14" i="12"/>
  <c r="C14" i="12"/>
  <c r="E13" i="12"/>
  <c r="D13" i="12"/>
  <c r="C13" i="12"/>
  <c r="E12" i="12"/>
  <c r="D12" i="12"/>
  <c r="C12" i="12"/>
  <c r="C9" i="12"/>
  <c r="E8" i="12"/>
  <c r="D8" i="12"/>
  <c r="C8" i="12"/>
  <c r="E5" i="12"/>
  <c r="D5" i="12"/>
  <c r="F2" i="12"/>
  <c r="D2" i="12"/>
  <c r="E2" i="12"/>
  <c r="I2" i="12"/>
  <c r="J2" i="12"/>
  <c r="K2" i="12"/>
  <c r="L2" i="12"/>
  <c r="M2" i="12"/>
  <c r="N2" i="12"/>
  <c r="O2" i="12"/>
  <c r="P2" i="12"/>
  <c r="Q2" i="12"/>
  <c r="R2" i="12"/>
  <c r="S2" i="12"/>
  <c r="T2" i="12"/>
  <c r="A1" i="12"/>
  <c r="K89" i="12"/>
  <c r="E9" i="12"/>
  <c r="E69" i="12"/>
  <c r="C74" i="12"/>
  <c r="C78" i="12"/>
  <c r="C81" i="12"/>
  <c r="C68" i="7"/>
  <c r="E74" i="12"/>
  <c r="E78" i="12"/>
  <c r="E81" i="12"/>
  <c r="E83" i="12"/>
  <c r="E68" i="7"/>
  <c r="C46" i="12"/>
  <c r="C6" i="12"/>
  <c r="C33" i="7"/>
  <c r="E63" i="7"/>
  <c r="M10" i="14"/>
  <c r="N2" i="14"/>
  <c r="I94" i="12"/>
  <c r="I98" i="12"/>
  <c r="I102" i="12"/>
  <c r="E46" i="12"/>
  <c r="E6" i="12"/>
  <c r="E7" i="12"/>
  <c r="D46" i="12"/>
  <c r="D6" i="12"/>
  <c r="D7" i="12"/>
  <c r="I89" i="12"/>
  <c r="M76" i="12"/>
  <c r="L111" i="12"/>
  <c r="D9" i="12"/>
  <c r="C17" i="12"/>
  <c r="M89" i="12"/>
  <c r="Q89" i="12"/>
  <c r="O89" i="12"/>
  <c r="S89" i="12"/>
  <c r="M100" i="12"/>
  <c r="Q100" i="12"/>
  <c r="D83" i="12"/>
  <c r="J97" i="12"/>
  <c r="J98" i="12"/>
  <c r="O100" i="12"/>
  <c r="K100" i="12"/>
  <c r="S100" i="12"/>
  <c r="C83" i="12"/>
  <c r="J89" i="12"/>
  <c r="N89" i="12"/>
  <c r="R89" i="12"/>
  <c r="L100" i="12"/>
  <c r="P100" i="12"/>
  <c r="T100" i="12"/>
  <c r="L89" i="12"/>
  <c r="P89" i="12"/>
  <c r="T89" i="12"/>
  <c r="J100" i="12"/>
  <c r="N100" i="12"/>
  <c r="R100" i="12"/>
  <c r="E91" i="8"/>
  <c r="N10" i="14"/>
  <c r="O2" i="14"/>
  <c r="N76" i="12"/>
  <c r="M111" i="12"/>
  <c r="J74" i="12"/>
  <c r="I74" i="12"/>
  <c r="J93" i="12"/>
  <c r="J92" i="12"/>
  <c r="J90" i="12"/>
  <c r="K91" i="12"/>
  <c r="K92" i="12"/>
  <c r="K97" i="12"/>
  <c r="K98" i="12"/>
  <c r="J94" i="12"/>
  <c r="J91" i="12"/>
  <c r="O10" i="14"/>
  <c r="P2" i="14"/>
  <c r="I66" i="12"/>
  <c r="I78" i="12"/>
  <c r="O76" i="12"/>
  <c r="N111" i="12"/>
  <c r="J48" i="12"/>
  <c r="K93" i="12"/>
  <c r="K74" i="12"/>
  <c r="K94" i="12"/>
  <c r="L92" i="12"/>
  <c r="L91" i="12"/>
  <c r="L97" i="12"/>
  <c r="L98" i="12"/>
  <c r="K90" i="12"/>
  <c r="J101" i="12"/>
  <c r="J103" i="12"/>
  <c r="I103" i="12"/>
  <c r="J78" i="12"/>
  <c r="P10" i="14"/>
  <c r="Q2" i="14"/>
  <c r="P76" i="12"/>
  <c r="O111" i="12"/>
  <c r="J50" i="12"/>
  <c r="J66" i="12"/>
  <c r="K101" i="12"/>
  <c r="K103" i="12"/>
  <c r="M91" i="12"/>
  <c r="M97" i="12"/>
  <c r="M98" i="12"/>
  <c r="K78" i="12"/>
  <c r="L93" i="12"/>
  <c r="L74" i="12"/>
  <c r="L78" i="12"/>
  <c r="L90" i="12"/>
  <c r="L94" i="12"/>
  <c r="E9" i="7"/>
  <c r="D9" i="7"/>
  <c r="Q10" i="14"/>
  <c r="R2" i="14"/>
  <c r="Q76" i="12"/>
  <c r="P111" i="12"/>
  <c r="K48" i="12"/>
  <c r="M90" i="12"/>
  <c r="M93" i="12"/>
  <c r="M74" i="12"/>
  <c r="N91" i="12"/>
  <c r="N92" i="12"/>
  <c r="N97" i="12"/>
  <c r="N98" i="12"/>
  <c r="M94" i="12"/>
  <c r="M92" i="12"/>
  <c r="L101" i="12"/>
  <c r="L103" i="12"/>
  <c r="R10" i="14"/>
  <c r="S2" i="14"/>
  <c r="K50" i="12"/>
  <c r="R76" i="12"/>
  <c r="Q111" i="12"/>
  <c r="L48" i="12"/>
  <c r="N90" i="12"/>
  <c r="N93" i="12"/>
  <c r="N74" i="12"/>
  <c r="O92" i="12"/>
  <c r="O97" i="12"/>
  <c r="O98" i="12"/>
  <c r="N94" i="12"/>
  <c r="M78" i="12"/>
  <c r="M101" i="12"/>
  <c r="M103" i="12"/>
  <c r="S10" i="14"/>
  <c r="T2" i="14"/>
  <c r="T10" i="14"/>
  <c r="S76" i="12"/>
  <c r="R111" i="12"/>
  <c r="K66" i="12"/>
  <c r="N101" i="12"/>
  <c r="N103" i="12"/>
  <c r="O93" i="12"/>
  <c r="O74" i="12"/>
  <c r="O94" i="12"/>
  <c r="L50" i="12"/>
  <c r="N78" i="12"/>
  <c r="O90" i="12"/>
  <c r="P92" i="12"/>
  <c r="P97" i="12"/>
  <c r="P98" i="12"/>
  <c r="O91" i="12"/>
  <c r="T76" i="12"/>
  <c r="T111" i="12"/>
  <c r="S111" i="12"/>
  <c r="O101" i="12"/>
  <c r="O103" i="12"/>
  <c r="P90" i="12"/>
  <c r="L66" i="12"/>
  <c r="P94" i="12"/>
  <c r="P93" i="12"/>
  <c r="P74" i="12"/>
  <c r="P78" i="12"/>
  <c r="Q91" i="12"/>
  <c r="Q97" i="12"/>
  <c r="Q98" i="12"/>
  <c r="O78" i="12"/>
  <c r="P91" i="12"/>
  <c r="Q94" i="12"/>
  <c r="M48" i="12"/>
  <c r="P101" i="12"/>
  <c r="P103" i="12"/>
  <c r="Q92" i="12"/>
  <c r="R97" i="12"/>
  <c r="R98" i="12"/>
  <c r="Q93" i="12"/>
  <c r="Q74" i="12"/>
  <c r="Q90" i="12"/>
  <c r="Q78" i="12"/>
  <c r="M50" i="12"/>
  <c r="R90" i="12"/>
  <c r="R92" i="12"/>
  <c r="R93" i="12"/>
  <c r="R74" i="12"/>
  <c r="S91" i="12"/>
  <c r="S92" i="12"/>
  <c r="S97" i="12"/>
  <c r="S98" i="12"/>
  <c r="R94" i="12"/>
  <c r="R91" i="12"/>
  <c r="Q101" i="12"/>
  <c r="Q103" i="12"/>
  <c r="R101" i="12"/>
  <c r="R103" i="12"/>
  <c r="R78" i="12"/>
  <c r="T90" i="12"/>
  <c r="S90" i="12"/>
  <c r="S94" i="12"/>
  <c r="T97" i="12"/>
  <c r="T98" i="12"/>
  <c r="S93" i="12"/>
  <c r="S74" i="12"/>
  <c r="S78" i="12"/>
  <c r="M66" i="12"/>
  <c r="S101" i="12"/>
  <c r="S103" i="12"/>
  <c r="T101" i="12"/>
  <c r="T103" i="12"/>
  <c r="T94" i="12"/>
  <c r="T93" i="12"/>
  <c r="T74" i="12"/>
  <c r="N48" i="12"/>
  <c r="T91" i="12"/>
  <c r="T92" i="12"/>
  <c r="T78" i="12"/>
  <c r="N50" i="12"/>
  <c r="N66" i="12"/>
  <c r="O48" i="12"/>
  <c r="O50" i="12"/>
  <c r="O66" i="12"/>
  <c r="P48" i="12"/>
  <c r="P50" i="12"/>
  <c r="P66" i="12"/>
  <c r="Q48" i="12"/>
  <c r="Q50" i="12"/>
  <c r="Q66" i="12"/>
  <c r="R48" i="12"/>
  <c r="R50" i="12"/>
  <c r="R66" i="12"/>
  <c r="S48" i="12"/>
  <c r="S50" i="12"/>
  <c r="S66" i="12"/>
  <c r="T48" i="12"/>
  <c r="C9" i="8"/>
  <c r="A1" i="8"/>
  <c r="D69" i="7"/>
  <c r="D58" i="7"/>
  <c r="E58" i="7"/>
  <c r="C58" i="7"/>
  <c r="C64" i="7"/>
  <c r="D8" i="7"/>
  <c r="E8" i="7"/>
  <c r="C50" i="7"/>
  <c r="E31" i="7"/>
  <c r="C31" i="7"/>
  <c r="A1" i="7"/>
  <c r="T31" i="12"/>
  <c r="T66" i="12"/>
  <c r="T50" i="12"/>
  <c r="D64" i="7"/>
  <c r="D80" i="7"/>
  <c r="C69" i="7"/>
  <c r="C80" i="7"/>
  <c r="C83" i="7"/>
  <c r="C85" i="7"/>
  <c r="E69" i="7"/>
  <c r="C8" i="7"/>
  <c r="E64" i="7"/>
  <c r="E50" i="7"/>
  <c r="D31" i="7"/>
  <c r="D50" i="7"/>
  <c r="A1" i="2"/>
  <c r="J2" i="7"/>
  <c r="K2" i="7"/>
  <c r="L2" i="7"/>
  <c r="M2" i="7"/>
  <c r="N2" i="7"/>
  <c r="O2" i="7"/>
  <c r="P2" i="7"/>
  <c r="Q2" i="7"/>
  <c r="R2" i="7"/>
  <c r="S2" i="7"/>
  <c r="T2" i="7"/>
  <c r="D83" i="7"/>
  <c r="E80" i="7"/>
  <c r="F34" i="7"/>
  <c r="F52" i="7"/>
  <c r="F33" i="7"/>
  <c r="D85" i="7"/>
  <c r="E83" i="7"/>
  <c r="A1" i="6"/>
  <c r="E85" i="7"/>
  <c r="I36" i="12"/>
  <c r="I67" i="12"/>
  <c r="J34" i="12"/>
  <c r="J36" i="12"/>
  <c r="J67" i="12"/>
  <c r="K34" i="12"/>
  <c r="K36" i="12"/>
  <c r="L34" i="12"/>
  <c r="L36" i="12"/>
  <c r="K67" i="12"/>
  <c r="L67" i="12"/>
  <c r="M34" i="12"/>
  <c r="M36" i="12"/>
  <c r="M67" i="12"/>
  <c r="N34" i="12"/>
  <c r="N36" i="12"/>
  <c r="N67" i="12"/>
  <c r="O34" i="12"/>
  <c r="O36" i="12"/>
  <c r="O67" i="12"/>
  <c r="P34" i="12"/>
  <c r="P36" i="12"/>
  <c r="P67" i="12"/>
  <c r="Q34" i="12"/>
  <c r="Q36" i="12"/>
  <c r="Q67" i="12"/>
  <c r="R34" i="12"/>
  <c r="R36" i="12"/>
  <c r="S34" i="12"/>
  <c r="S36" i="12"/>
  <c r="R67" i="12"/>
  <c r="T34" i="12"/>
  <c r="T36" i="12"/>
  <c r="T67" i="12"/>
  <c r="S67" i="12"/>
  <c r="I52" i="12"/>
  <c r="I53" i="12"/>
  <c r="I55" i="12"/>
  <c r="I26" i="7"/>
  <c r="I39" i="7"/>
  <c r="I90" i="7" s="1"/>
  <c r="I40" i="7"/>
  <c r="I91" i="7" s="1"/>
  <c r="I43" i="7"/>
  <c r="I94" i="7" s="1"/>
  <c r="I46" i="7"/>
  <c r="I96" i="7" s="1"/>
  <c r="F49" i="7"/>
  <c r="I52" i="7"/>
  <c r="I117" i="7"/>
  <c r="I56" i="12"/>
  <c r="I40" i="12"/>
  <c r="I42" i="12"/>
  <c r="J39" i="12"/>
  <c r="J52" i="12"/>
  <c r="J53" i="12"/>
  <c r="J55" i="12"/>
  <c r="J56" i="12"/>
  <c r="J40" i="12"/>
  <c r="J42" i="12"/>
  <c r="K39" i="12"/>
  <c r="K52" i="12"/>
  <c r="K53" i="12"/>
  <c r="K55" i="12"/>
  <c r="K56" i="12"/>
  <c r="K40" i="12"/>
  <c r="K42" i="12"/>
  <c r="L39" i="12"/>
  <c r="L52" i="12"/>
  <c r="L53" i="12"/>
  <c r="L55" i="12"/>
  <c r="L56" i="12"/>
  <c r="L40" i="12"/>
  <c r="L42" i="12"/>
  <c r="M39" i="12"/>
  <c r="M52" i="12"/>
  <c r="M53" i="12"/>
  <c r="M55" i="12"/>
  <c r="M56" i="12"/>
  <c r="M40" i="12"/>
  <c r="M42" i="12"/>
  <c r="N39" i="12"/>
  <c r="N52" i="12"/>
  <c r="N53" i="12"/>
  <c r="N55" i="12"/>
  <c r="N56" i="12"/>
  <c r="N40" i="12"/>
  <c r="N42" i="12"/>
  <c r="O39" i="12"/>
  <c r="O52" i="12"/>
  <c r="O53" i="12"/>
  <c r="O55" i="12"/>
  <c r="O56" i="12"/>
  <c r="O40" i="12"/>
  <c r="O42" i="12"/>
  <c r="P39" i="12"/>
  <c r="P52" i="12"/>
  <c r="P53" i="12"/>
  <c r="P55" i="12"/>
  <c r="P56" i="12"/>
  <c r="P40" i="12"/>
  <c r="P42" i="12"/>
  <c r="Q39" i="12"/>
  <c r="Q52" i="12"/>
  <c r="Q53" i="12"/>
  <c r="Q55" i="12"/>
  <c r="Q56" i="12"/>
  <c r="Q40" i="12"/>
  <c r="Q42" i="12"/>
  <c r="R39" i="12"/>
  <c r="R52" i="12"/>
  <c r="R53" i="12"/>
  <c r="R55" i="12"/>
  <c r="R56" i="12"/>
  <c r="R40" i="12"/>
  <c r="R42" i="12"/>
  <c r="S39" i="12"/>
  <c r="S52" i="12"/>
  <c r="S53" i="12"/>
  <c r="S55" i="12"/>
  <c r="S56" i="12"/>
  <c r="S40" i="12"/>
  <c r="S42" i="12"/>
  <c r="T39" i="12"/>
  <c r="T52" i="12"/>
  <c r="T53" i="12"/>
  <c r="T55" i="12"/>
  <c r="T56" i="12"/>
  <c r="T40" i="12"/>
  <c r="T42" i="12"/>
  <c r="I87" i="12"/>
  <c r="I88" i="12"/>
  <c r="I95" i="12"/>
  <c r="I106" i="12"/>
  <c r="I107" i="12"/>
  <c r="I61" i="12"/>
  <c r="J105" i="12"/>
  <c r="J87" i="12"/>
  <c r="J88" i="12"/>
  <c r="J95" i="12"/>
  <c r="J106" i="12"/>
  <c r="J107" i="12"/>
  <c r="J61" i="12"/>
  <c r="K105" i="12"/>
  <c r="K87" i="12"/>
  <c r="K88" i="12"/>
  <c r="K95" i="12"/>
  <c r="K106" i="12"/>
  <c r="K107" i="12"/>
  <c r="K61" i="12"/>
  <c r="L105" i="12"/>
  <c r="L87" i="12"/>
  <c r="L88" i="12"/>
  <c r="L95" i="12"/>
  <c r="L106" i="12"/>
  <c r="L107" i="12"/>
  <c r="L61" i="12"/>
  <c r="M105" i="12"/>
  <c r="M87" i="12"/>
  <c r="M88" i="12"/>
  <c r="M95" i="12"/>
  <c r="M106" i="12"/>
  <c r="M107" i="12"/>
  <c r="M61" i="12"/>
  <c r="N105" i="12"/>
  <c r="N87" i="12"/>
  <c r="N88" i="12"/>
  <c r="N95" i="12"/>
  <c r="N106" i="12"/>
  <c r="N107" i="12"/>
  <c r="N61" i="12"/>
  <c r="O105" i="12"/>
  <c r="O87" i="12"/>
  <c r="O88" i="12"/>
  <c r="O95" i="12"/>
  <c r="O106" i="12"/>
  <c r="O107" i="12"/>
  <c r="O61" i="12"/>
  <c r="P105" i="12"/>
  <c r="P87" i="12"/>
  <c r="P88" i="12"/>
  <c r="P95" i="12"/>
  <c r="P106" i="12"/>
  <c r="P107" i="12"/>
  <c r="P61" i="12"/>
  <c r="Q105" i="12"/>
  <c r="Q87" i="12"/>
  <c r="Q88" i="12"/>
  <c r="Q95" i="12"/>
  <c r="Q106" i="12"/>
  <c r="Q107" i="12"/>
  <c r="Q61" i="12"/>
  <c r="R105" i="12"/>
  <c r="R87" i="12"/>
  <c r="R88" i="12"/>
  <c r="R95" i="12"/>
  <c r="R106" i="12"/>
  <c r="R107" i="12"/>
  <c r="R61" i="12"/>
  <c r="S105" i="12"/>
  <c r="S87" i="12"/>
  <c r="S88" i="12"/>
  <c r="S95" i="12"/>
  <c r="S106" i="12"/>
  <c r="S107" i="12"/>
  <c r="S61" i="12"/>
  <c r="T105" i="12"/>
  <c r="T87" i="12"/>
  <c r="T88" i="12"/>
  <c r="T95" i="12"/>
  <c r="T106" i="12"/>
  <c r="T107" i="12"/>
  <c r="T61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F50" i="7" l="1"/>
  <c r="I42" i="7"/>
  <c r="I93" i="7" s="1"/>
  <c r="I104" i="7" s="1"/>
  <c r="I121" i="7" s="1"/>
  <c r="I122" i="7" s="1"/>
  <c r="I100" i="7"/>
  <c r="I88" i="7"/>
  <c r="I79" i="7"/>
  <c r="F69" i="7"/>
  <c r="F61" i="7"/>
  <c r="I71" i="7"/>
  <c r="I110" i="7"/>
  <c r="I103" i="7"/>
  <c r="I101" i="7"/>
  <c r="F79" i="7"/>
  <c r="I106" i="7"/>
  <c r="I45" i="7"/>
  <c r="F55" i="7" l="1"/>
  <c r="F58" i="7" s="1"/>
  <c r="I19" i="7"/>
  <c r="I21" i="7" s="1"/>
  <c r="F82" i="7"/>
  <c r="I62" i="7"/>
  <c r="F80" i="7"/>
  <c r="I99" i="7"/>
  <c r="F60" i="7"/>
  <c r="I24" i="7"/>
  <c r="I78" i="7"/>
  <c r="I115" i="7"/>
  <c r="I76" i="7"/>
  <c r="I38" i="7"/>
  <c r="I47" i="7" s="1"/>
  <c r="F64" i="7" l="1"/>
  <c r="H91" i="8"/>
  <c r="I13" i="7"/>
  <c r="I16" i="7" s="1"/>
  <c r="F83" i="7"/>
  <c r="I61" i="7"/>
  <c r="F85" i="7" l="1"/>
  <c r="I60" i="7"/>
  <c r="I120" i="7"/>
  <c r="H122" i="7"/>
  <c r="I49" i="7"/>
  <c r="I50" i="7" s="1"/>
  <c r="I116" i="7"/>
  <c r="I77" i="7"/>
  <c r="I25" i="7" l="1"/>
  <c r="I27" i="7" s="1"/>
  <c r="I112" i="7"/>
  <c r="I73" i="7"/>
  <c r="I82" i="7" l="1"/>
  <c r="I66" i="7" l="1"/>
  <c r="I69" i="7" s="1"/>
  <c r="I109" i="7" l="1"/>
  <c r="I72" i="7" l="1"/>
  <c r="I111" i="7" l="1"/>
  <c r="I74" i="7" l="1"/>
  <c r="I80" i="7" s="1"/>
  <c r="I83" i="7" s="1"/>
  <c r="I114" i="7"/>
  <c r="I75" i="7"/>
  <c r="I113" i="7" l="1"/>
  <c r="I55" i="7" l="1"/>
  <c r="I58" i="7" s="1"/>
  <c r="I64" i="7" s="1"/>
  <c r="I85" i="7" l="1"/>
  <c r="J85" i="7" l="1"/>
  <c r="K85" i="7" l="1"/>
  <c r="L85" i="7" l="1"/>
  <c r="M85" i="7" l="1"/>
  <c r="N85" i="7" l="1"/>
  <c r="O85" i="7" l="1"/>
  <c r="P85" i="7" l="1"/>
  <c r="Q85" i="7" l="1"/>
  <c r="R85" i="7" l="1"/>
  <c r="S85" i="7" l="1"/>
  <c r="T85" i="7" l="1"/>
</calcChain>
</file>

<file path=xl/sharedStrings.xml><?xml version="1.0" encoding="utf-8"?>
<sst xmlns="http://schemas.openxmlformats.org/spreadsheetml/2006/main" count="650" uniqueCount="267">
  <si>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</si>
  <si>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</si>
  <si>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</si>
  <si>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</si>
  <si>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</si>
  <si>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</si>
  <si>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</si>
  <si>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</si>
  <si>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</si>
  <si>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</si>
  <si>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</si>
  <si>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</si>
  <si>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</si>
  <si>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</si>
  <si>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</si>
  <si>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</si>
  <si>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</si>
  <si>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</si>
  <si>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</si>
  <si>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Tab name here</t>
  </si>
  <si>
    <t>Tab description here</t>
  </si>
  <si>
    <t>Deal date</t>
  </si>
  <si>
    <t>Fiscal year-end</t>
  </si>
  <si>
    <t>Exit date</t>
  </si>
  <si>
    <t>Holding period (full years)</t>
  </si>
  <si>
    <t>LIBOR rate</t>
  </si>
  <si>
    <t>Dates</t>
  </si>
  <si>
    <t>Funding assumptions</t>
  </si>
  <si>
    <t>Interest on cash</t>
  </si>
  <si>
    <t>Other assumptions</t>
  </si>
  <si>
    <t>Mezzanine warrants</t>
  </si>
  <si>
    <t>Minimum cash balance</t>
  </si>
  <si>
    <t>RCF commitment fee</t>
  </si>
  <si>
    <t>Refinancing facility</t>
  </si>
  <si>
    <t>Capex facility</t>
  </si>
  <si>
    <t>Term Loan B</t>
  </si>
  <si>
    <t>Second Lien</t>
  </si>
  <si>
    <t>High Yield</t>
  </si>
  <si>
    <t>Mezzanine</t>
  </si>
  <si>
    <t>LTM EBITDA</t>
  </si>
  <si>
    <t>EV / LTM EBITDA acquisition multiple</t>
  </si>
  <si>
    <t>Underfunded pension</t>
  </si>
  <si>
    <t>Equity value</t>
  </si>
  <si>
    <t>Existing net debt</t>
  </si>
  <si>
    <t>Uses of funds</t>
  </si>
  <si>
    <t>Sources of funds</t>
  </si>
  <si>
    <t>Equity</t>
  </si>
  <si>
    <t>Amount</t>
  </si>
  <si>
    <t>Margin</t>
  </si>
  <si>
    <t>Rate</t>
  </si>
  <si>
    <t>OID</t>
  </si>
  <si>
    <t>Floor</t>
  </si>
  <si>
    <t>Maturity</t>
  </si>
  <si>
    <t>Control panel</t>
  </si>
  <si>
    <t>Income statement</t>
  </si>
  <si>
    <t>Assumptions</t>
  </si>
  <si>
    <t>Balance sheet</t>
  </si>
  <si>
    <t>Sales</t>
  </si>
  <si>
    <t>Depreciation</t>
  </si>
  <si>
    <t>Amortization</t>
  </si>
  <si>
    <t>Tax expense</t>
  </si>
  <si>
    <t>Dividends</t>
  </si>
  <si>
    <t>Model</t>
  </si>
  <si>
    <t>Cash</t>
  </si>
  <si>
    <t>Receivables</t>
  </si>
  <si>
    <t>Other current assets</t>
  </si>
  <si>
    <t>Net PP&amp;E</t>
  </si>
  <si>
    <t>Net intangibles</t>
  </si>
  <si>
    <t>Other long-term assets</t>
  </si>
  <si>
    <t>Accounts payable</t>
  </si>
  <si>
    <t>Other current liabilities</t>
  </si>
  <si>
    <t>Other long-term liabilities</t>
  </si>
  <si>
    <t>Check</t>
  </si>
  <si>
    <t>Sales growth</t>
  </si>
  <si>
    <t>EBITDA % sales</t>
  </si>
  <si>
    <t>Depreciation % of beginning net PP&amp;E</t>
  </si>
  <si>
    <t>Amortization amount</t>
  </si>
  <si>
    <t>Effective tax rate</t>
  </si>
  <si>
    <t>Receivable days</t>
  </si>
  <si>
    <t>Other current assets % sales</t>
  </si>
  <si>
    <t>Capex % sales</t>
  </si>
  <si>
    <t>Calculations</t>
  </si>
  <si>
    <t>Beginning</t>
  </si>
  <si>
    <t>Capex</t>
  </si>
  <si>
    <t>Ending</t>
  </si>
  <si>
    <t>Other long-term assets amount</t>
  </si>
  <si>
    <t>Payable days on sales</t>
  </si>
  <si>
    <t>Other current liabilities % of sales</t>
  </si>
  <si>
    <t>Net income</t>
  </si>
  <si>
    <t>Cash flow statement</t>
  </si>
  <si>
    <t>(Capex)</t>
  </si>
  <si>
    <t>(Inc) dec in other long-term assets</t>
  </si>
  <si>
    <t>Inc (dec) in revolving credit facility</t>
  </si>
  <si>
    <t>Inc (dec) in long-term debt</t>
  </si>
  <si>
    <t>(Dividends)</t>
  </si>
  <si>
    <t>Beginning cash</t>
  </si>
  <si>
    <t>Net cash flow</t>
  </si>
  <si>
    <t>Inc (dec) in other long-term liabilities</t>
  </si>
  <si>
    <t>Stub</t>
  </si>
  <si>
    <t>% year pre-deal</t>
  </si>
  <si>
    <t>% year post-deal</t>
  </si>
  <si>
    <t>Historical year end</t>
  </si>
  <si>
    <t>Key dates</t>
  </si>
  <si>
    <t>(Inc) dec in receivables</t>
  </si>
  <si>
    <t>(Inc) dec in other current assets</t>
  </si>
  <si>
    <t>Inc (dec) in payables</t>
  </si>
  <si>
    <t>Inc (dec) in other current liabilities</t>
  </si>
  <si>
    <t>Pre-deal</t>
  </si>
  <si>
    <t>Adjustments</t>
  </si>
  <si>
    <t>Pro-forma</t>
  </si>
  <si>
    <t>Historical long-term debt</t>
  </si>
  <si>
    <t>Unamortized debt issuance fees</t>
  </si>
  <si>
    <t>Transaction fees</t>
  </si>
  <si>
    <t>Other long-term liabilities change</t>
  </si>
  <si>
    <t>Debt schedule</t>
  </si>
  <si>
    <t>Revolving credit facility</t>
  </si>
  <si>
    <t>Drawdown (repayment)</t>
  </si>
  <si>
    <t>RCF facility</t>
  </si>
  <si>
    <t>Capex facility commitment fee</t>
  </si>
  <si>
    <t>Sweep</t>
  </si>
  <si>
    <t>Mezzanine (PIK)</t>
  </si>
  <si>
    <t>Period EBITDA</t>
  </si>
  <si>
    <t>Leverage</t>
  </si>
  <si>
    <t>Full year</t>
  </si>
  <si>
    <t>Beginning balance</t>
  </si>
  <si>
    <t>Amortization of OID</t>
  </si>
  <si>
    <t>Goodwill</t>
  </si>
  <si>
    <t>At year end</t>
  </si>
  <si>
    <t>Deal date prior to changes</t>
  </si>
  <si>
    <t>Deal adj.</t>
  </si>
  <si>
    <t>NA</t>
  </si>
  <si>
    <t>Immediately post deal</t>
  </si>
  <si>
    <t>Advanced LBO Modeling</t>
  </si>
  <si>
    <t>Long term debt issuance / (repayment)</t>
  </si>
  <si>
    <t>Interest expense</t>
  </si>
  <si>
    <t>Interest expense on long term debt</t>
  </si>
  <si>
    <t xml:space="preserve">Interest income </t>
  </si>
  <si>
    <t>Interest expense on revolving credit facility</t>
  </si>
  <si>
    <t>Interest rate on long term debt</t>
  </si>
  <si>
    <t>Interest rate on revolving credit facility</t>
  </si>
  <si>
    <t>Interest rate on cash</t>
  </si>
  <si>
    <t>Net interest (expense) / income</t>
  </si>
  <si>
    <t>Deal Date</t>
  </si>
  <si>
    <t>Year count</t>
  </si>
  <si>
    <t>Drawdown</t>
  </si>
  <si>
    <t>Cash flow available for debt service (CFADS)</t>
  </si>
  <si>
    <t>EBITDA</t>
  </si>
  <si>
    <t>Debt service</t>
  </si>
  <si>
    <t>Interest income</t>
  </si>
  <si>
    <t>Capex facility drawdown</t>
  </si>
  <si>
    <t>(Repayment)</t>
  </si>
  <si>
    <t>Cash sweep</t>
  </si>
  <si>
    <t>Sweep % surplus cash</t>
  </si>
  <si>
    <t>Repayment</t>
  </si>
  <si>
    <t>Returns</t>
  </si>
  <si>
    <t>Cash flows to mezzanine holders</t>
  </si>
  <si>
    <t>Mezzanine IRR</t>
  </si>
  <si>
    <t>Cash flows to equity holders</t>
  </si>
  <si>
    <t>Equity IRR</t>
  </si>
  <si>
    <t>© 2019 Financial Edge Training</t>
  </si>
  <si>
    <t>Capex facility (drawn down)</t>
  </si>
  <si>
    <t>Debt Original Issuer Discount</t>
  </si>
  <si>
    <t>Total Debt</t>
  </si>
  <si>
    <t>Total debt</t>
  </si>
  <si>
    <t>Surplus cash to be used in sweep</t>
  </si>
  <si>
    <t>End</t>
  </si>
  <si>
    <t>Inc (dec) in historical long-term debt</t>
  </si>
  <si>
    <t>Inc (dec) in capex facility (drawn down)</t>
  </si>
  <si>
    <t>CFADS</t>
  </si>
  <si>
    <t>Net cash interest</t>
  </si>
  <si>
    <t>Surplus Cash</t>
  </si>
  <si>
    <t>Less minimum required cash</t>
  </si>
  <si>
    <t>3 mths post deal</t>
  </si>
  <si>
    <t>Cash available for term loan B sweep</t>
  </si>
  <si>
    <t>Cash available for second lien sweep</t>
  </si>
  <si>
    <t>Surplus cash not used in sweep</t>
  </si>
  <si>
    <t>Mandatory repayments</t>
  </si>
  <si>
    <t>Non-cash accrued interest</t>
  </si>
  <si>
    <t>Mandatory repayment</t>
  </si>
  <si>
    <t>Accelerated repayment</t>
  </si>
  <si>
    <t>Ending Cash Check</t>
  </si>
  <si>
    <t>Revolver drawdown / (repayment)</t>
  </si>
  <si>
    <t>Refinancing facility drawdown / (repayment)</t>
  </si>
  <si>
    <t>Term B accelerated repayment</t>
  </si>
  <si>
    <t>Second lien accelerated repayment</t>
  </si>
  <si>
    <t>Capex drawdown</t>
  </si>
  <si>
    <t>Ending cash</t>
  </si>
  <si>
    <t>Debt issuance / (repayment)</t>
  </si>
  <si>
    <t>Capex facility mandatory repayment</t>
  </si>
  <si>
    <t>Cash flow before refinance and sweep</t>
  </si>
  <si>
    <t>Cash flow before sweep</t>
  </si>
  <si>
    <t>Second lien mandatory repayment</t>
  </si>
  <si>
    <t>Term loan B mandatory repayment</t>
  </si>
  <si>
    <t>Interest on revolving credit facility</t>
  </si>
  <si>
    <t>Interest on refinancing facility</t>
  </si>
  <si>
    <t>Interest on capex facility</t>
  </si>
  <si>
    <t>Interest on term Loan B</t>
  </si>
  <si>
    <t>Interest on second lien</t>
  </si>
  <si>
    <t>Interest on high yield</t>
  </si>
  <si>
    <t>Gross cash interest expense</t>
  </si>
  <si>
    <t>Net cash interest (expense) / income</t>
  </si>
  <si>
    <t xml:space="preserve">Mandatory repayment of capex facility </t>
  </si>
  <si>
    <t>Mandatory repayment of term loan B</t>
  </si>
  <si>
    <t>Mandatory repayment of second lien</t>
  </si>
  <si>
    <t>Mandatory repayment of high yield</t>
  </si>
  <si>
    <t>Mandatory repayment of mezzanine</t>
  </si>
  <si>
    <t>Closing balance</t>
  </si>
  <si>
    <t>Undrawn portion</t>
  </si>
  <si>
    <t>Cash interest expense</t>
  </si>
  <si>
    <t>Base rate</t>
  </si>
  <si>
    <t>Interest rate</t>
  </si>
  <si>
    <t>Commitment fee</t>
  </si>
  <si>
    <t>Commitment fee expense</t>
  </si>
  <si>
    <t>Interest and commitment fee expense</t>
  </si>
  <si>
    <t>Opening balance</t>
  </si>
  <si>
    <t>Base rate (floor adjusted)</t>
  </si>
  <si>
    <t>Total net debt end of period (exc sweep)</t>
  </si>
  <si>
    <t>Non cash interest expense</t>
  </si>
  <si>
    <t>Second lien</t>
  </si>
  <si>
    <t>High yield</t>
  </si>
  <si>
    <t>Term loan B</t>
  </si>
  <si>
    <t>Total mandatory repayments</t>
  </si>
  <si>
    <t>Ending balance</t>
  </si>
  <si>
    <t>EBIT</t>
  </si>
  <si>
    <t>Profit before tax</t>
  </si>
  <si>
    <t>Total current assets</t>
  </si>
  <si>
    <t>Total assets</t>
  </si>
  <si>
    <t>Total current liabilities</t>
  </si>
  <si>
    <t>Total liabilities</t>
  </si>
  <si>
    <t>Total liabilities and equity</t>
  </si>
  <si>
    <t>Cash flow from operations</t>
  </si>
  <si>
    <t>Cash flow from investing activities</t>
  </si>
  <si>
    <t>Cash flow from financing activities</t>
  </si>
  <si>
    <t>Returns to equity holders</t>
  </si>
  <si>
    <t>Acquisition assumptions</t>
  </si>
  <si>
    <t>Sources and uses of funds</t>
  </si>
  <si>
    <t>Model Information</t>
  </si>
  <si>
    <t>Total sources</t>
  </si>
  <si>
    <t>Total uses</t>
  </si>
  <si>
    <t>Enterprise value</t>
  </si>
  <si>
    <t>Interest on mezzanine</t>
  </si>
  <si>
    <t>Interest on term loan B</t>
  </si>
  <si>
    <t>Inc (dec) in refinancing facility</t>
  </si>
  <si>
    <t>Inc (dec) in second lien</t>
  </si>
  <si>
    <t>Inc (dec) in high yield</t>
  </si>
  <si>
    <t>Issuance / (repayment) of mezzanine</t>
  </si>
  <si>
    <t>Inc (dec) in term loan B</t>
  </si>
  <si>
    <t>Cash flow before RCF, refinance and sweep</t>
  </si>
  <si>
    <t>+ cash flow available after refinance</t>
  </si>
  <si>
    <t>- surplus spent in sweep on term B and second lien</t>
  </si>
  <si>
    <t>+ capex drawdown</t>
  </si>
  <si>
    <t>Exit value to equity holders</t>
  </si>
  <si>
    <t>Original issuer discount (OID)</t>
  </si>
  <si>
    <t>Revolving credit facility (RCF) drawn at closing</t>
  </si>
  <si>
    <t>Refinancing facility drawn down</t>
  </si>
  <si>
    <t>Capex facility drawn down</t>
  </si>
  <si>
    <t>EBITDA margin improvement</t>
  </si>
  <si>
    <t>Historical net finance charge</t>
  </si>
  <si>
    <t>Total net debt / EBITDA</t>
  </si>
  <si>
    <t>Interest rates</t>
  </si>
  <si>
    <t>Original issuer discount (OID) years</t>
  </si>
  <si>
    <t>Ending Cash Alternative Check</t>
  </si>
  <si>
    <t>Cash initially available for RCF, refinance and sweep</t>
  </si>
  <si>
    <t>Cash available for RCF, refinance and sweep</t>
  </si>
  <si>
    <t>Standalone Model</t>
  </si>
  <si>
    <t>Fees % EV</t>
  </si>
  <si>
    <t>Total net debt beginning of period (inc sweep)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</si>
</sst>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0.00%_);\(0.00%\)"/>
    <numFmt numFmtId="176" formatCode="#,##0_);\(#,##0\);0_);@_)"/>
    <numFmt numFmtId="177" formatCode="#,##0.0\ \x_);\(#,##0.0\ \x\)"/>
    <numFmt numFmtId="178" formatCode="#,##0.00_);\(#,##0.00\);0.00_);@_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22"/>
      <color theme="0"/>
      <name val="Calibri Light"/>
      <family val="2"/>
      <scheme val="major"/>
    </font>
    <font>
      <i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1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1" fillId="3" borderId="0" applyNumberFormat="0" applyBorder="0">
      <alignment horizontal="center" vertical="top"/>
    </xf>
    <xf numFmtId="177" fontId="9" fillId="0" borderId="0" applyFont="0" applyFill="0" applyBorder="0" applyAlignment="0" applyProtection="0"/>
  </cellStyleXfs>
  <cellXfs count="120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1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1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6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59" applyFont="1" applyAlignment="1">
      <alignment vertical="top"/>
    </xf>
    <xf numFmtId="0" fontId="3" fillId="5" borderId="12" xfId="59" applyFont="1" applyAlignment="1">
      <alignment horizontal="center" vertical="top"/>
    </xf>
    <xf numFmtId="0" fontId="2" fillId="5" borderId="12" xfId="59" applyFont="1" applyAlignment="1"/>
    <xf numFmtId="0" fontId="5" fillId="5" borderId="12" xfId="59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59" applyFont="1" applyAlignment="1"/>
    <xf numFmtId="0" fontId="2" fillId="5" borderId="12" xfId="59" applyFont="1" applyAlignment="1">
      <alignment horizontal="left"/>
    </xf>
    <xf numFmtId="0" fontId="7" fillId="5" borderId="12" xfId="59" applyFont="1" applyAlignment="1">
      <alignment horizontal="center" vertical="center" wrapText="1"/>
    </xf>
    <xf numFmtId="0" fontId="7" fillId="5" borderId="12" xfId="59" applyFont="1" applyAlignment="1">
      <alignment vertical="center" wrapText="1"/>
    </xf>
    <xf numFmtId="170" fontId="30" fillId="37" borderId="11" xfId="58" applyNumberFormat="1">
      <protection locked="0"/>
    </xf>
    <xf numFmtId="170" fontId="2" fillId="0" borderId="0" xfId="51" applyNumberFormat="1" applyFont="1" applyFill="1" applyAlignment="1"/>
    <xf numFmtId="0" fontId="2" fillId="0" borderId="0" xfId="59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59" applyFont="1" applyAlignment="1"/>
    <xf numFmtId="174" fontId="4" fillId="5" borderId="0" xfId="51" applyNumberFormat="1" applyFont="1" applyAlignment="1">
      <alignment vertical="center"/>
    </xf>
    <xf numFmtId="0" fontId="3" fillId="5" borderId="12" xfId="59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0" fillId="0" borderId="0" xfId="0" quotePrefix="1"/>
    <xf numFmtId="168" fontId="0" fillId="0" borderId="0" xfId="54" applyFont="1"/>
    <xf numFmtId="168" fontId="30" fillId="37" borderId="11" xfId="58" applyNumberFormat="1">
      <protection locked="0"/>
    </xf>
    <xf numFmtId="174" fontId="30" fillId="37" borderId="11" xfId="58" applyNumberFormat="1">
      <protection locked="0"/>
    </xf>
    <xf numFmtId="172" fontId="30" fillId="37" borderId="11" xfId="55" applyFont="1" applyFill="1" applyBorder="1" applyProtection="1">
      <protection locked="0"/>
    </xf>
    <xf numFmtId="175" fontId="30" fillId="37" borderId="11" xfId="55" applyNumberFormat="1" applyFont="1" applyFill="1" applyBorder="1" applyProtection="1">
      <protection locked="0"/>
    </xf>
    <xf numFmtId="174" fontId="30" fillId="37" borderId="11" xfId="0" applyFont="1" applyFill="1" applyBorder="1" applyProtection="1">
      <protection locked="0"/>
    </xf>
    <xf numFmtId="174" fontId="0" fillId="0" borderId="0" xfId="0" applyAlignment="1">
      <alignment horizontal="right"/>
    </xf>
    <xf numFmtId="172" fontId="0" fillId="0" borderId="0" xfId="55" applyFont="1" applyFill="1"/>
    <xf numFmtId="175" fontId="0" fillId="0" borderId="0" xfId="55" applyNumberFormat="1" applyFont="1" applyFill="1"/>
    <xf numFmtId="17" fontId="28" fillId="3" borderId="0" xfId="52" applyNumberFormat="1">
      <alignment horizontal="center"/>
    </xf>
    <xf numFmtId="168" fontId="28" fillId="3" borderId="0" xfId="52" applyAlignment="1">
      <alignment horizontal="right"/>
    </xf>
    <xf numFmtId="174" fontId="30" fillId="0" borderId="0" xfId="56" applyNumberFormat="1" applyFill="1"/>
    <xf numFmtId="172" fontId="30" fillId="37" borderId="11" xfId="58" applyNumberFormat="1">
      <protection locked="0"/>
    </xf>
    <xf numFmtId="174" fontId="32" fillId="0" borderId="0" xfId="0" applyFont="1" applyAlignment="1">
      <alignment horizontal="right"/>
    </xf>
    <xf numFmtId="170" fontId="2" fillId="5" borderId="0" xfId="51" applyNumberFormat="1" applyFont="1" applyAlignment="1">
      <alignment horizontal="left"/>
    </xf>
    <xf numFmtId="168" fontId="28" fillId="3" borderId="0" xfId="52" applyAlignment="1">
      <alignment horizontal="left"/>
    </xf>
    <xf numFmtId="168" fontId="28" fillId="3" borderId="0" xfId="52" applyAlignment="1">
      <alignment horizontal="center"/>
    </xf>
    <xf numFmtId="17" fontId="28" fillId="3" borderId="0" xfId="52" applyNumberFormat="1" applyAlignment="1">
      <alignment horizontal="center"/>
    </xf>
    <xf numFmtId="174" fontId="0" fillId="0" borderId="0" xfId="0" applyNumberFormat="1" applyFill="1"/>
    <xf numFmtId="174" fontId="0" fillId="0" borderId="0" xfId="0" applyFont="1"/>
    <xf numFmtId="174" fontId="0" fillId="0" borderId="0" xfId="0"/>
    <xf numFmtId="0" fontId="0" fillId="0" borderId="0" xfId="0" applyNumberFormat="1"/>
    <xf numFmtId="174" fontId="0" fillId="0" borderId="0" xfId="0"/>
    <xf numFmtId="174" fontId="25" fillId="0" borderId="0" xfId="0" applyFont="1" applyFill="1" applyBorder="1" applyAlignment="1">
      <alignment vertical="center"/>
    </xf>
    <xf numFmtId="174" fontId="26" fillId="0" borderId="0" xfId="0" applyFont="1" applyFill="1" applyBorder="1" applyAlignment="1"/>
    <xf numFmtId="174" fontId="0" fillId="0" borderId="0" xfId="0"/>
    <xf numFmtId="174" fontId="0" fillId="0" borderId="0" xfId="0" applyAlignment="1">
      <alignment horizontal="right"/>
    </xf>
    <xf numFmtId="177" fontId="30" fillId="37" borderId="11" xfId="58" applyNumberFormat="1">
      <protection locked="0"/>
    </xf>
    <xf numFmtId="172" fontId="0" fillId="0" borderId="0" xfId="55" applyNumberFormat="1" applyFont="1" applyFill="1"/>
    <xf numFmtId="174" fontId="0" fillId="0" borderId="0" xfId="0" quotePrefix="1" applyFill="1"/>
    <xf numFmtId="178" fontId="0" fillId="0" borderId="0" xfId="0" applyNumberFormat="1"/>
    <xf numFmtId="174" fontId="0" fillId="0" borderId="0" xfId="0" applyFill="1"/>
    <xf numFmtId="174" fontId="0" fillId="0" borderId="0" xfId="0" applyFont="1" applyFill="1" applyAlignment="1">
      <alignment horizontal="right"/>
    </xf>
    <xf numFmtId="170" fontId="4" fillId="0" borderId="0" xfId="50" applyNumberFormat="1" applyFill="1">
      <alignment horizontal="left" vertical="center"/>
    </xf>
    <xf numFmtId="174" fontId="0" fillId="0" borderId="0" xfId="0" applyFont="1" applyFill="1"/>
    <xf numFmtId="174" fontId="32" fillId="0" borderId="0" xfId="0" applyFont="1" applyFill="1" applyAlignment="1">
      <alignment horizontal="right"/>
    </xf>
    <xf numFmtId="177" fontId="0" fillId="0" borderId="0" xfId="61" applyFont="1" applyFill="1"/>
    <xf numFmtId="174" fontId="32" fillId="0" borderId="0" xfId="0" applyFont="1" applyAlignment="1">
      <alignment horizontal="center"/>
    </xf>
    <xf numFmtId="174" fontId="0" fillId="0" borderId="0" xfId="0" applyNumberFormat="1"/>
    <xf numFmtId="0" fontId="0" fillId="0" borderId="0" xfId="0" applyNumberFormat="1" applyFill="1"/>
    <xf numFmtId="178" fontId="0" fillId="0" borderId="0" xfId="0" applyNumberFormat="1" applyFill="1"/>
    <xf numFmtId="174" fontId="4" fillId="0" borderId="0" xfId="50" applyNumberFormat="1">
      <alignment horizontal="left" vertical="center"/>
    </xf>
    <xf numFmtId="174" fontId="0" fillId="38" borderId="0" xfId="0" applyFill="1"/>
    <xf numFmtId="174" fontId="29" fillId="0" borderId="0" xfId="56" applyNumberFormat="1" applyFont="1" applyFill="1"/>
    <xf numFmtId="170" fontId="31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1" fillId="3" borderId="0" xfId="49" applyNumberFormat="1" applyFont="1" applyAlignment="1">
      <alignment horizontal="center" vertical="center"/>
    </xf>
    <xf numFmtId="170" fontId="0" fillId="5" borderId="0" xfId="0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4" fontId="0" fillId="5" borderId="0" xfId="51" applyNumberFormat="1" applyFont="1" applyAlignment="1"/>
    <xf numFmtId="176" fontId="0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59" xr:uid="{00000000-0005-0000-0000-00001A000000}"/>
    <cellStyle name="Blank" xfId="57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0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6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58" builtinId="20" customBuiltin="1"/>
    <cellStyle name="Linked Cell" xfId="18" builtinId="24" hidden="1"/>
    <cellStyle name="Multiple" xfId="61" xr:uid="{933B34BB-EC6E-4E38-BCD1-688CF7CEE0A3}"/>
    <cellStyle name="Neutral" xfId="14" builtinId="28" hidden="1"/>
    <cellStyle name="Normal" xfId="0" builtinId="0" customBuiltin="1"/>
    <cellStyle name="Note" xfId="21" builtinId="10" hidden="1"/>
    <cellStyle name="Output" xfId="16" builtinId="21" hidden="1"/>
    <cellStyle name="Percent" xfId="6" builtinId="5" hidden="1"/>
    <cellStyle name="Percent" xfId="55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1508743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159937</xdr:colOff>
      <xdr:row>0</xdr:row>
      <xdr:rowOff>464814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0" customWidth="1"/>
    <col min="2" max="13" width="9.33203125" style="30" customWidth="1"/>
    <col min="14" max="14" width="9.86328125" style="30" customWidth="1"/>
    <col min="15" max="26" width="9.1328125" style="30" customWidth="1"/>
    <col min="27" max="16384" width="9.1328125" style="30"/>
  </cols>
  <sheetData>
    <row r="1" spans="1:14" s="34" customFormat="1" ht="189.75" customHeight="1" x14ac:dyDescent="0.8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20" customFormat="1" ht="75" customHeight="1" x14ac:dyDescent="0.45">
      <c r="A2" s="112" t="s">
        <v>132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s="21" customFormat="1" ht="7.5" customHeight="1" x14ac:dyDescent="0.45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 x14ac:dyDescent="0.45">
      <c r="A4" s="37"/>
      <c r="B4" s="38"/>
      <c r="C4" s="111"/>
      <c r="D4" s="111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1" customFormat="1" ht="15" customHeight="1" x14ac:dyDescent="0.45">
      <c r="A5" s="113" t="s">
        <v>13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s="21" customFormat="1" ht="15" customHeight="1" x14ac:dyDescent="0.4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s="21" customFormat="1" ht="15" customHeight="1" x14ac:dyDescent="0.45">
      <c r="A7" s="113" t="s">
        <v>159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s="21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1" customFormat="1" ht="15" customHeight="1" x14ac:dyDescent="0.45">
      <c r="F9" s="26"/>
      <c r="G9" s="114"/>
      <c r="H9" s="114"/>
      <c r="I9" s="114"/>
      <c r="J9" s="114"/>
      <c r="K9" s="26"/>
    </row>
    <row r="10" spans="1:14" s="21" customFormat="1" ht="15" customHeight="1" x14ac:dyDescent="0.45">
      <c r="B10" s="22"/>
      <c r="C10" s="22"/>
      <c r="F10" s="26"/>
      <c r="G10" s="114"/>
      <c r="H10" s="114"/>
      <c r="I10" s="114"/>
      <c r="J10" s="114"/>
      <c r="K10" s="26"/>
    </row>
    <row r="11" spans="1:14" s="21" customFormat="1" ht="15" customHeight="1" x14ac:dyDescent="0.45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 x14ac:dyDescent="0.45">
      <c r="A12" s="24"/>
      <c r="B12" s="18"/>
      <c r="C12" s="18"/>
      <c r="D12" s="27"/>
      <c r="F12" s="23"/>
      <c r="G12" s="110"/>
      <c r="H12" s="110"/>
      <c r="I12" s="110"/>
      <c r="J12" s="110"/>
      <c r="K12" s="23"/>
    </row>
    <row r="13" spans="1:14" s="21" customFormat="1" ht="15" customHeight="1" x14ac:dyDescent="0.45">
      <c r="A13" s="17"/>
      <c r="B13" s="18"/>
      <c r="C13" s="18"/>
      <c r="D13" s="28"/>
      <c r="F13" s="23"/>
      <c r="G13" s="110"/>
      <c r="H13" s="110"/>
      <c r="I13" s="110"/>
      <c r="J13" s="110"/>
      <c r="K13" s="23"/>
    </row>
    <row r="14" spans="1:14" s="21" customFormat="1" ht="15" customHeight="1" x14ac:dyDescent="0.45">
      <c r="A14" s="20"/>
      <c r="B14" s="18"/>
      <c r="C14" s="18"/>
      <c r="D14" s="28"/>
      <c r="F14" s="23"/>
      <c r="G14" s="110"/>
      <c r="H14" s="110"/>
      <c r="I14" s="110"/>
      <c r="J14" s="110"/>
      <c r="K14" s="23"/>
    </row>
    <row r="15" spans="1:14" s="21" customFormat="1" ht="15" customHeight="1" x14ac:dyDescent="0.45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 x14ac:dyDescent="0.45">
      <c r="A16" s="20"/>
      <c r="B16" s="18"/>
      <c r="C16" s="18"/>
      <c r="D16" s="29"/>
      <c r="F16" s="23"/>
      <c r="G16" s="110"/>
      <c r="H16" s="110"/>
      <c r="I16" s="110"/>
      <c r="J16" s="110"/>
      <c r="K16" s="23"/>
    </row>
    <row r="17" spans="1:12" s="21" customFormat="1" ht="15" customHeight="1" x14ac:dyDescent="0.45">
      <c r="A17" s="20"/>
      <c r="B17" s="31"/>
      <c r="C17" s="32"/>
      <c r="D17" s="29"/>
      <c r="F17" s="23"/>
      <c r="G17" s="23"/>
      <c r="H17" s="23"/>
      <c r="I17" s="23"/>
      <c r="J17" s="23"/>
      <c r="K17" s="23"/>
    </row>
    <row r="18" spans="1:12" ht="15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x14ac:dyDescent="0.4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x14ac:dyDescent="0.4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x14ac:dyDescent="0.4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2" t="str">
        <f>Welcome!A2</f>
        <v>Advanced LBO Modeling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3" t="s">
        <v>236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116" t="s">
        <v>0</v>
      </c>
      <c r="C4" s="116"/>
      <c r="D4" s="116"/>
      <c r="E4" s="116"/>
      <c r="F4" s="116"/>
      <c r="G4" s="116"/>
      <c r="H4" s="116"/>
      <c r="I4" s="116"/>
      <c r="K4" s="1"/>
      <c r="L4" s="116" t="s">
        <v>2</v>
      </c>
      <c r="M4" s="116"/>
      <c r="N4" s="116"/>
      <c r="O4" s="116"/>
      <c r="P4" s="116"/>
      <c r="Q4" s="44"/>
      <c r="R4" s="44"/>
    </row>
    <row r="5" spans="1:18" s="2" customFormat="1" ht="15" customHeight="1" x14ac:dyDescent="0.45">
      <c r="A5" s="15"/>
      <c r="B5" s="8" t="s">
        <v>1</v>
      </c>
      <c r="C5" s="58" t="s">
        <v>233</v>
      </c>
      <c r="D5" s="16"/>
      <c r="E5" s="16"/>
      <c r="F5" s="16"/>
      <c r="G5" s="16"/>
      <c r="H5" s="16"/>
      <c r="I5" s="16"/>
      <c r="K5" s="1"/>
      <c r="L5" s="9" t="s">
        <v>3</v>
      </c>
      <c r="M5" s="9"/>
      <c r="N5" s="118" t="s">
        <v>9</v>
      </c>
      <c r="O5" s="118"/>
      <c r="P5" s="118"/>
      <c r="Q5" s="118"/>
      <c r="R5" s="44"/>
    </row>
    <row r="6" spans="1:18" s="2" customFormat="1" ht="15" customHeight="1" x14ac:dyDescent="0.45">
      <c r="A6" s="3"/>
      <c r="B6" s="8" t="s">
        <v>1</v>
      </c>
      <c r="C6" s="58" t="s">
        <v>234</v>
      </c>
      <c r="D6" s="16"/>
      <c r="E6" s="16"/>
      <c r="F6" s="16"/>
      <c r="G6" s="16"/>
      <c r="H6" s="16"/>
      <c r="I6" s="16"/>
      <c r="K6" s="15"/>
      <c r="L6" s="9" t="s">
        <v>4</v>
      </c>
      <c r="M6" s="9"/>
      <c r="N6" s="118"/>
      <c r="O6" s="118"/>
      <c r="P6" s="118"/>
      <c r="Q6" s="118"/>
      <c r="R6" s="44"/>
    </row>
    <row r="7" spans="1:18" s="2" customFormat="1" ht="15" customHeight="1" x14ac:dyDescent="0.45">
      <c r="A7" s="16"/>
      <c r="B7" s="8" t="s">
        <v>1</v>
      </c>
      <c r="C7" s="58" t="s">
        <v>235</v>
      </c>
      <c r="D7" s="16"/>
      <c r="E7" s="16"/>
      <c r="F7" s="16"/>
      <c r="G7" s="16"/>
      <c r="H7" s="16"/>
      <c r="I7" s="16"/>
      <c r="K7" s="3"/>
      <c r="L7" s="9" t="s">
        <v>5</v>
      </c>
      <c r="M7" s="9"/>
      <c r="N7" s="118" t="s">
        <v>10</v>
      </c>
      <c r="O7" s="118"/>
      <c r="P7" s="118"/>
      <c r="Q7" s="118"/>
      <c r="R7" s="44"/>
    </row>
    <row r="8" spans="1:18" s="2" customFormat="1" ht="15" customHeight="1" x14ac:dyDescent="0.45">
      <c r="A8" s="16"/>
      <c r="B8" s="8" t="s">
        <v>1</v>
      </c>
      <c r="C8" s="58" t="s">
        <v>151</v>
      </c>
      <c r="D8" s="16"/>
      <c r="E8" s="16"/>
      <c r="F8" s="16"/>
      <c r="G8" s="16"/>
      <c r="H8" s="16"/>
      <c r="I8" s="16"/>
      <c r="K8" s="16"/>
      <c r="L8" s="9" t="s">
        <v>6</v>
      </c>
      <c r="M8" s="9"/>
      <c r="N8" s="118" t="s">
        <v>11</v>
      </c>
      <c r="O8" s="118"/>
      <c r="P8" s="118"/>
      <c r="Q8" s="118"/>
      <c r="R8" s="44"/>
    </row>
    <row r="9" spans="1:18" s="2" customFormat="1" ht="15" customHeight="1" x14ac:dyDescent="0.45">
      <c r="A9" s="41"/>
      <c r="B9" s="42"/>
      <c r="C9" s="41"/>
      <c r="D9" s="41"/>
      <c r="E9" s="41"/>
      <c r="F9" s="41"/>
      <c r="G9" s="41"/>
      <c r="H9" s="41"/>
      <c r="I9" s="41"/>
      <c r="K9" s="16"/>
      <c r="L9" s="9" t="s">
        <v>7</v>
      </c>
      <c r="M9" s="9"/>
      <c r="N9" s="118" t="s">
        <v>12</v>
      </c>
      <c r="O9" s="118"/>
      <c r="P9" s="118"/>
      <c r="Q9" s="118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6"/>
      <c r="L10" s="9" t="s">
        <v>8</v>
      </c>
      <c r="M10" s="9"/>
      <c r="N10" s="119">
        <v>0</v>
      </c>
      <c r="O10" s="119"/>
      <c r="P10" s="119"/>
      <c r="Q10" s="119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 x14ac:dyDescent="0.45">
      <c r="A13" s="58"/>
      <c r="B13" s="117" t="s">
        <v>18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N13" s="1"/>
      <c r="O13" s="116" t="s">
        <v>14</v>
      </c>
      <c r="P13" s="116"/>
      <c r="Q13" s="116"/>
      <c r="R13" s="61"/>
    </row>
    <row r="14" spans="1:18" s="2" customFormat="1" ht="15" customHeight="1" x14ac:dyDescent="0.45">
      <c r="A14" s="59"/>
      <c r="B14" s="118" t="s">
        <v>19</v>
      </c>
      <c r="C14" s="118"/>
      <c r="D14" s="58" t="s">
        <v>20</v>
      </c>
      <c r="E14" s="43"/>
      <c r="F14" s="43"/>
      <c r="G14" s="43"/>
      <c r="H14" s="43"/>
      <c r="I14" s="43"/>
      <c r="J14" s="43"/>
      <c r="K14" s="43"/>
      <c r="L14" s="79"/>
      <c r="N14" s="15"/>
      <c r="O14" s="25"/>
      <c r="P14" s="20"/>
      <c r="Q14" s="20"/>
      <c r="R14" s="59"/>
    </row>
    <row r="15" spans="1:18" s="2" customFormat="1" ht="15" customHeight="1" x14ac:dyDescent="0.45">
      <c r="A15" s="59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N15" s="3"/>
      <c r="O15" s="25"/>
      <c r="P15" s="55" t="s">
        <v>15</v>
      </c>
      <c r="Q15" s="20"/>
      <c r="R15" s="59"/>
    </row>
    <row r="16" spans="1:18" s="2" customFormat="1" ht="15" customHeight="1" x14ac:dyDescent="0.45">
      <c r="A16" s="59"/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N16" s="16"/>
      <c r="O16" s="25"/>
      <c r="P16" s="36" t="s">
        <v>16</v>
      </c>
      <c r="Q16" s="20"/>
      <c r="R16" s="59"/>
    </row>
    <row r="17" spans="1:18" s="2" customFormat="1" ht="15" customHeight="1" x14ac:dyDescent="0.45">
      <c r="A17" s="59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N17" s="16"/>
      <c r="O17" s="25"/>
      <c r="P17" t="s">
        <v>17</v>
      </c>
      <c r="Q17" s="20"/>
      <c r="R17" s="59"/>
    </row>
    <row r="18" spans="1:18" s="2" customFormat="1" ht="15" customHeight="1" x14ac:dyDescent="0.45">
      <c r="A18" s="43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3"/>
    </row>
    <row r="21" spans="1:18" x14ac:dyDescent="0.45"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x14ac:dyDescent="0.45"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x14ac:dyDescent="0.45">
      <c r="F23" s="33"/>
      <c r="G23" s="33"/>
      <c r="H23" s="33"/>
      <c r="I23" s="33"/>
      <c r="J23" s="33"/>
      <c r="K23" s="33"/>
      <c r="L23" s="33"/>
      <c r="M23" s="33"/>
      <c r="N23" s="30"/>
      <c r="O23" s="30"/>
      <c r="P23" s="30"/>
      <c r="Q23" s="30"/>
    </row>
    <row r="24" spans="1:18" x14ac:dyDescent="0.45"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8" x14ac:dyDescent="0.4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8" x14ac:dyDescent="0.45"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</sheetData>
  <mergeCells count="19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S34"/>
  <sheetViews>
    <sheetView zoomScaleNormal="100" workbookViewId="0"/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13" width="10.6640625" customWidth="1"/>
  </cols>
  <sheetData>
    <row r="1" spans="1:19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9" s="35" customFormat="1" ht="30" customHeight="1" x14ac:dyDescent="0.65">
      <c r="A2" s="13" t="s">
        <v>53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4" spans="1:19" ht="15" customHeight="1" x14ac:dyDescent="0.45">
      <c r="A4" s="14" t="s">
        <v>26</v>
      </c>
      <c r="E4" s="14" t="s">
        <v>45</v>
      </c>
      <c r="I4" s="11" t="s">
        <v>47</v>
      </c>
      <c r="J4" s="11" t="s">
        <v>48</v>
      </c>
      <c r="K4" s="11" t="s">
        <v>51</v>
      </c>
      <c r="L4" s="11" t="s">
        <v>49</v>
      </c>
      <c r="M4" s="11" t="s">
        <v>50</v>
      </c>
      <c r="N4" s="11" t="s">
        <v>52</v>
      </c>
      <c r="O4" s="96"/>
      <c r="P4" s="96"/>
    </row>
    <row r="5" spans="1:19" ht="15" customHeight="1" x14ac:dyDescent="0.45">
      <c r="B5" t="s">
        <v>21</v>
      </c>
      <c r="C5" s="66">
        <v>43373</v>
      </c>
      <c r="E5" t="s">
        <v>253</v>
      </c>
      <c r="I5" s="67">
        <v>20</v>
      </c>
      <c r="J5" s="69">
        <v>3.7499999999999999E-2</v>
      </c>
      <c r="K5" s="69">
        <v>0</v>
      </c>
      <c r="L5" s="73">
        <f>MAX(K5,$C$21)+J5</f>
        <v>4.2499999999999996E-2</v>
      </c>
      <c r="M5" s="96" t="s">
        <v>130</v>
      </c>
      <c r="N5" s="67">
        <v>5</v>
      </c>
      <c r="O5" s="96"/>
      <c r="P5" s="96"/>
    </row>
    <row r="6" spans="1:19" ht="15" customHeight="1" x14ac:dyDescent="0.45">
      <c r="B6" t="s">
        <v>22</v>
      </c>
      <c r="C6" s="66">
        <v>43465</v>
      </c>
      <c r="E6" t="s">
        <v>254</v>
      </c>
      <c r="I6" s="67">
        <v>0</v>
      </c>
      <c r="J6" s="69">
        <v>7.4999999999999997E-2</v>
      </c>
      <c r="K6" s="69">
        <v>2.5000000000000001E-3</v>
      </c>
      <c r="L6" s="73">
        <f>MAX(K6,$C$21)+J6</f>
        <v>0.08</v>
      </c>
      <c r="M6" s="69">
        <v>0.01</v>
      </c>
      <c r="N6" s="67">
        <v>8</v>
      </c>
      <c r="O6" s="96"/>
      <c r="P6" s="96"/>
    </row>
    <row r="7" spans="1:19" ht="15" customHeight="1" x14ac:dyDescent="0.45">
      <c r="B7" t="s">
        <v>24</v>
      </c>
      <c r="C7" s="67">
        <v>5</v>
      </c>
      <c r="E7" t="s">
        <v>255</v>
      </c>
      <c r="I7" s="67">
        <v>0</v>
      </c>
      <c r="J7" s="69">
        <v>0.04</v>
      </c>
      <c r="K7" s="69">
        <v>0</v>
      </c>
      <c r="L7" s="73">
        <f>MAX(K7,$C$21)+J7</f>
        <v>4.4999999999999998E-2</v>
      </c>
      <c r="M7" s="69">
        <v>0.01</v>
      </c>
      <c r="N7" s="67">
        <v>5</v>
      </c>
      <c r="O7" s="96"/>
      <c r="P7" s="96"/>
    </row>
    <row r="8" spans="1:19" ht="15" customHeight="1" x14ac:dyDescent="0.45">
      <c r="A8" s="63"/>
      <c r="B8" t="s">
        <v>23</v>
      </c>
      <c r="C8" s="65">
        <f>EDATE(C6,C7*12)</f>
        <v>45291</v>
      </c>
      <c r="E8" t="s">
        <v>220</v>
      </c>
      <c r="I8" s="67">
        <v>800</v>
      </c>
      <c r="J8" s="69">
        <v>4.2500000000000003E-2</v>
      </c>
      <c r="K8" s="69">
        <v>2.5000000000000001E-3</v>
      </c>
      <c r="L8" s="73">
        <f>MAX(K8,$C$21)+J8</f>
        <v>4.7500000000000001E-2</v>
      </c>
      <c r="M8" s="69">
        <v>0.01</v>
      </c>
      <c r="N8" s="67">
        <v>6</v>
      </c>
      <c r="O8" s="96"/>
      <c r="P8" s="96"/>
    </row>
    <row r="9" spans="1:19" ht="15" customHeight="1" x14ac:dyDescent="0.45">
      <c r="A9" s="14" t="s">
        <v>44</v>
      </c>
      <c r="E9" t="s">
        <v>218</v>
      </c>
      <c r="I9" s="67">
        <v>300</v>
      </c>
      <c r="J9" s="69">
        <v>7.4999999999999997E-2</v>
      </c>
      <c r="K9" s="69">
        <v>2.5000000000000001E-3</v>
      </c>
      <c r="L9" s="73">
        <f>MAX(K9,$C$21)+J9</f>
        <v>0.08</v>
      </c>
      <c r="M9" s="69">
        <v>0.01</v>
      </c>
      <c r="N9" s="67">
        <v>7</v>
      </c>
      <c r="O9" s="96"/>
      <c r="P9" s="96"/>
    </row>
    <row r="10" spans="1:19" ht="15" customHeight="1" x14ac:dyDescent="0.45">
      <c r="B10" t="s">
        <v>39</v>
      </c>
      <c r="C10" s="67">
        <v>231.245</v>
      </c>
      <c r="D10" s="30"/>
      <c r="E10" t="s">
        <v>219</v>
      </c>
      <c r="I10" s="67">
        <v>100</v>
      </c>
      <c r="J10" s="96" t="s">
        <v>130</v>
      </c>
      <c r="K10" s="96" t="s">
        <v>130</v>
      </c>
      <c r="L10" s="69">
        <v>8.2500000000000004E-2</v>
      </c>
      <c r="M10" s="96" t="s">
        <v>130</v>
      </c>
      <c r="N10" s="67">
        <v>8</v>
      </c>
      <c r="O10" s="96"/>
      <c r="P10" s="96"/>
    </row>
    <row r="11" spans="1:19" ht="15" customHeight="1" x14ac:dyDescent="0.45">
      <c r="B11" t="s">
        <v>40</v>
      </c>
      <c r="C11" s="70">
        <v>8</v>
      </c>
      <c r="E11" t="s">
        <v>120</v>
      </c>
      <c r="I11" s="67">
        <v>100</v>
      </c>
      <c r="J11" s="96" t="s">
        <v>130</v>
      </c>
      <c r="K11" s="96" t="s">
        <v>130</v>
      </c>
      <c r="L11" s="69">
        <v>0.1</v>
      </c>
      <c r="M11" s="69">
        <v>0.01</v>
      </c>
      <c r="N11" s="67">
        <v>9</v>
      </c>
      <c r="O11" s="96"/>
      <c r="P11" s="96"/>
    </row>
    <row r="12" spans="1:19" ht="15" customHeight="1" x14ac:dyDescent="0.45">
      <c r="B12" t="s">
        <v>239</v>
      </c>
      <c r="C12">
        <f>C10*C11</f>
        <v>1849.96</v>
      </c>
      <c r="E12" t="s">
        <v>46</v>
      </c>
      <c r="I12">
        <f>C18-SUM(I5:I11)</f>
        <v>578.95920000000001</v>
      </c>
      <c r="O12" s="96"/>
      <c r="P12" s="96"/>
    </row>
    <row r="13" spans="1:19" ht="15" customHeight="1" x14ac:dyDescent="0.45">
      <c r="B13" t="s">
        <v>41</v>
      </c>
      <c r="C13" s="67">
        <v>100</v>
      </c>
      <c r="E13" s="84" t="s">
        <v>237</v>
      </c>
      <c r="F13" s="84"/>
      <c r="G13" s="84"/>
      <c r="I13" s="84">
        <f>SUM(I5:I12)</f>
        <v>1898.9592</v>
      </c>
      <c r="J13" s="90"/>
      <c r="K13" s="90"/>
      <c r="L13" s="90"/>
      <c r="M13" s="90"/>
      <c r="N13" s="90"/>
      <c r="O13" s="96"/>
      <c r="P13" s="96"/>
    </row>
    <row r="14" spans="1:19" ht="15" customHeight="1" x14ac:dyDescent="0.45">
      <c r="B14" t="s">
        <v>43</v>
      </c>
      <c r="C14">
        <f>Deal_Date!F72+Deal_Date!F77-Deal_Date!F61+C31</f>
        <v>29.214336615549996</v>
      </c>
      <c r="O14" s="96"/>
      <c r="P14" s="96"/>
    </row>
    <row r="15" spans="1:19" ht="15" customHeight="1" x14ac:dyDescent="0.45">
      <c r="B15" t="s">
        <v>42</v>
      </c>
      <c r="C15">
        <f>C12-C13-C14</f>
        <v>1720.7456633844499</v>
      </c>
      <c r="O15" s="96"/>
      <c r="P15" s="96"/>
    </row>
    <row r="16" spans="1:19" ht="15" customHeight="1" x14ac:dyDescent="0.45">
      <c r="B16" s="90" t="s">
        <v>252</v>
      </c>
      <c r="C16">
        <f>SUMPRODUCT(I6:I9,M6:M9)+I11*M11</f>
        <v>12</v>
      </c>
      <c r="E16" s="84"/>
      <c r="F16" s="84"/>
      <c r="G16" s="84"/>
      <c r="H16" s="84"/>
      <c r="I16" s="90"/>
      <c r="J16" s="90"/>
      <c r="K16" s="90"/>
      <c r="L16" s="90"/>
      <c r="M16" s="103"/>
      <c r="O16" s="96"/>
      <c r="P16" s="96"/>
      <c r="S16" s="90"/>
    </row>
    <row r="17" spans="1:16" ht="15" customHeight="1" x14ac:dyDescent="0.45">
      <c r="B17" t="s">
        <v>112</v>
      </c>
      <c r="C17">
        <f>C32*C12</f>
        <v>36.999200000000002</v>
      </c>
      <c r="H17" s="90"/>
      <c r="I17" s="90"/>
      <c r="J17" s="90"/>
      <c r="K17" s="90"/>
      <c r="L17" s="90"/>
      <c r="M17" s="103"/>
      <c r="O17" s="96"/>
      <c r="P17" s="96"/>
    </row>
    <row r="18" spans="1:16" ht="15" customHeight="1" x14ac:dyDescent="0.45">
      <c r="B18" s="84" t="s">
        <v>238</v>
      </c>
      <c r="C18" s="84">
        <f>SUM(C13:C17)</f>
        <v>1898.9592</v>
      </c>
      <c r="O18" s="96"/>
      <c r="P18" s="96"/>
    </row>
    <row r="19" spans="1:16" s="90" customFormat="1" ht="15" customHeight="1" x14ac:dyDescent="0.45">
      <c r="A19" s="14"/>
    </row>
    <row r="20" spans="1:16" ht="15" customHeight="1" x14ac:dyDescent="0.45">
      <c r="A20" s="14" t="s">
        <v>27</v>
      </c>
    </row>
    <row r="21" spans="1:16" ht="15" customHeight="1" x14ac:dyDescent="0.45">
      <c r="B21" t="s">
        <v>25</v>
      </c>
      <c r="C21" s="69">
        <v>5.0000000000000001E-3</v>
      </c>
    </row>
    <row r="22" spans="1:16" ht="15" customHeight="1" x14ac:dyDescent="0.45">
      <c r="B22" t="s">
        <v>28</v>
      </c>
      <c r="C22" s="69">
        <v>1E-3</v>
      </c>
    </row>
    <row r="23" spans="1:16" ht="15" customHeight="1" x14ac:dyDescent="0.45">
      <c r="B23" t="s">
        <v>117</v>
      </c>
      <c r="C23" s="67">
        <v>100</v>
      </c>
    </row>
    <row r="24" spans="1:16" ht="15" customHeight="1" x14ac:dyDescent="0.45">
      <c r="B24" t="s">
        <v>32</v>
      </c>
      <c r="C24" s="69">
        <v>1.4999999999999999E-2</v>
      </c>
    </row>
    <row r="25" spans="1:16" ht="15" customHeight="1" x14ac:dyDescent="0.45">
      <c r="B25" s="96" t="s">
        <v>34</v>
      </c>
      <c r="C25" s="67">
        <v>200</v>
      </c>
      <c r="D25" s="96"/>
      <c r="E25" s="96"/>
      <c r="F25" s="96"/>
      <c r="G25" s="96"/>
    </row>
    <row r="26" spans="1:16" ht="15" customHeight="1" x14ac:dyDescent="0.45">
      <c r="B26" t="s">
        <v>118</v>
      </c>
      <c r="C26" s="69">
        <v>1.4999999999999999E-2</v>
      </c>
    </row>
    <row r="27" spans="1:16" ht="15" customHeight="1" x14ac:dyDescent="0.45">
      <c r="B27" t="s">
        <v>30</v>
      </c>
      <c r="C27" s="68">
        <v>0.01</v>
      </c>
    </row>
    <row r="28" spans="1:16" s="90" customFormat="1" ht="15" customHeight="1" x14ac:dyDescent="0.45">
      <c r="A28" s="14"/>
      <c r="B28" s="90" t="s">
        <v>260</v>
      </c>
      <c r="C28" s="90">
        <f>MAX(N5:N11)</f>
        <v>9</v>
      </c>
    </row>
    <row r="29" spans="1:16" s="87" customFormat="1" ht="15" customHeight="1" x14ac:dyDescent="0.45">
      <c r="A29" s="14"/>
    </row>
    <row r="30" spans="1:16" ht="15" customHeight="1" x14ac:dyDescent="0.45">
      <c r="A30" s="14" t="s">
        <v>29</v>
      </c>
    </row>
    <row r="31" spans="1:16" ht="15" customHeight="1" x14ac:dyDescent="0.45">
      <c r="B31" t="s">
        <v>31</v>
      </c>
      <c r="C31" s="67">
        <v>30</v>
      </c>
    </row>
    <row r="32" spans="1:16" ht="15" customHeight="1" x14ac:dyDescent="0.45">
      <c r="B32" t="s">
        <v>265</v>
      </c>
      <c r="C32" s="68">
        <v>0.02</v>
      </c>
    </row>
    <row r="34" spans="1:1" ht="15" customHeight="1" x14ac:dyDescent="0.45">
      <c r="A34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C5B2-3BFD-4C9A-BD23-100E806BD9E8}">
  <sheetPr>
    <tabColor rgb="FF00B050"/>
  </sheetPr>
  <dimension ref="A1:T115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3.19921875" bestFit="1" customWidth="1"/>
    <col min="10" max="29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264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F3" s="96"/>
      <c r="G3" s="96"/>
      <c r="H3" s="96"/>
    </row>
    <row r="4" spans="1:20" ht="15" customHeight="1" x14ac:dyDescent="0.45">
      <c r="A4" s="14" t="s">
        <v>55</v>
      </c>
    </row>
    <row r="5" spans="1:20" ht="15" customHeight="1" x14ac:dyDescent="0.45">
      <c r="B5" t="s">
        <v>73</v>
      </c>
      <c r="D5" s="72">
        <f>D45/C45-1</f>
        <v>1.2491633560250515E-2</v>
      </c>
      <c r="E5" s="72">
        <f>E45/D45-1</f>
        <v>4.6751022787410834E-2</v>
      </c>
      <c r="I5" s="77">
        <v>4.4999999999999998E-2</v>
      </c>
      <c r="J5" s="77">
        <v>4.4999999999999998E-2</v>
      </c>
      <c r="K5" s="77">
        <v>4.4999999999999998E-2</v>
      </c>
      <c r="L5" s="77">
        <v>4.4999999999999998E-2</v>
      </c>
      <c r="M5" s="77">
        <v>4.4999999999999998E-2</v>
      </c>
      <c r="N5" s="77">
        <v>4.4999999999999998E-2</v>
      </c>
      <c r="O5" s="77">
        <v>4.4999999999999998E-2</v>
      </c>
      <c r="P5" s="77">
        <v>4.4999999999999998E-2</v>
      </c>
      <c r="Q5" s="77">
        <v>4.4999999999999998E-2</v>
      </c>
      <c r="R5" s="77">
        <v>4.4999999999999998E-2</v>
      </c>
      <c r="S5" s="77">
        <v>4.4999999999999998E-2</v>
      </c>
      <c r="T5" s="77">
        <v>4.4999999999999998E-2</v>
      </c>
    </row>
    <row r="6" spans="1:20" ht="15" customHeight="1" x14ac:dyDescent="0.45">
      <c r="B6" t="s">
        <v>74</v>
      </c>
      <c r="C6" s="72">
        <f>C46/C45</f>
        <v>6.2545909959297388E-2</v>
      </c>
      <c r="D6" s="72">
        <f t="shared" ref="D6:E6" si="1">D46/D45</f>
        <v>5.1633219379613279E-2</v>
      </c>
      <c r="E6" s="72">
        <f t="shared" si="1"/>
        <v>5.6514569300010579E-2</v>
      </c>
      <c r="I6" s="77">
        <v>7.5999999999999998E-2</v>
      </c>
      <c r="J6" s="77">
        <v>7.5999999999999998E-2</v>
      </c>
      <c r="K6" s="77">
        <v>7.5999999999999998E-2</v>
      </c>
      <c r="L6" s="77">
        <v>7.5999999999999998E-2</v>
      </c>
      <c r="M6" s="77">
        <v>7.5999999999999998E-2</v>
      </c>
      <c r="N6" s="77">
        <v>7.5999999999999998E-2</v>
      </c>
      <c r="O6" s="77">
        <v>7.5999999999999998E-2</v>
      </c>
      <c r="P6" s="77">
        <v>7.5999999999999998E-2</v>
      </c>
      <c r="Q6" s="77">
        <v>7.5999999999999998E-2</v>
      </c>
      <c r="R6" s="77">
        <v>7.5999999999999998E-2</v>
      </c>
      <c r="S6" s="77">
        <v>7.5999999999999998E-2</v>
      </c>
      <c r="T6" s="77">
        <v>7.5999999999999998E-2</v>
      </c>
    </row>
    <row r="7" spans="1:20" ht="15" customHeight="1" x14ac:dyDescent="0.45">
      <c r="B7" t="s">
        <v>75</v>
      </c>
      <c r="D7" s="72">
        <f>-D48/C66</f>
        <v>0.20456187493142489</v>
      </c>
      <c r="E7" s="72">
        <f>-E48/D66</f>
        <v>0.18502007413722524</v>
      </c>
      <c r="I7" s="77">
        <v>0.185</v>
      </c>
      <c r="J7" s="77">
        <v>0.185</v>
      </c>
      <c r="K7" s="77">
        <v>0.185</v>
      </c>
      <c r="L7" s="77">
        <v>0.185</v>
      </c>
      <c r="M7" s="77">
        <v>0.185</v>
      </c>
      <c r="N7" s="77">
        <v>0.185</v>
      </c>
      <c r="O7" s="77">
        <v>0.185</v>
      </c>
      <c r="P7" s="77">
        <v>0.185</v>
      </c>
      <c r="Q7" s="77">
        <v>0.185</v>
      </c>
      <c r="R7" s="77">
        <v>0.185</v>
      </c>
      <c r="S7" s="77">
        <v>0.185</v>
      </c>
      <c r="T7" s="77">
        <v>0.185</v>
      </c>
    </row>
    <row r="8" spans="1:20" ht="15" customHeight="1" x14ac:dyDescent="0.45">
      <c r="B8" t="s">
        <v>76</v>
      </c>
      <c r="C8">
        <f>C49</f>
        <v>-4</v>
      </c>
      <c r="D8">
        <f t="shared" ref="D8:E8" si="2">D49</f>
        <v>-4.24</v>
      </c>
      <c r="E8">
        <f t="shared" si="2"/>
        <v>-4.54</v>
      </c>
      <c r="I8" s="67">
        <v>-4.5</v>
      </c>
      <c r="J8" s="67">
        <v>-4.5</v>
      </c>
      <c r="K8" s="67">
        <v>-4.5</v>
      </c>
      <c r="L8" s="67">
        <v>-4.5</v>
      </c>
      <c r="M8" s="67">
        <v>-4.5</v>
      </c>
      <c r="N8" s="67">
        <v>-4.5</v>
      </c>
      <c r="O8" s="67">
        <v>-4.5</v>
      </c>
      <c r="P8" s="67">
        <v>-4.5</v>
      </c>
      <c r="Q8" s="67">
        <v>-4.5</v>
      </c>
      <c r="R8" s="67">
        <v>-4.5</v>
      </c>
      <c r="S8" s="67">
        <v>-4.5</v>
      </c>
      <c r="T8" s="67">
        <v>-4.5</v>
      </c>
    </row>
    <row r="9" spans="1:20" ht="15" customHeight="1" x14ac:dyDescent="0.45">
      <c r="B9" t="s">
        <v>77</v>
      </c>
      <c r="C9" s="72">
        <f>-C55/C53</f>
        <v>0.40194919408321561</v>
      </c>
      <c r="D9" s="72">
        <f t="shared" ref="D9:E9" si="3">-D55/D53</f>
        <v>0.30863604330834771</v>
      </c>
      <c r="E9" s="72">
        <f t="shared" si="3"/>
        <v>-0.16194412430950206</v>
      </c>
      <c r="F9" s="85"/>
      <c r="G9" s="85"/>
      <c r="H9" s="85"/>
      <c r="I9" s="77">
        <v>0.21</v>
      </c>
      <c r="J9" s="77">
        <v>0.21</v>
      </c>
      <c r="K9" s="77">
        <v>0.21</v>
      </c>
      <c r="L9" s="77">
        <v>0.21</v>
      </c>
      <c r="M9" s="77">
        <v>0.21</v>
      </c>
      <c r="N9" s="77">
        <v>0.21</v>
      </c>
      <c r="O9" s="77">
        <v>0.21</v>
      </c>
      <c r="P9" s="77">
        <v>0.21</v>
      </c>
      <c r="Q9" s="77">
        <v>0.21</v>
      </c>
      <c r="R9" s="77">
        <v>0.21</v>
      </c>
      <c r="S9" s="77">
        <v>0.21</v>
      </c>
      <c r="T9" s="77">
        <v>0.21</v>
      </c>
    </row>
    <row r="10" spans="1:20" ht="15" customHeight="1" x14ac:dyDescent="0.45">
      <c r="B10" t="s">
        <v>61</v>
      </c>
      <c r="C10" s="30">
        <f>C58</f>
        <v>-6.8369999999999997</v>
      </c>
      <c r="D10" s="83">
        <f t="shared" ref="D10:E10" si="4">D58</f>
        <v>-8.3179999999999996</v>
      </c>
      <c r="E10" s="83">
        <f t="shared" si="4"/>
        <v>-8.2639999999999993</v>
      </c>
      <c r="F10" s="85"/>
      <c r="G10" s="85"/>
      <c r="H10" s="85"/>
      <c r="I10" s="67">
        <v>-8.3000000000000007</v>
      </c>
      <c r="J10" s="67">
        <v>-8.3000000000000007</v>
      </c>
      <c r="K10" s="67">
        <v>-8.3000000000000007</v>
      </c>
      <c r="L10" s="67">
        <v>-8.3000000000000007</v>
      </c>
      <c r="M10" s="67">
        <v>-8.3000000000000007</v>
      </c>
      <c r="N10" s="67">
        <v>-8.3000000000000007</v>
      </c>
      <c r="O10" s="67">
        <v>-8.3000000000000007</v>
      </c>
      <c r="P10" s="67">
        <v>-8.3000000000000007</v>
      </c>
      <c r="Q10" s="67">
        <v>-8.3000000000000007</v>
      </c>
      <c r="R10" s="67">
        <v>-8.3000000000000007</v>
      </c>
      <c r="S10" s="67">
        <v>-8.3000000000000007</v>
      </c>
      <c r="T10" s="67">
        <v>-8.3000000000000007</v>
      </c>
    </row>
    <row r="11" spans="1:20" ht="15" customHeight="1" x14ac:dyDescent="0.45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</row>
    <row r="12" spans="1:20" ht="15" customHeight="1" x14ac:dyDescent="0.45">
      <c r="B12" t="s">
        <v>78</v>
      </c>
      <c r="C12">
        <f>C62/C45*365</f>
        <v>33.232332985239438</v>
      </c>
      <c r="D12">
        <f>D62/D45*365</f>
        <v>37.034627561690364</v>
      </c>
      <c r="E12">
        <f>E62/E45*365</f>
        <v>38.555769643762488</v>
      </c>
      <c r="I12" s="67">
        <v>38.6</v>
      </c>
      <c r="J12" s="67">
        <v>38.6</v>
      </c>
      <c r="K12" s="67">
        <v>38.6</v>
      </c>
      <c r="L12" s="67">
        <v>38.6</v>
      </c>
      <c r="M12" s="67">
        <v>38.6</v>
      </c>
      <c r="N12" s="67">
        <v>38.6</v>
      </c>
      <c r="O12" s="67">
        <v>38.6</v>
      </c>
      <c r="P12" s="67">
        <v>38.6</v>
      </c>
      <c r="Q12" s="67">
        <v>38.6</v>
      </c>
      <c r="R12" s="67">
        <v>38.6</v>
      </c>
      <c r="S12" s="67">
        <v>38.6</v>
      </c>
      <c r="T12" s="67">
        <v>38.6</v>
      </c>
    </row>
    <row r="13" spans="1:20" ht="15" customHeight="1" x14ac:dyDescent="0.45">
      <c r="B13" t="s">
        <v>79</v>
      </c>
      <c r="C13" s="72">
        <f>C63/C45</f>
        <v>3.0490024954019729E-2</v>
      </c>
      <c r="D13" s="72">
        <f>D63/D45</f>
        <v>2.8120682063195616E-2</v>
      </c>
      <c r="E13" s="72">
        <f>E63/E45</f>
        <v>1.3660565152768997E-2</v>
      </c>
      <c r="I13" s="77">
        <v>1.4E-2</v>
      </c>
      <c r="J13" s="77">
        <v>1.4E-2</v>
      </c>
      <c r="K13" s="77">
        <v>1.4E-2</v>
      </c>
      <c r="L13" s="77">
        <v>1.4E-2</v>
      </c>
      <c r="M13" s="77">
        <v>1.4E-2</v>
      </c>
      <c r="N13" s="77">
        <v>1.4E-2</v>
      </c>
      <c r="O13" s="77">
        <v>1.4E-2</v>
      </c>
      <c r="P13" s="77">
        <v>1.4E-2</v>
      </c>
      <c r="Q13" s="77">
        <v>1.4E-2</v>
      </c>
      <c r="R13" s="77">
        <v>1.4E-2</v>
      </c>
      <c r="S13" s="77">
        <v>1.4E-2</v>
      </c>
      <c r="T13" s="77">
        <v>1.4E-2</v>
      </c>
    </row>
    <row r="14" spans="1:20" ht="15" customHeight="1" x14ac:dyDescent="0.45">
      <c r="B14" t="s">
        <v>80</v>
      </c>
      <c r="C14" s="72">
        <f>C29/C45</f>
        <v>3.2598461512502314E-2</v>
      </c>
      <c r="D14" s="72">
        <f>D29/D45</f>
        <v>2.9161708735476639E-2</v>
      </c>
      <c r="E14" s="72">
        <f>E29/E45</f>
        <v>2.6754696781164544E-2</v>
      </c>
      <c r="I14" s="77">
        <v>2.7E-2</v>
      </c>
      <c r="J14" s="77">
        <v>2.7E-2</v>
      </c>
      <c r="K14" s="77">
        <v>2.7E-2</v>
      </c>
      <c r="L14" s="77">
        <v>2.7E-2</v>
      </c>
      <c r="M14" s="77">
        <v>2.7E-2</v>
      </c>
      <c r="N14" s="77">
        <v>2.7E-2</v>
      </c>
      <c r="O14" s="77">
        <v>2.7E-2</v>
      </c>
      <c r="P14" s="77">
        <v>2.7E-2</v>
      </c>
      <c r="Q14" s="77">
        <v>2.7E-2</v>
      </c>
      <c r="R14" s="77">
        <v>2.7E-2</v>
      </c>
      <c r="S14" s="77">
        <v>2.7E-2</v>
      </c>
      <c r="T14" s="77">
        <v>2.7E-2</v>
      </c>
    </row>
    <row r="15" spans="1:20" ht="15" customHeight="1" x14ac:dyDescent="0.45">
      <c r="B15" t="s">
        <v>85</v>
      </c>
      <c r="C15">
        <f>C68</f>
        <v>54.527000000000001</v>
      </c>
      <c r="D15">
        <f>D68</f>
        <v>66.094999999999999</v>
      </c>
      <c r="E15">
        <f>E68</f>
        <v>70.338999999999999</v>
      </c>
      <c r="I15" s="67">
        <v>70.3</v>
      </c>
      <c r="J15" s="67">
        <v>70.3</v>
      </c>
      <c r="K15" s="67">
        <v>70.3</v>
      </c>
      <c r="L15" s="67">
        <v>70.3</v>
      </c>
      <c r="M15" s="67">
        <v>70.3</v>
      </c>
      <c r="N15" s="67">
        <v>70.3</v>
      </c>
      <c r="O15" s="67">
        <v>70.3</v>
      </c>
      <c r="P15" s="67">
        <v>70.3</v>
      </c>
      <c r="Q15" s="67">
        <v>70.3</v>
      </c>
      <c r="R15" s="67">
        <v>70.3</v>
      </c>
      <c r="S15" s="67">
        <v>70.3</v>
      </c>
      <c r="T15" s="67">
        <v>70.3</v>
      </c>
    </row>
    <row r="16" spans="1:20" ht="15" customHeight="1" x14ac:dyDescent="0.45">
      <c r="B16" t="s">
        <v>86</v>
      </c>
      <c r="C16">
        <f>C72/C45*365</f>
        <v>17.911093571012088</v>
      </c>
      <c r="D16">
        <f>D72/D45*365</f>
        <v>18.018858840708845</v>
      </c>
      <c r="E16">
        <f>E72/E45*365</f>
        <v>16.671449450672696</v>
      </c>
      <c r="I16" s="67">
        <v>16.7</v>
      </c>
      <c r="J16" s="67">
        <v>16.7</v>
      </c>
      <c r="K16" s="67">
        <v>16.7</v>
      </c>
      <c r="L16" s="67">
        <v>16.7</v>
      </c>
      <c r="M16" s="67">
        <v>16.7</v>
      </c>
      <c r="N16" s="67">
        <v>16.7</v>
      </c>
      <c r="O16" s="67">
        <v>16.7</v>
      </c>
      <c r="P16" s="67">
        <v>16.7</v>
      </c>
      <c r="Q16" s="67">
        <v>16.7</v>
      </c>
      <c r="R16" s="67">
        <v>16.7</v>
      </c>
      <c r="S16" s="67">
        <v>16.7</v>
      </c>
      <c r="T16" s="67">
        <v>16.7</v>
      </c>
    </row>
    <row r="17" spans="1:20" ht="15" customHeight="1" x14ac:dyDescent="0.45">
      <c r="B17" t="s">
        <v>87</v>
      </c>
      <c r="C17" s="72">
        <f>C73/C45</f>
        <v>7.0800422212264777E-2</v>
      </c>
      <c r="D17" s="72">
        <f>D73/D45</f>
        <v>7.0373551182330019E-2</v>
      </c>
      <c r="E17" s="72">
        <f>E73/E45</f>
        <v>7.4850245377870606E-2</v>
      </c>
      <c r="I17" s="77">
        <v>7.4999999999999997E-2</v>
      </c>
      <c r="J17" s="77">
        <v>7.4999999999999997E-2</v>
      </c>
      <c r="K17" s="77">
        <v>7.4999999999999997E-2</v>
      </c>
      <c r="L17" s="77">
        <v>7.4999999999999997E-2</v>
      </c>
      <c r="M17" s="77">
        <v>7.4999999999999997E-2</v>
      </c>
      <c r="N17" s="77">
        <v>7.4999999999999997E-2</v>
      </c>
      <c r="O17" s="77">
        <v>7.4999999999999997E-2</v>
      </c>
      <c r="P17" s="77">
        <v>7.4999999999999997E-2</v>
      </c>
      <c r="Q17" s="77">
        <v>7.4999999999999997E-2</v>
      </c>
      <c r="R17" s="77">
        <v>7.4999999999999997E-2</v>
      </c>
      <c r="S17" s="77">
        <v>7.4999999999999997E-2</v>
      </c>
      <c r="T17" s="77">
        <v>7.4999999999999997E-2</v>
      </c>
    </row>
    <row r="18" spans="1:20" ht="15" customHeight="1" x14ac:dyDescent="0.45">
      <c r="B18" t="s">
        <v>113</v>
      </c>
      <c r="D18">
        <f>D77-C77</f>
        <v>2.1119999999999663</v>
      </c>
      <c r="E18">
        <f>E77-D77</f>
        <v>-39.496999999999986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</row>
    <row r="19" spans="1:20" ht="15" customHeight="1" x14ac:dyDescent="0.45"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</row>
    <row r="20" spans="1:20" ht="15" customHeight="1" x14ac:dyDescent="0.45">
      <c r="B20" t="s">
        <v>115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</row>
    <row r="21" spans="1:20" ht="15" customHeight="1" x14ac:dyDescent="0.45">
      <c r="B21" t="s">
        <v>133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</row>
    <row r="22" spans="1:20" ht="15" customHeight="1" x14ac:dyDescent="0.45">
      <c r="B22" t="s">
        <v>139</v>
      </c>
      <c r="I22" s="77">
        <v>0.01</v>
      </c>
      <c r="J22" s="77">
        <v>0.01</v>
      </c>
      <c r="K22" s="77">
        <v>0.01</v>
      </c>
      <c r="L22" s="77">
        <v>0.01</v>
      </c>
      <c r="M22" s="77">
        <v>0.01</v>
      </c>
      <c r="N22" s="77">
        <v>0.01</v>
      </c>
      <c r="O22" s="77">
        <v>0.01</v>
      </c>
      <c r="P22" s="77">
        <v>0.01</v>
      </c>
      <c r="Q22" s="77">
        <v>0.01</v>
      </c>
      <c r="R22" s="77">
        <v>0.01</v>
      </c>
      <c r="S22" s="77">
        <v>0.01</v>
      </c>
      <c r="T22" s="77">
        <v>0.01</v>
      </c>
    </row>
    <row r="23" spans="1:20" ht="15" customHeight="1" x14ac:dyDescent="0.45">
      <c r="B23" t="s">
        <v>138</v>
      </c>
      <c r="I23" s="77">
        <v>0.05</v>
      </c>
      <c r="J23" s="77">
        <v>0.05</v>
      </c>
      <c r="K23" s="77">
        <v>0.05</v>
      </c>
      <c r="L23" s="77">
        <v>0.05</v>
      </c>
      <c r="M23" s="77">
        <v>0.05</v>
      </c>
      <c r="N23" s="77">
        <v>0.05</v>
      </c>
      <c r="O23" s="77">
        <v>0.05</v>
      </c>
      <c r="P23" s="77">
        <v>0.05</v>
      </c>
      <c r="Q23" s="77">
        <v>0.05</v>
      </c>
      <c r="R23" s="77">
        <v>0.05</v>
      </c>
      <c r="S23" s="77">
        <v>0.05</v>
      </c>
      <c r="T23" s="77">
        <v>0.05</v>
      </c>
    </row>
    <row r="24" spans="1:20" ht="15" customHeight="1" x14ac:dyDescent="0.45">
      <c r="B24" t="s">
        <v>140</v>
      </c>
      <c r="I24" s="77">
        <v>1E-3</v>
      </c>
      <c r="J24" s="77">
        <v>1E-3</v>
      </c>
      <c r="K24" s="77">
        <v>1E-3</v>
      </c>
      <c r="L24" s="77">
        <v>1E-3</v>
      </c>
      <c r="M24" s="77">
        <v>1E-3</v>
      </c>
      <c r="N24" s="77">
        <v>1E-3</v>
      </c>
      <c r="O24" s="77">
        <v>1E-3</v>
      </c>
      <c r="P24" s="77">
        <v>1E-3</v>
      </c>
      <c r="Q24" s="77">
        <v>1E-3</v>
      </c>
      <c r="R24" s="77">
        <v>1E-3</v>
      </c>
      <c r="S24" s="77">
        <v>1E-3</v>
      </c>
      <c r="T24" s="77">
        <v>1E-3</v>
      </c>
    </row>
    <row r="26" spans="1:20" ht="15" customHeight="1" x14ac:dyDescent="0.45">
      <c r="A26" s="14" t="s">
        <v>81</v>
      </c>
    </row>
    <row r="27" spans="1:20" ht="15" customHeight="1" x14ac:dyDescent="0.45">
      <c r="B27" t="s">
        <v>66</v>
      </c>
    </row>
    <row r="28" spans="1:20" ht="15" customHeight="1" x14ac:dyDescent="0.45">
      <c r="B28" t="s">
        <v>82</v>
      </c>
      <c r="I28">
        <f>E31</f>
        <v>591.16399999999999</v>
      </c>
      <c r="J28">
        <f>I31</f>
        <v>561.54714425499992</v>
      </c>
      <c r="K28">
        <f t="shared" ref="K28:T28" si="5">J31</f>
        <v>540.99808861429995</v>
      </c>
      <c r="L28">
        <f t="shared" si="5"/>
        <v>528.00078073922077</v>
      </c>
      <c r="M28">
        <f t="shared" si="5"/>
        <v>521.32690505436676</v>
      </c>
      <c r="N28">
        <f t="shared" si="5"/>
        <v>519.98297846504624</v>
      </c>
      <c r="O28">
        <f t="shared" si="5"/>
        <v>523.16724808280833</v>
      </c>
      <c r="P28">
        <f t="shared" si="5"/>
        <v>530.23457824980517</v>
      </c>
      <c r="Q28">
        <f t="shared" si="5"/>
        <v>540.66784953371177</v>
      </c>
      <c r="R28">
        <f t="shared" si="5"/>
        <v>554.05466570180113</v>
      </c>
      <c r="S28">
        <f t="shared" si="5"/>
        <v>570.06838745372613</v>
      </c>
      <c r="T28">
        <f t="shared" si="5"/>
        <v>588.45269325234915</v>
      </c>
    </row>
    <row r="29" spans="1:20" ht="15" customHeight="1" x14ac:dyDescent="0.45">
      <c r="B29" t="s">
        <v>83</v>
      </c>
      <c r="C29" s="76">
        <v>86.936999999999998</v>
      </c>
      <c r="D29" s="76">
        <v>78.742999999999995</v>
      </c>
      <c r="E29" s="76">
        <v>75.620999999999995</v>
      </c>
      <c r="F29" s="30"/>
      <c r="G29" s="30"/>
      <c r="H29" s="30"/>
      <c r="I29" s="30">
        <f t="shared" ref="I29:T29" si="6">I14*I45</f>
        <v>79.748484254999994</v>
      </c>
      <c r="J29">
        <f t="shared" si="6"/>
        <v>83.337166046474991</v>
      </c>
      <c r="K29">
        <f t="shared" si="6"/>
        <v>87.087338518566355</v>
      </c>
      <c r="L29">
        <f t="shared" si="6"/>
        <v>91.006268751901843</v>
      </c>
      <c r="M29">
        <f t="shared" si="6"/>
        <v>95.101550845737407</v>
      </c>
      <c r="N29">
        <f t="shared" si="6"/>
        <v>99.381120633795589</v>
      </c>
      <c r="O29">
        <f t="shared" si="6"/>
        <v>103.85327106231638</v>
      </c>
      <c r="P29">
        <f t="shared" si="6"/>
        <v>108.52666826012062</v>
      </c>
      <c r="Q29">
        <f t="shared" si="6"/>
        <v>113.41036833182602</v>
      </c>
      <c r="R29">
        <f t="shared" si="6"/>
        <v>118.51383490675818</v>
      </c>
      <c r="S29">
        <f t="shared" si="6"/>
        <v>123.84695747756228</v>
      </c>
      <c r="T29">
        <f t="shared" si="6"/>
        <v>129.42007056405257</v>
      </c>
    </row>
    <row r="30" spans="1:20" ht="15" customHeight="1" x14ac:dyDescent="0.45">
      <c r="B30" t="s">
        <v>58</v>
      </c>
      <c r="I30" s="30">
        <f>-I7*I28</f>
        <v>-109.36534</v>
      </c>
      <c r="J30">
        <f t="shared" ref="J30:T30" si="7">J7*-J28</f>
        <v>-103.88622168717498</v>
      </c>
      <c r="K30">
        <f t="shared" si="7"/>
        <v>-100.08464639364549</v>
      </c>
      <c r="L30">
        <f t="shared" si="7"/>
        <v>-97.680144436755839</v>
      </c>
      <c r="M30">
        <f t="shared" si="7"/>
        <v>-96.445477435057853</v>
      </c>
      <c r="N30">
        <f t="shared" si="7"/>
        <v>-96.196851016033548</v>
      </c>
      <c r="O30">
        <f t="shared" si="7"/>
        <v>-96.785940895319541</v>
      </c>
      <c r="P30">
        <f t="shared" si="7"/>
        <v>-98.093396976213953</v>
      </c>
      <c r="Q30">
        <f t="shared" si="7"/>
        <v>-100.02355216373668</v>
      </c>
      <c r="R30">
        <f t="shared" si="7"/>
        <v>-102.5001131548332</v>
      </c>
      <c r="S30">
        <f t="shared" si="7"/>
        <v>-105.46265167893934</v>
      </c>
      <c r="T30">
        <f t="shared" si="7"/>
        <v>-108.8637482516846</v>
      </c>
    </row>
    <row r="31" spans="1:20" ht="15" customHeight="1" x14ac:dyDescent="0.45">
      <c r="B31" t="s">
        <v>84</v>
      </c>
      <c r="E31">
        <f>E66</f>
        <v>591.16399999999999</v>
      </c>
      <c r="I31">
        <f>SUM(I28:I30)</f>
        <v>561.54714425499992</v>
      </c>
      <c r="J31">
        <f t="shared" ref="J31:T31" si="8">SUM(J28:J30)</f>
        <v>540.99808861429995</v>
      </c>
      <c r="K31">
        <f t="shared" si="8"/>
        <v>528.00078073922077</v>
      </c>
      <c r="L31">
        <f t="shared" si="8"/>
        <v>521.32690505436676</v>
      </c>
      <c r="M31">
        <f t="shared" si="8"/>
        <v>519.98297846504624</v>
      </c>
      <c r="N31">
        <f t="shared" si="8"/>
        <v>523.16724808280833</v>
      </c>
      <c r="O31">
        <f t="shared" si="8"/>
        <v>530.23457824980517</v>
      </c>
      <c r="P31">
        <f t="shared" si="8"/>
        <v>540.66784953371177</v>
      </c>
      <c r="Q31">
        <f t="shared" si="8"/>
        <v>554.05466570180113</v>
      </c>
      <c r="R31">
        <f t="shared" si="8"/>
        <v>570.06838745372613</v>
      </c>
      <c r="S31">
        <f t="shared" si="8"/>
        <v>588.45269325234915</v>
      </c>
      <c r="T31">
        <f t="shared" si="8"/>
        <v>609.00901556471717</v>
      </c>
    </row>
    <row r="33" spans="1:20" ht="15" customHeight="1" x14ac:dyDescent="0.45">
      <c r="B33" t="s">
        <v>67</v>
      </c>
    </row>
    <row r="34" spans="1:20" ht="15" customHeight="1" x14ac:dyDescent="0.45">
      <c r="B34" t="s">
        <v>82</v>
      </c>
      <c r="I34">
        <f>E36</f>
        <v>181.78899999999999</v>
      </c>
      <c r="J34">
        <f t="shared" ref="J34:T34" si="9">I36</f>
        <v>177.28899999999999</v>
      </c>
      <c r="K34">
        <f t="shared" si="9"/>
        <v>172.78899999999999</v>
      </c>
      <c r="L34">
        <f t="shared" si="9"/>
        <v>168.28899999999999</v>
      </c>
      <c r="M34">
        <f t="shared" si="9"/>
        <v>163.78899999999999</v>
      </c>
      <c r="N34">
        <f t="shared" si="9"/>
        <v>159.28899999999999</v>
      </c>
      <c r="O34">
        <f t="shared" si="9"/>
        <v>154.78899999999999</v>
      </c>
      <c r="P34">
        <f t="shared" si="9"/>
        <v>150.28899999999999</v>
      </c>
      <c r="Q34">
        <f t="shared" si="9"/>
        <v>145.78899999999999</v>
      </c>
      <c r="R34">
        <f t="shared" si="9"/>
        <v>141.28899999999999</v>
      </c>
      <c r="S34">
        <f t="shared" si="9"/>
        <v>136.78899999999999</v>
      </c>
      <c r="T34">
        <f t="shared" si="9"/>
        <v>132.28899999999999</v>
      </c>
    </row>
    <row r="35" spans="1:20" ht="15" customHeight="1" x14ac:dyDescent="0.45">
      <c r="B35" t="s">
        <v>59</v>
      </c>
      <c r="I35" s="30">
        <f t="shared" ref="I35:T35" si="10">I8</f>
        <v>-4.5</v>
      </c>
      <c r="J35">
        <f t="shared" si="10"/>
        <v>-4.5</v>
      </c>
      <c r="K35">
        <f t="shared" si="10"/>
        <v>-4.5</v>
      </c>
      <c r="L35">
        <f t="shared" si="10"/>
        <v>-4.5</v>
      </c>
      <c r="M35">
        <f t="shared" si="10"/>
        <v>-4.5</v>
      </c>
      <c r="N35">
        <f t="shared" si="10"/>
        <v>-4.5</v>
      </c>
      <c r="O35">
        <f t="shared" si="10"/>
        <v>-4.5</v>
      </c>
      <c r="P35">
        <f t="shared" si="10"/>
        <v>-4.5</v>
      </c>
      <c r="Q35">
        <f t="shared" si="10"/>
        <v>-4.5</v>
      </c>
      <c r="R35">
        <f t="shared" si="10"/>
        <v>-4.5</v>
      </c>
      <c r="S35">
        <f t="shared" si="10"/>
        <v>-4.5</v>
      </c>
      <c r="T35">
        <f t="shared" si="10"/>
        <v>-4.5</v>
      </c>
    </row>
    <row r="36" spans="1:20" ht="15" customHeight="1" x14ac:dyDescent="0.45">
      <c r="B36" t="s">
        <v>84</v>
      </c>
      <c r="E36">
        <f>E67</f>
        <v>181.78899999999999</v>
      </c>
      <c r="H36" s="30"/>
      <c r="I36">
        <f t="shared" ref="I36:T36" si="11">SUM(I34:I35)</f>
        <v>177.28899999999999</v>
      </c>
      <c r="J36">
        <f t="shared" si="11"/>
        <v>172.78899999999999</v>
      </c>
      <c r="K36">
        <f t="shared" si="11"/>
        <v>168.28899999999999</v>
      </c>
      <c r="L36">
        <f t="shared" si="11"/>
        <v>163.78899999999999</v>
      </c>
      <c r="M36">
        <f t="shared" si="11"/>
        <v>159.28899999999999</v>
      </c>
      <c r="N36">
        <f t="shared" si="11"/>
        <v>154.78899999999999</v>
      </c>
      <c r="O36">
        <f t="shared" si="11"/>
        <v>150.28899999999999</v>
      </c>
      <c r="P36">
        <f t="shared" si="11"/>
        <v>145.78899999999999</v>
      </c>
      <c r="Q36">
        <f t="shared" si="11"/>
        <v>141.28899999999999</v>
      </c>
      <c r="R36">
        <f t="shared" si="11"/>
        <v>136.78899999999999</v>
      </c>
      <c r="S36">
        <f t="shared" si="11"/>
        <v>132.28899999999999</v>
      </c>
      <c r="T36">
        <f t="shared" si="11"/>
        <v>127.78899999999999</v>
      </c>
    </row>
    <row r="38" spans="1:20" ht="15" customHeight="1" x14ac:dyDescent="0.45">
      <c r="B38" t="s">
        <v>46</v>
      </c>
    </row>
    <row r="39" spans="1:20" ht="15" customHeight="1" x14ac:dyDescent="0.45">
      <c r="B39" t="s">
        <v>82</v>
      </c>
      <c r="I39">
        <f>E42</f>
        <v>651.46199999999999</v>
      </c>
      <c r="J39">
        <f>I42</f>
        <v>730.54538120260008</v>
      </c>
      <c r="K39">
        <f t="shared" ref="K39:T39" si="12">J42</f>
        <v>821.93743086344887</v>
      </c>
      <c r="L39">
        <f t="shared" si="12"/>
        <v>924.67199742190326</v>
      </c>
      <c r="M39">
        <f t="shared" si="12"/>
        <v>1038.0206602007249</v>
      </c>
      <c r="N39">
        <f t="shared" si="12"/>
        <v>1161.4514038706616</v>
      </c>
      <c r="O39">
        <f t="shared" si="12"/>
        <v>1294.595057599591</v>
      </c>
      <c r="P39">
        <f t="shared" si="12"/>
        <v>1437.2180677953063</v>
      </c>
      <c r="Q39">
        <f t="shared" si="12"/>
        <v>1589.2004383447506</v>
      </c>
      <c r="R39">
        <f t="shared" si="12"/>
        <v>1750.5178882332814</v>
      </c>
      <c r="S39">
        <f t="shared" si="12"/>
        <v>1921.2274524632505</v>
      </c>
      <c r="T39">
        <f t="shared" si="12"/>
        <v>2101.4558956721785</v>
      </c>
    </row>
    <row r="40" spans="1:20" ht="15" customHeight="1" x14ac:dyDescent="0.45">
      <c r="B40" t="s">
        <v>88</v>
      </c>
      <c r="I40">
        <f>I56</f>
        <v>87.383381202599992</v>
      </c>
      <c r="J40">
        <f>J56</f>
        <v>99.692049660848738</v>
      </c>
      <c r="K40">
        <f t="shared" ref="K40:T40" si="13">K56</f>
        <v>111.0345665584543</v>
      </c>
      <c r="L40">
        <f t="shared" si="13"/>
        <v>121.64866277882166</v>
      </c>
      <c r="M40">
        <f t="shared" si="13"/>
        <v>131.73074366993669</v>
      </c>
      <c r="N40">
        <f t="shared" si="13"/>
        <v>141.44365372892932</v>
      </c>
      <c r="O40">
        <f t="shared" si="13"/>
        <v>150.92301019571516</v>
      </c>
      <c r="P40">
        <f t="shared" si="13"/>
        <v>160.28237054944438</v>
      </c>
      <c r="Q40">
        <f t="shared" si="13"/>
        <v>169.61744988853079</v>
      </c>
      <c r="R40">
        <f t="shared" si="13"/>
        <v>179.00956422996921</v>
      </c>
      <c r="S40">
        <f t="shared" si="13"/>
        <v>188.52844320892825</v>
      </c>
      <c r="T40">
        <f t="shared" si="13"/>
        <v>198.23452912804757</v>
      </c>
    </row>
    <row r="41" spans="1:20" ht="15" customHeight="1" x14ac:dyDescent="0.45">
      <c r="B41" t="s">
        <v>61</v>
      </c>
      <c r="E41" s="30"/>
      <c r="G41" s="30"/>
      <c r="I41" s="30">
        <f>I58</f>
        <v>-8.3000000000000007</v>
      </c>
      <c r="J41">
        <f>J58</f>
        <v>-8.3000000000000007</v>
      </c>
      <c r="K41">
        <f t="shared" ref="K41:T41" si="14">K58</f>
        <v>-8.3000000000000007</v>
      </c>
      <c r="L41">
        <f t="shared" si="14"/>
        <v>-8.3000000000000007</v>
      </c>
      <c r="M41">
        <f t="shared" si="14"/>
        <v>-8.3000000000000007</v>
      </c>
      <c r="N41">
        <f t="shared" si="14"/>
        <v>-8.3000000000000007</v>
      </c>
      <c r="O41">
        <f t="shared" si="14"/>
        <v>-8.3000000000000007</v>
      </c>
      <c r="P41">
        <f t="shared" si="14"/>
        <v>-8.3000000000000007</v>
      </c>
      <c r="Q41">
        <f t="shared" si="14"/>
        <v>-8.3000000000000007</v>
      </c>
      <c r="R41">
        <f t="shared" si="14"/>
        <v>-8.3000000000000007</v>
      </c>
      <c r="S41">
        <f t="shared" si="14"/>
        <v>-8.3000000000000007</v>
      </c>
      <c r="T41">
        <f t="shared" si="14"/>
        <v>-8.3000000000000007</v>
      </c>
    </row>
    <row r="42" spans="1:20" ht="15" customHeight="1" x14ac:dyDescent="0.45">
      <c r="B42" t="s">
        <v>84</v>
      </c>
      <c r="E42">
        <f>E80</f>
        <v>651.46199999999999</v>
      </c>
      <c r="H42" s="30"/>
      <c r="I42">
        <f>SUM(I39:I41)</f>
        <v>730.54538120260008</v>
      </c>
      <c r="J42">
        <f>SUM(J39:J41)</f>
        <v>821.93743086344887</v>
      </c>
      <c r="K42">
        <f t="shared" ref="K42:T42" si="15">SUM(K39:K41)</f>
        <v>924.67199742190326</v>
      </c>
      <c r="L42">
        <f t="shared" si="15"/>
        <v>1038.0206602007249</v>
      </c>
      <c r="M42">
        <f t="shared" si="15"/>
        <v>1161.4514038706616</v>
      </c>
      <c r="N42">
        <f t="shared" si="15"/>
        <v>1294.595057599591</v>
      </c>
      <c r="O42">
        <f t="shared" si="15"/>
        <v>1437.2180677953063</v>
      </c>
      <c r="P42">
        <f t="shared" si="15"/>
        <v>1589.2004383447506</v>
      </c>
      <c r="Q42">
        <f t="shared" si="15"/>
        <v>1750.5178882332814</v>
      </c>
      <c r="R42">
        <f t="shared" si="15"/>
        <v>1921.2274524632505</v>
      </c>
      <c r="S42">
        <f t="shared" si="15"/>
        <v>2101.4558956721785</v>
      </c>
      <c r="T42">
        <f t="shared" si="15"/>
        <v>2291.3904248002259</v>
      </c>
    </row>
    <row r="43" spans="1:20" ht="15" customHeight="1" x14ac:dyDescent="0.45">
      <c r="F43" s="85"/>
      <c r="G43" s="85"/>
      <c r="H43" s="85"/>
    </row>
    <row r="44" spans="1:20" ht="15" customHeight="1" x14ac:dyDescent="0.45">
      <c r="A44" s="14" t="s">
        <v>54</v>
      </c>
      <c r="F44" s="85"/>
      <c r="G44" s="85"/>
      <c r="H44" s="85"/>
      <c r="I44" s="78"/>
    </row>
    <row r="45" spans="1:20" ht="15" customHeight="1" x14ac:dyDescent="0.45">
      <c r="B45" t="s">
        <v>57</v>
      </c>
      <c r="C45" s="76">
        <v>2666.9050000000002</v>
      </c>
      <c r="D45" s="76">
        <v>2700.2190000000001</v>
      </c>
      <c r="E45" s="76">
        <v>2826.4569999999999</v>
      </c>
      <c r="F45" s="85"/>
      <c r="G45" s="90"/>
      <c r="H45" s="85"/>
      <c r="I45" s="30">
        <f>E45*(1+I5)</f>
        <v>2953.6475649999998</v>
      </c>
      <c r="J45">
        <f t="shared" ref="J45:T45" si="16">I45*(1+J5)</f>
        <v>3086.5617054249997</v>
      </c>
      <c r="K45">
        <f t="shared" si="16"/>
        <v>3225.4569821691243</v>
      </c>
      <c r="L45">
        <f t="shared" si="16"/>
        <v>3370.6025463667347</v>
      </c>
      <c r="M45">
        <f t="shared" si="16"/>
        <v>3522.2796609532375</v>
      </c>
      <c r="N45">
        <f t="shared" si="16"/>
        <v>3680.782245696133</v>
      </c>
      <c r="O45">
        <f t="shared" si="16"/>
        <v>3846.4174467524585</v>
      </c>
      <c r="P45">
        <f t="shared" si="16"/>
        <v>4019.5062318563191</v>
      </c>
      <c r="Q45">
        <f t="shared" si="16"/>
        <v>4200.3840122898528</v>
      </c>
      <c r="R45">
        <f t="shared" si="16"/>
        <v>4389.4012928428956</v>
      </c>
      <c r="S45">
        <f t="shared" si="16"/>
        <v>4586.9243510208253</v>
      </c>
      <c r="T45">
        <f t="shared" si="16"/>
        <v>4793.3359468167619</v>
      </c>
    </row>
    <row r="46" spans="1:20" ht="15" customHeight="1" x14ac:dyDescent="0.45">
      <c r="B46" t="s">
        <v>146</v>
      </c>
      <c r="C46">
        <f>C50-C49-C48</f>
        <v>166.804</v>
      </c>
      <c r="D46">
        <f t="shared" ref="D46:E46" si="17">D50-D49-D48</f>
        <v>139.42099999999999</v>
      </c>
      <c r="E46">
        <f t="shared" si="17"/>
        <v>159.73599999999999</v>
      </c>
      <c r="F46" s="85"/>
      <c r="G46" s="90"/>
      <c r="H46" s="85"/>
      <c r="I46" s="30">
        <f t="shared" ref="I46:T46" si="18">I6*I45</f>
        <v>224.47721493999998</v>
      </c>
      <c r="J46">
        <f t="shared" si="18"/>
        <v>234.57868961229997</v>
      </c>
      <c r="K46">
        <f t="shared" si="18"/>
        <v>245.13473064485345</v>
      </c>
      <c r="L46">
        <f t="shared" si="18"/>
        <v>256.16579352387186</v>
      </c>
      <c r="M46">
        <f t="shared" si="18"/>
        <v>267.69325423244607</v>
      </c>
      <c r="N46">
        <f t="shared" si="18"/>
        <v>279.73945067290612</v>
      </c>
      <c r="O46">
        <f t="shared" si="18"/>
        <v>292.32772595318681</v>
      </c>
      <c r="P46">
        <f t="shared" si="18"/>
        <v>305.48247362108026</v>
      </c>
      <c r="Q46">
        <f t="shared" si="18"/>
        <v>319.22918493402881</v>
      </c>
      <c r="R46">
        <f t="shared" si="18"/>
        <v>333.59449825606004</v>
      </c>
      <c r="S46">
        <f t="shared" si="18"/>
        <v>348.60625067758269</v>
      </c>
      <c r="T46">
        <f t="shared" si="18"/>
        <v>364.29353195807391</v>
      </c>
    </row>
    <row r="47" spans="1:20" ht="15" customHeight="1" x14ac:dyDescent="0.45">
      <c r="F47" s="85"/>
      <c r="G47" s="90"/>
      <c r="H47" s="85"/>
    </row>
    <row r="48" spans="1:20" ht="15" customHeight="1" x14ac:dyDescent="0.45">
      <c r="B48" t="s">
        <v>58</v>
      </c>
      <c r="C48" s="76">
        <f>-93.042-C49</f>
        <v>-89.042000000000002</v>
      </c>
      <c r="D48" s="76">
        <f>-103.053-D49</f>
        <v>-98.813000000000002</v>
      </c>
      <c r="E48" s="76">
        <f>-103.068-E49</f>
        <v>-98.527999999999992</v>
      </c>
      <c r="F48" s="85"/>
      <c r="G48" s="90"/>
      <c r="H48" s="85"/>
      <c r="I48" s="30">
        <f t="shared" ref="I48:T48" si="19">I30</f>
        <v>-109.36534</v>
      </c>
      <c r="J48">
        <f t="shared" si="19"/>
        <v>-103.88622168717498</v>
      </c>
      <c r="K48">
        <f t="shared" si="19"/>
        <v>-100.08464639364549</v>
      </c>
      <c r="L48">
        <f t="shared" si="19"/>
        <v>-97.680144436755839</v>
      </c>
      <c r="M48">
        <f t="shared" si="19"/>
        <v>-96.445477435057853</v>
      </c>
      <c r="N48">
        <f t="shared" si="19"/>
        <v>-96.196851016033548</v>
      </c>
      <c r="O48">
        <f t="shared" si="19"/>
        <v>-96.785940895319541</v>
      </c>
      <c r="P48">
        <f t="shared" si="19"/>
        <v>-98.093396976213953</v>
      </c>
      <c r="Q48">
        <f t="shared" si="19"/>
        <v>-100.02355216373668</v>
      </c>
      <c r="R48">
        <f t="shared" si="19"/>
        <v>-102.5001131548332</v>
      </c>
      <c r="S48">
        <f t="shared" si="19"/>
        <v>-105.46265167893934</v>
      </c>
      <c r="T48">
        <f t="shared" si="19"/>
        <v>-108.8637482516846</v>
      </c>
    </row>
    <row r="49" spans="1:20" ht="15" customHeight="1" x14ac:dyDescent="0.45">
      <c r="B49" t="s">
        <v>59</v>
      </c>
      <c r="C49" s="76">
        <v>-4</v>
      </c>
      <c r="D49" s="76">
        <v>-4.24</v>
      </c>
      <c r="E49" s="76">
        <v>-4.54</v>
      </c>
      <c r="F49" s="85"/>
      <c r="G49" s="90"/>
      <c r="H49" s="85"/>
      <c r="I49" s="30">
        <f>I35</f>
        <v>-4.5</v>
      </c>
      <c r="J49">
        <f t="shared" ref="J49:T49" si="20">J8</f>
        <v>-4.5</v>
      </c>
      <c r="K49">
        <f t="shared" si="20"/>
        <v>-4.5</v>
      </c>
      <c r="L49">
        <f t="shared" si="20"/>
        <v>-4.5</v>
      </c>
      <c r="M49">
        <f t="shared" si="20"/>
        <v>-4.5</v>
      </c>
      <c r="N49">
        <f t="shared" si="20"/>
        <v>-4.5</v>
      </c>
      <c r="O49">
        <f t="shared" si="20"/>
        <v>-4.5</v>
      </c>
      <c r="P49">
        <f t="shared" si="20"/>
        <v>-4.5</v>
      </c>
      <c r="Q49">
        <f t="shared" si="20"/>
        <v>-4.5</v>
      </c>
      <c r="R49">
        <f t="shared" si="20"/>
        <v>-4.5</v>
      </c>
      <c r="S49">
        <f t="shared" si="20"/>
        <v>-4.5</v>
      </c>
      <c r="T49">
        <f t="shared" si="20"/>
        <v>-4.5</v>
      </c>
    </row>
    <row r="50" spans="1:20" ht="15" customHeight="1" x14ac:dyDescent="0.45">
      <c r="B50" t="s">
        <v>223</v>
      </c>
      <c r="C50" s="76">
        <v>73.762</v>
      </c>
      <c r="D50" s="76">
        <v>36.368000000000002</v>
      </c>
      <c r="E50" s="76">
        <v>56.667999999999999</v>
      </c>
      <c r="F50" s="85"/>
      <c r="G50" s="90"/>
      <c r="H50" s="85"/>
      <c r="I50">
        <f>SUM(I46,I48:I49)</f>
        <v>110.61187493999998</v>
      </c>
      <c r="J50">
        <f>SUM(J46,J48:J49)</f>
        <v>126.19246792512499</v>
      </c>
      <c r="K50">
        <f t="shared" ref="K50:T50" si="21">SUM(K46,K48:K49)</f>
        <v>140.55008425120798</v>
      </c>
      <c r="L50">
        <f t="shared" si="21"/>
        <v>153.98564908711603</v>
      </c>
      <c r="M50">
        <f t="shared" si="21"/>
        <v>166.74777679738821</v>
      </c>
      <c r="N50">
        <f t="shared" si="21"/>
        <v>179.04259965687257</v>
      </c>
      <c r="O50">
        <f t="shared" si="21"/>
        <v>191.04178505786729</v>
      </c>
      <c r="P50">
        <f t="shared" si="21"/>
        <v>202.88907664486629</v>
      </c>
      <c r="Q50">
        <f t="shared" si="21"/>
        <v>214.70563277029214</v>
      </c>
      <c r="R50">
        <f t="shared" si="21"/>
        <v>226.59438510122683</v>
      </c>
      <c r="S50">
        <f t="shared" si="21"/>
        <v>238.64359899864337</v>
      </c>
      <c r="T50">
        <f t="shared" si="21"/>
        <v>250.92978370638932</v>
      </c>
    </row>
    <row r="51" spans="1:20" ht="15" customHeight="1" x14ac:dyDescent="0.45">
      <c r="F51" s="85"/>
      <c r="G51" s="90"/>
      <c r="H51" s="85"/>
    </row>
    <row r="52" spans="1:20" ht="15" customHeight="1" x14ac:dyDescent="0.45">
      <c r="B52" t="s">
        <v>257</v>
      </c>
      <c r="C52" s="76">
        <v>-4.4000000000000004</v>
      </c>
      <c r="D52" s="76">
        <v>-5.15</v>
      </c>
      <c r="E52" s="76">
        <v>-6.3419999999999996</v>
      </c>
      <c r="F52" s="85"/>
      <c r="G52" s="90"/>
      <c r="H52" s="85"/>
      <c r="I52" s="30">
        <f t="shared" ref="I52:T52" si="22">IF(switch=1,-I113,0)</f>
        <v>0</v>
      </c>
      <c r="J52" s="30">
        <f t="shared" si="22"/>
        <v>0</v>
      </c>
      <c r="K52" s="30">
        <f t="shared" si="22"/>
        <v>0</v>
      </c>
      <c r="L52" s="30">
        <f t="shared" si="22"/>
        <v>0</v>
      </c>
      <c r="M52" s="30">
        <f t="shared" si="22"/>
        <v>0</v>
      </c>
      <c r="N52" s="30">
        <f t="shared" si="22"/>
        <v>0</v>
      </c>
      <c r="O52" s="30">
        <f t="shared" si="22"/>
        <v>0</v>
      </c>
      <c r="P52" s="30">
        <f t="shared" si="22"/>
        <v>0</v>
      </c>
      <c r="Q52" s="30">
        <f t="shared" si="22"/>
        <v>0</v>
      </c>
      <c r="R52" s="30">
        <f t="shared" si="22"/>
        <v>0</v>
      </c>
      <c r="S52" s="30">
        <f t="shared" si="22"/>
        <v>0</v>
      </c>
      <c r="T52" s="30">
        <f t="shared" si="22"/>
        <v>0</v>
      </c>
    </row>
    <row r="53" spans="1:20" ht="15" customHeight="1" x14ac:dyDescent="0.45">
      <c r="B53" t="s">
        <v>224</v>
      </c>
      <c r="C53">
        <f>SUM(C50,C52:C52)</f>
        <v>69.361999999999995</v>
      </c>
      <c r="D53">
        <f>SUM(D50,D52:D52)</f>
        <v>31.218000000000004</v>
      </c>
      <c r="E53">
        <f>SUM(E50,E52:E52)</f>
        <v>50.326000000000001</v>
      </c>
      <c r="F53" s="85"/>
      <c r="G53" s="90"/>
      <c r="H53" s="85"/>
      <c r="I53">
        <f>SUM(I50,I52)</f>
        <v>110.61187493999998</v>
      </c>
      <c r="J53" s="90">
        <f t="shared" ref="J53:T53" si="23">SUM(J50,J52)</f>
        <v>126.19246792512499</v>
      </c>
      <c r="K53" s="90">
        <f t="shared" si="23"/>
        <v>140.55008425120798</v>
      </c>
      <c r="L53" s="90">
        <f t="shared" si="23"/>
        <v>153.98564908711603</v>
      </c>
      <c r="M53" s="90">
        <f t="shared" si="23"/>
        <v>166.74777679738821</v>
      </c>
      <c r="N53" s="90">
        <f t="shared" si="23"/>
        <v>179.04259965687257</v>
      </c>
      <c r="O53" s="90">
        <f t="shared" si="23"/>
        <v>191.04178505786729</v>
      </c>
      <c r="P53" s="90">
        <f t="shared" si="23"/>
        <v>202.88907664486629</v>
      </c>
      <c r="Q53" s="90">
        <f t="shared" si="23"/>
        <v>214.70563277029214</v>
      </c>
      <c r="R53" s="90">
        <f t="shared" si="23"/>
        <v>226.59438510122683</v>
      </c>
      <c r="S53" s="90">
        <f t="shared" si="23"/>
        <v>238.64359899864337</v>
      </c>
      <c r="T53" s="90">
        <f t="shared" si="23"/>
        <v>250.92978370638932</v>
      </c>
    </row>
    <row r="54" spans="1:20" ht="15" customHeight="1" x14ac:dyDescent="0.45">
      <c r="F54" s="85"/>
      <c r="G54" s="90"/>
      <c r="H54" s="85"/>
    </row>
    <row r="55" spans="1:20" ht="15" customHeight="1" x14ac:dyDescent="0.45">
      <c r="B55" t="s">
        <v>60</v>
      </c>
      <c r="C55" s="76">
        <v>-27.88</v>
      </c>
      <c r="D55" s="76">
        <v>-9.6349999999999998</v>
      </c>
      <c r="E55" s="76">
        <v>8.15</v>
      </c>
      <c r="F55" s="85"/>
      <c r="G55" s="90"/>
      <c r="H55" s="85"/>
      <c r="I55" s="30">
        <f t="shared" ref="I55:T55" si="24">-I9*I53</f>
        <v>-23.228493737399994</v>
      </c>
      <c r="J55">
        <f t="shared" si="24"/>
        <v>-26.500418264276245</v>
      </c>
      <c r="K55">
        <f t="shared" si="24"/>
        <v>-29.515517692753676</v>
      </c>
      <c r="L55">
        <f t="shared" si="24"/>
        <v>-32.336986308294364</v>
      </c>
      <c r="M55">
        <f t="shared" si="24"/>
        <v>-35.017033127451526</v>
      </c>
      <c r="N55">
        <f t="shared" si="24"/>
        <v>-37.598945927943241</v>
      </c>
      <c r="O55">
        <f t="shared" si="24"/>
        <v>-40.118774862152129</v>
      </c>
      <c r="P55">
        <f t="shared" si="24"/>
        <v>-42.60670609542192</v>
      </c>
      <c r="Q55">
        <f t="shared" si="24"/>
        <v>-45.088182881761348</v>
      </c>
      <c r="R55">
        <f t="shared" si="24"/>
        <v>-47.584820871257634</v>
      </c>
      <c r="S55">
        <f t="shared" si="24"/>
        <v>-50.115155789715104</v>
      </c>
      <c r="T55">
        <f t="shared" si="24"/>
        <v>-52.695254578341753</v>
      </c>
    </row>
    <row r="56" spans="1:20" ht="15" customHeight="1" x14ac:dyDescent="0.45">
      <c r="B56" t="s">
        <v>88</v>
      </c>
      <c r="C56">
        <f>C53+C55</f>
        <v>41.481999999999999</v>
      </c>
      <c r="D56">
        <f t="shared" ref="D56:T56" si="25">D53+D55</f>
        <v>21.583000000000006</v>
      </c>
      <c r="E56" s="30">
        <f t="shared" si="25"/>
        <v>58.475999999999999</v>
      </c>
      <c r="F56" s="85"/>
      <c r="G56" s="90"/>
      <c r="H56" s="85"/>
      <c r="I56">
        <f t="shared" si="25"/>
        <v>87.383381202599992</v>
      </c>
      <c r="J56">
        <f t="shared" si="25"/>
        <v>99.692049660848738</v>
      </c>
      <c r="K56">
        <f t="shared" si="25"/>
        <v>111.0345665584543</v>
      </c>
      <c r="L56">
        <f t="shared" si="25"/>
        <v>121.64866277882166</v>
      </c>
      <c r="M56">
        <f t="shared" si="25"/>
        <v>131.73074366993669</v>
      </c>
      <c r="N56">
        <f t="shared" si="25"/>
        <v>141.44365372892932</v>
      </c>
      <c r="O56">
        <f t="shared" si="25"/>
        <v>150.92301019571516</v>
      </c>
      <c r="P56">
        <f t="shared" si="25"/>
        <v>160.28237054944438</v>
      </c>
      <c r="Q56">
        <f t="shared" si="25"/>
        <v>169.61744988853079</v>
      </c>
      <c r="R56">
        <f t="shared" si="25"/>
        <v>179.00956422996921</v>
      </c>
      <c r="S56">
        <f t="shared" si="25"/>
        <v>188.52844320892825</v>
      </c>
      <c r="T56">
        <f t="shared" si="25"/>
        <v>198.23452912804757</v>
      </c>
    </row>
    <row r="57" spans="1:20" ht="15" customHeight="1" x14ac:dyDescent="0.45">
      <c r="E57" s="30"/>
      <c r="F57" s="85"/>
      <c r="G57" s="90"/>
      <c r="H57" s="85"/>
    </row>
    <row r="58" spans="1:20" ht="15" customHeight="1" x14ac:dyDescent="0.45">
      <c r="B58" t="s">
        <v>61</v>
      </c>
      <c r="C58" s="76">
        <v>-6.8369999999999997</v>
      </c>
      <c r="D58" s="76">
        <v>-8.3179999999999996</v>
      </c>
      <c r="E58" s="76">
        <v>-8.2639999999999993</v>
      </c>
      <c r="F58" s="85"/>
      <c r="G58" s="90"/>
      <c r="H58" s="85"/>
      <c r="I58" s="30">
        <f t="shared" ref="I58:T58" si="26">I10</f>
        <v>-8.3000000000000007</v>
      </c>
      <c r="J58" s="30">
        <f t="shared" si="26"/>
        <v>-8.3000000000000007</v>
      </c>
      <c r="K58" s="30">
        <f t="shared" si="26"/>
        <v>-8.3000000000000007</v>
      </c>
      <c r="L58" s="30">
        <f t="shared" si="26"/>
        <v>-8.3000000000000007</v>
      </c>
      <c r="M58" s="30">
        <f t="shared" si="26"/>
        <v>-8.3000000000000007</v>
      </c>
      <c r="N58" s="30">
        <f t="shared" si="26"/>
        <v>-8.3000000000000007</v>
      </c>
      <c r="O58" s="30">
        <f t="shared" si="26"/>
        <v>-8.3000000000000007</v>
      </c>
      <c r="P58" s="30">
        <f t="shared" si="26"/>
        <v>-8.3000000000000007</v>
      </c>
      <c r="Q58" s="30">
        <f t="shared" si="26"/>
        <v>-8.3000000000000007</v>
      </c>
      <c r="R58" s="30">
        <f t="shared" si="26"/>
        <v>-8.3000000000000007</v>
      </c>
      <c r="S58" s="30">
        <f t="shared" si="26"/>
        <v>-8.3000000000000007</v>
      </c>
      <c r="T58" s="30">
        <f t="shared" si="26"/>
        <v>-8.3000000000000007</v>
      </c>
    </row>
    <row r="59" spans="1:20" ht="15" customHeight="1" x14ac:dyDescent="0.45">
      <c r="E59" s="30"/>
      <c r="F59" s="85"/>
      <c r="G59" s="90"/>
      <c r="H59" s="85"/>
    </row>
    <row r="60" spans="1:20" ht="15" customHeight="1" x14ac:dyDescent="0.45">
      <c r="A60" s="14" t="s">
        <v>56</v>
      </c>
      <c r="E60" s="30"/>
      <c r="F60" s="85"/>
      <c r="G60" s="85"/>
      <c r="H60" s="85"/>
    </row>
    <row r="61" spans="1:20" ht="15" customHeight="1" x14ac:dyDescent="0.45">
      <c r="B61" t="s">
        <v>63</v>
      </c>
      <c r="C61" s="76">
        <v>227.95400000000001</v>
      </c>
      <c r="D61" s="76">
        <v>172.08</v>
      </c>
      <c r="E61" s="76">
        <v>185.173</v>
      </c>
      <c r="F61" s="85"/>
      <c r="G61" s="85"/>
      <c r="H61" s="85"/>
      <c r="I61">
        <f>I107</f>
        <v>297.88188451259992</v>
      </c>
      <c r="J61">
        <f>J107</f>
        <v>414.45590395457373</v>
      </c>
      <c r="K61">
        <f t="shared" ref="K61:T61" si="27">K107</f>
        <v>534.82667366485123</v>
      </c>
      <c r="L61">
        <f t="shared" si="27"/>
        <v>659.49435769272452</v>
      </c>
      <c r="M61">
        <f t="shared" si="27"/>
        <v>788.92070506656819</v>
      </c>
      <c r="N61">
        <f t="shared" si="27"/>
        <v>923.53859176247829</v>
      </c>
      <c r="O61">
        <f t="shared" si="27"/>
        <v>1063.759906992253</v>
      </c>
      <c r="P61">
        <f t="shared" si="27"/>
        <v>1209.9820950428946</v>
      </c>
      <c r="Q61">
        <f t="shared" si="27"/>
        <v>1362.5936065437695</v>
      </c>
      <c r="R61">
        <f t="shared" si="27"/>
        <v>1521.9784663023668</v>
      </c>
      <c r="S61">
        <f t="shared" si="27"/>
        <v>1688.5201267708499</v>
      </c>
      <c r="T61">
        <f t="shared" si="27"/>
        <v>1862.6047451823254</v>
      </c>
    </row>
    <row r="62" spans="1:20" ht="15" customHeight="1" x14ac:dyDescent="0.45">
      <c r="B62" t="s">
        <v>64</v>
      </c>
      <c r="C62" s="76">
        <v>242.815</v>
      </c>
      <c r="D62" s="76">
        <v>273.97699999999998</v>
      </c>
      <c r="E62" s="76">
        <v>298.565</v>
      </c>
      <c r="F62" s="85"/>
      <c r="G62" s="85"/>
      <c r="H62" s="85"/>
      <c r="I62" s="30">
        <f t="shared" ref="I62:T62" si="28">I12/365*I45</f>
        <v>312.35834523013699</v>
      </c>
      <c r="J62">
        <f t="shared" si="28"/>
        <v>326.41447076549309</v>
      </c>
      <c r="K62">
        <f t="shared" si="28"/>
        <v>341.10312194994026</v>
      </c>
      <c r="L62">
        <f t="shared" si="28"/>
        <v>356.45276243768757</v>
      </c>
      <c r="M62">
        <f t="shared" si="28"/>
        <v>372.49313674738346</v>
      </c>
      <c r="N62">
        <f t="shared" si="28"/>
        <v>389.25532790101573</v>
      </c>
      <c r="O62">
        <f t="shared" si="28"/>
        <v>406.77181765656138</v>
      </c>
      <c r="P62">
        <f t="shared" si="28"/>
        <v>425.07654945110664</v>
      </c>
      <c r="Q62">
        <f t="shared" si="28"/>
        <v>444.20499417640633</v>
      </c>
      <c r="R62">
        <f t="shared" si="28"/>
        <v>464.19421891434456</v>
      </c>
      <c r="S62">
        <f t="shared" si="28"/>
        <v>485.08295876549005</v>
      </c>
      <c r="T62">
        <f t="shared" si="28"/>
        <v>506.91169190993702</v>
      </c>
    </row>
    <row r="63" spans="1:20" ht="15" customHeight="1" x14ac:dyDescent="0.45">
      <c r="B63" t="s">
        <v>65</v>
      </c>
      <c r="C63" s="76">
        <v>81.313999999999993</v>
      </c>
      <c r="D63" s="76">
        <v>75.932000000000002</v>
      </c>
      <c r="E63" s="76">
        <v>38.610999999999997</v>
      </c>
      <c r="F63" s="85"/>
      <c r="G63" s="85"/>
      <c r="H63" s="85"/>
      <c r="I63" s="30">
        <f t="shared" ref="I63:T63" si="29">I13*I45</f>
        <v>41.351065909999996</v>
      </c>
      <c r="J63">
        <f t="shared" si="29"/>
        <v>43.211863875949994</v>
      </c>
      <c r="K63">
        <f t="shared" si="29"/>
        <v>45.156397750367745</v>
      </c>
      <c r="L63">
        <f t="shared" si="29"/>
        <v>47.188435649134284</v>
      </c>
      <c r="M63">
        <f t="shared" si="29"/>
        <v>49.311915253345326</v>
      </c>
      <c r="N63">
        <f t="shared" si="29"/>
        <v>51.530951439745863</v>
      </c>
      <c r="O63">
        <f t="shared" si="29"/>
        <v>53.849844254534418</v>
      </c>
      <c r="P63">
        <f t="shared" si="29"/>
        <v>56.273087245988471</v>
      </c>
      <c r="Q63">
        <f t="shared" si="29"/>
        <v>58.80537617205794</v>
      </c>
      <c r="R63">
        <f t="shared" si="29"/>
        <v>61.451618099800541</v>
      </c>
      <c r="S63">
        <f t="shared" si="29"/>
        <v>64.216940914291555</v>
      </c>
      <c r="T63">
        <f t="shared" si="29"/>
        <v>67.106703255434667</v>
      </c>
    </row>
    <row r="64" spans="1:20" ht="15" customHeight="1" x14ac:dyDescent="0.45">
      <c r="B64" t="s">
        <v>225</v>
      </c>
      <c r="C64">
        <f>SUM(C61:C63)</f>
        <v>552.08299999999997</v>
      </c>
      <c r="D64">
        <f t="shared" ref="D64:T64" si="30">SUM(D61:D63)</f>
        <v>521.98900000000003</v>
      </c>
      <c r="E64" s="30">
        <f t="shared" si="30"/>
        <v>522.34900000000005</v>
      </c>
      <c r="F64" s="85"/>
      <c r="G64" s="85"/>
      <c r="H64" s="85"/>
      <c r="I64">
        <f t="shared" si="30"/>
        <v>651.5912956527369</v>
      </c>
      <c r="J64">
        <f t="shared" si="30"/>
        <v>784.08223859601685</v>
      </c>
      <c r="K64">
        <f t="shared" si="30"/>
        <v>921.08619336515926</v>
      </c>
      <c r="L64">
        <f t="shared" si="30"/>
        <v>1063.1355557795464</v>
      </c>
      <c r="M64">
        <f t="shared" si="30"/>
        <v>1210.7257570672971</v>
      </c>
      <c r="N64">
        <f t="shared" si="30"/>
        <v>1364.32487110324</v>
      </c>
      <c r="O64">
        <f t="shared" si="30"/>
        <v>1524.3815689033488</v>
      </c>
      <c r="P64">
        <f t="shared" si="30"/>
        <v>1691.3317317399899</v>
      </c>
      <c r="Q64">
        <f t="shared" si="30"/>
        <v>1865.6039768922337</v>
      </c>
      <c r="R64">
        <f t="shared" si="30"/>
        <v>2047.6243033165117</v>
      </c>
      <c r="S64">
        <f t="shared" si="30"/>
        <v>2237.8200264506313</v>
      </c>
      <c r="T64">
        <f t="shared" si="30"/>
        <v>2436.6231403476972</v>
      </c>
    </row>
    <row r="65" spans="2:20" ht="15" customHeight="1" x14ac:dyDescent="0.45">
      <c r="E65" s="30"/>
      <c r="F65" s="85"/>
      <c r="G65" s="85"/>
      <c r="H65" s="85"/>
    </row>
    <row r="66" spans="2:20" ht="15" customHeight="1" x14ac:dyDescent="0.45">
      <c r="B66" t="s">
        <v>66</v>
      </c>
      <c r="C66" s="76">
        <v>483.04700000000003</v>
      </c>
      <c r="D66" s="76">
        <v>532.52599999999995</v>
      </c>
      <c r="E66" s="76">
        <v>591.16399999999999</v>
      </c>
      <c r="F66" s="85"/>
      <c r="G66" s="85"/>
      <c r="H66" s="85"/>
      <c r="I66">
        <f t="shared" ref="I66:T66" si="31">I31</f>
        <v>561.54714425499992</v>
      </c>
      <c r="J66">
        <f t="shared" si="31"/>
        <v>540.99808861429995</v>
      </c>
      <c r="K66">
        <f t="shared" si="31"/>
        <v>528.00078073922077</v>
      </c>
      <c r="L66">
        <f t="shared" si="31"/>
        <v>521.32690505436676</v>
      </c>
      <c r="M66">
        <f t="shared" si="31"/>
        <v>519.98297846504624</v>
      </c>
      <c r="N66">
        <f t="shared" si="31"/>
        <v>523.16724808280833</v>
      </c>
      <c r="O66">
        <f t="shared" si="31"/>
        <v>530.23457824980517</v>
      </c>
      <c r="P66">
        <f t="shared" si="31"/>
        <v>540.66784953371177</v>
      </c>
      <c r="Q66">
        <f t="shared" si="31"/>
        <v>554.05466570180113</v>
      </c>
      <c r="R66">
        <f t="shared" si="31"/>
        <v>570.06838745372613</v>
      </c>
      <c r="S66">
        <f t="shared" si="31"/>
        <v>588.45269325234915</v>
      </c>
      <c r="T66">
        <f t="shared" si="31"/>
        <v>609.00901556471717</v>
      </c>
    </row>
    <row r="67" spans="2:20" ht="15" customHeight="1" x14ac:dyDescent="0.45">
      <c r="B67" t="s">
        <v>67</v>
      </c>
      <c r="C67" s="76">
        <v>173.25200000000001</v>
      </c>
      <c r="D67" s="76">
        <v>189.38200000000001</v>
      </c>
      <c r="E67" s="76">
        <v>181.78899999999999</v>
      </c>
      <c r="F67" s="85"/>
      <c r="G67" s="85"/>
      <c r="H67" s="85"/>
      <c r="I67">
        <f t="shared" ref="I67:T67" si="32">I36</f>
        <v>177.28899999999999</v>
      </c>
      <c r="J67">
        <f t="shared" si="32"/>
        <v>172.78899999999999</v>
      </c>
      <c r="K67">
        <f t="shared" si="32"/>
        <v>168.28899999999999</v>
      </c>
      <c r="L67">
        <f t="shared" si="32"/>
        <v>163.78899999999999</v>
      </c>
      <c r="M67">
        <f t="shared" si="32"/>
        <v>159.28899999999999</v>
      </c>
      <c r="N67">
        <f t="shared" si="32"/>
        <v>154.78899999999999</v>
      </c>
      <c r="O67">
        <f t="shared" si="32"/>
        <v>150.28899999999999</v>
      </c>
      <c r="P67">
        <f t="shared" si="32"/>
        <v>145.78899999999999</v>
      </c>
      <c r="Q67">
        <f t="shared" si="32"/>
        <v>141.28899999999999</v>
      </c>
      <c r="R67">
        <f t="shared" si="32"/>
        <v>136.78899999999999</v>
      </c>
      <c r="S67">
        <f t="shared" si="32"/>
        <v>132.28899999999999</v>
      </c>
      <c r="T67">
        <f t="shared" si="32"/>
        <v>127.78899999999999</v>
      </c>
    </row>
    <row r="68" spans="2:20" ht="15" customHeight="1" x14ac:dyDescent="0.45">
      <c r="B68" t="s">
        <v>68</v>
      </c>
      <c r="C68" s="76">
        <v>54.527000000000001</v>
      </c>
      <c r="D68" s="76">
        <v>66.094999999999999</v>
      </c>
      <c r="E68" s="76">
        <f>64.374+5.965</f>
        <v>70.338999999999999</v>
      </c>
      <c r="F68" s="85"/>
      <c r="G68" s="85"/>
      <c r="H68" s="85"/>
      <c r="I68">
        <f t="shared" ref="I68:T68" si="33">I15</f>
        <v>70.3</v>
      </c>
      <c r="J68">
        <f t="shared" si="33"/>
        <v>70.3</v>
      </c>
      <c r="K68">
        <f t="shared" si="33"/>
        <v>70.3</v>
      </c>
      <c r="L68">
        <f t="shared" si="33"/>
        <v>70.3</v>
      </c>
      <c r="M68">
        <f t="shared" si="33"/>
        <v>70.3</v>
      </c>
      <c r="N68">
        <f t="shared" si="33"/>
        <v>70.3</v>
      </c>
      <c r="O68">
        <f t="shared" si="33"/>
        <v>70.3</v>
      </c>
      <c r="P68">
        <f t="shared" si="33"/>
        <v>70.3</v>
      </c>
      <c r="Q68">
        <f t="shared" si="33"/>
        <v>70.3</v>
      </c>
      <c r="R68">
        <f t="shared" si="33"/>
        <v>70.3</v>
      </c>
      <c r="S68">
        <f t="shared" si="33"/>
        <v>70.3</v>
      </c>
      <c r="T68">
        <f t="shared" si="33"/>
        <v>70.3</v>
      </c>
    </row>
    <row r="69" spans="2:20" ht="15" customHeight="1" x14ac:dyDescent="0.45">
      <c r="B69" t="s">
        <v>226</v>
      </c>
      <c r="C69">
        <f>SUM(C64,C66:C68)</f>
        <v>1262.9090000000001</v>
      </c>
      <c r="D69">
        <f t="shared" ref="D69:T69" si="34">SUM(D64,D66:D68)</f>
        <v>1309.992</v>
      </c>
      <c r="E69" s="30">
        <f t="shared" si="34"/>
        <v>1365.6409999999998</v>
      </c>
      <c r="F69" s="85"/>
      <c r="G69" s="85"/>
      <c r="H69" s="85"/>
      <c r="I69">
        <f t="shared" si="34"/>
        <v>1460.7274399077369</v>
      </c>
      <c r="J69">
        <f t="shared" si="34"/>
        <v>1568.1693272103166</v>
      </c>
      <c r="K69">
        <f t="shared" si="34"/>
        <v>1687.67597410438</v>
      </c>
      <c r="L69">
        <f t="shared" si="34"/>
        <v>1818.5514608339131</v>
      </c>
      <c r="M69">
        <f t="shared" si="34"/>
        <v>1960.2977355323433</v>
      </c>
      <c r="N69">
        <f t="shared" si="34"/>
        <v>2112.5811191860485</v>
      </c>
      <c r="O69">
        <f t="shared" si="34"/>
        <v>2275.205147153154</v>
      </c>
      <c r="P69">
        <f t="shared" si="34"/>
        <v>2448.0885812737015</v>
      </c>
      <c r="Q69">
        <f t="shared" si="34"/>
        <v>2631.2476425940349</v>
      </c>
      <c r="R69">
        <f t="shared" si="34"/>
        <v>2824.7816907702381</v>
      </c>
      <c r="S69">
        <f t="shared" si="34"/>
        <v>3028.8617197029807</v>
      </c>
      <c r="T69">
        <f t="shared" si="34"/>
        <v>3243.7211559124144</v>
      </c>
    </row>
    <row r="70" spans="2:20" ht="15" customHeight="1" x14ac:dyDescent="0.45">
      <c r="E70" s="30"/>
      <c r="F70" s="85"/>
      <c r="G70" s="85"/>
      <c r="H70" s="85"/>
    </row>
    <row r="71" spans="2:20" ht="15" customHeight="1" x14ac:dyDescent="0.45">
      <c r="B71" t="s">
        <v>115</v>
      </c>
      <c r="C71" s="76">
        <v>0</v>
      </c>
      <c r="D71" s="76">
        <v>0</v>
      </c>
      <c r="E71" s="76">
        <v>0</v>
      </c>
      <c r="F71" s="85"/>
      <c r="G71" s="85"/>
      <c r="H71" s="85"/>
      <c r="I71" s="30">
        <f t="shared" ref="I71:T71" si="35">I20</f>
        <v>0</v>
      </c>
      <c r="J71" s="30">
        <f t="shared" si="35"/>
        <v>0</v>
      </c>
      <c r="K71" s="30">
        <f t="shared" si="35"/>
        <v>0</v>
      </c>
      <c r="L71" s="30">
        <f t="shared" si="35"/>
        <v>0</v>
      </c>
      <c r="M71" s="30">
        <f t="shared" si="35"/>
        <v>0</v>
      </c>
      <c r="N71" s="30">
        <f t="shared" si="35"/>
        <v>0</v>
      </c>
      <c r="O71" s="30">
        <f t="shared" si="35"/>
        <v>0</v>
      </c>
      <c r="P71" s="30">
        <f t="shared" si="35"/>
        <v>0</v>
      </c>
      <c r="Q71" s="30">
        <f t="shared" si="35"/>
        <v>0</v>
      </c>
      <c r="R71" s="30">
        <f t="shared" si="35"/>
        <v>0</v>
      </c>
      <c r="S71" s="30">
        <f t="shared" si="35"/>
        <v>0</v>
      </c>
      <c r="T71" s="30">
        <f t="shared" si="35"/>
        <v>0</v>
      </c>
    </row>
    <row r="72" spans="2:20" ht="15" customHeight="1" x14ac:dyDescent="0.45">
      <c r="B72" t="s">
        <v>69</v>
      </c>
      <c r="C72" s="76">
        <v>130.869</v>
      </c>
      <c r="D72" s="76">
        <v>133.30099999999999</v>
      </c>
      <c r="E72" s="76">
        <v>129.09899999999999</v>
      </c>
      <c r="F72" s="85"/>
      <c r="G72" s="85"/>
      <c r="H72" s="85"/>
      <c r="I72" s="30">
        <f t="shared" ref="I72:T72" si="36">I16/365*I45</f>
        <v>135.13949133013696</v>
      </c>
      <c r="J72">
        <f t="shared" si="36"/>
        <v>141.22076843999312</v>
      </c>
      <c r="K72">
        <f t="shared" si="36"/>
        <v>147.5757030197928</v>
      </c>
      <c r="L72">
        <f t="shared" si="36"/>
        <v>154.21660965568347</v>
      </c>
      <c r="M72">
        <f t="shared" si="36"/>
        <v>161.1563570901892</v>
      </c>
      <c r="N72">
        <f t="shared" si="36"/>
        <v>168.40839315924771</v>
      </c>
      <c r="O72">
        <f t="shared" si="36"/>
        <v>175.98677085141384</v>
      </c>
      <c r="P72">
        <f t="shared" si="36"/>
        <v>183.90617553972746</v>
      </c>
      <c r="Q72">
        <f t="shared" si="36"/>
        <v>192.18195343901516</v>
      </c>
      <c r="R72">
        <f t="shared" si="36"/>
        <v>200.83014134377083</v>
      </c>
      <c r="S72">
        <f t="shared" si="36"/>
        <v>209.86749770424049</v>
      </c>
      <c r="T72">
        <f t="shared" si="36"/>
        <v>219.31153510093128</v>
      </c>
    </row>
    <row r="73" spans="2:20" ht="15" customHeight="1" x14ac:dyDescent="0.45">
      <c r="B73" t="s">
        <v>70</v>
      </c>
      <c r="C73" s="76">
        <f>180.756+8.062</f>
        <v>188.81800000000001</v>
      </c>
      <c r="D73" s="76">
        <v>190.024</v>
      </c>
      <c r="E73" s="76">
        <f>211.237+0.324</f>
        <v>211.56100000000001</v>
      </c>
      <c r="F73" s="85"/>
      <c r="G73" s="85"/>
      <c r="H73" s="85"/>
      <c r="I73" s="30">
        <f t="shared" ref="I73:T73" si="37">I17*I45</f>
        <v>221.52356737499997</v>
      </c>
      <c r="J73">
        <f t="shared" si="37"/>
        <v>231.49212790687497</v>
      </c>
      <c r="K73">
        <f t="shared" si="37"/>
        <v>241.90927366268431</v>
      </c>
      <c r="L73">
        <f t="shared" si="37"/>
        <v>252.79519097750509</v>
      </c>
      <c r="M73">
        <f t="shared" si="37"/>
        <v>264.17097457149282</v>
      </c>
      <c r="N73">
        <f t="shared" si="37"/>
        <v>276.05866842720997</v>
      </c>
      <c r="O73">
        <f t="shared" si="37"/>
        <v>288.4813085064344</v>
      </c>
      <c r="P73">
        <f t="shared" si="37"/>
        <v>301.46296738922393</v>
      </c>
      <c r="Q73">
        <f t="shared" si="37"/>
        <v>315.02880092173893</v>
      </c>
      <c r="R73">
        <f t="shared" si="37"/>
        <v>329.20509696321716</v>
      </c>
      <c r="S73">
        <f t="shared" si="37"/>
        <v>344.0193263265619</v>
      </c>
      <c r="T73">
        <f t="shared" si="37"/>
        <v>359.50019601125712</v>
      </c>
    </row>
    <row r="74" spans="2:20" ht="15" customHeight="1" x14ac:dyDescent="0.45">
      <c r="B74" t="s">
        <v>227</v>
      </c>
      <c r="C74">
        <f>SUM(C71:C73)</f>
        <v>319.68700000000001</v>
      </c>
      <c r="D74">
        <f>SUM(D71:D73)</f>
        <v>323.32499999999999</v>
      </c>
      <c r="E74" s="30">
        <f>SUM(E71:E73)</f>
        <v>340.65999999999997</v>
      </c>
      <c r="F74" s="85"/>
      <c r="G74" s="85"/>
      <c r="H74" s="85"/>
      <c r="I74">
        <f>SUM(I71:I73)</f>
        <v>356.6630587051369</v>
      </c>
      <c r="J74">
        <f>SUM(J71:J73)</f>
        <v>372.71289634686809</v>
      </c>
      <c r="K74">
        <f t="shared" ref="K74:T74" si="38">SUM(K71:K73)</f>
        <v>389.48497668247711</v>
      </c>
      <c r="L74">
        <f t="shared" si="38"/>
        <v>407.01180063318856</v>
      </c>
      <c r="M74">
        <f t="shared" si="38"/>
        <v>425.32733166168202</v>
      </c>
      <c r="N74">
        <f t="shared" si="38"/>
        <v>444.4670615864577</v>
      </c>
      <c r="O74">
        <f t="shared" si="38"/>
        <v>464.46807935784824</v>
      </c>
      <c r="P74">
        <f t="shared" si="38"/>
        <v>485.36914292895142</v>
      </c>
      <c r="Q74">
        <f t="shared" si="38"/>
        <v>507.21075436075409</v>
      </c>
      <c r="R74">
        <f t="shared" si="38"/>
        <v>530.03523830698805</v>
      </c>
      <c r="S74">
        <f t="shared" si="38"/>
        <v>553.88682403080236</v>
      </c>
      <c r="T74">
        <f t="shared" si="38"/>
        <v>578.81173111218845</v>
      </c>
    </row>
    <row r="75" spans="2:20" ht="15" customHeight="1" x14ac:dyDescent="0.45">
      <c r="E75" s="30"/>
    </row>
    <row r="76" spans="2:20" ht="15" customHeight="1" x14ac:dyDescent="0.45">
      <c r="B76" t="s">
        <v>110</v>
      </c>
      <c r="C76" s="76">
        <v>212.50899999999999</v>
      </c>
      <c r="D76" s="76">
        <v>243.673</v>
      </c>
      <c r="E76" s="76">
        <v>268.91899999999998</v>
      </c>
      <c r="I76" s="30">
        <f>E76+I21</f>
        <v>268.91899999999998</v>
      </c>
      <c r="J76" s="30">
        <f t="shared" ref="J76:T76" si="39">I76+J21</f>
        <v>268.91899999999998</v>
      </c>
      <c r="K76" s="30">
        <f t="shared" si="39"/>
        <v>268.91899999999998</v>
      </c>
      <c r="L76" s="30">
        <f t="shared" si="39"/>
        <v>268.91899999999998</v>
      </c>
      <c r="M76" s="30">
        <f t="shared" si="39"/>
        <v>268.91899999999998</v>
      </c>
      <c r="N76" s="30">
        <f t="shared" si="39"/>
        <v>268.91899999999998</v>
      </c>
      <c r="O76" s="30">
        <f t="shared" si="39"/>
        <v>268.91899999999998</v>
      </c>
      <c r="P76" s="30">
        <f t="shared" si="39"/>
        <v>268.91899999999998</v>
      </c>
      <c r="Q76" s="30">
        <f t="shared" si="39"/>
        <v>268.91899999999998</v>
      </c>
      <c r="R76" s="30">
        <f t="shared" si="39"/>
        <v>268.91899999999998</v>
      </c>
      <c r="S76" s="30">
        <f t="shared" si="39"/>
        <v>268.91899999999998</v>
      </c>
      <c r="T76" s="30">
        <f t="shared" si="39"/>
        <v>268.91899999999998</v>
      </c>
    </row>
    <row r="77" spans="2:20" ht="15" customHeight="1" x14ac:dyDescent="0.45">
      <c r="B77" t="s">
        <v>71</v>
      </c>
      <c r="C77" s="76">
        <v>141.98500000000001</v>
      </c>
      <c r="D77" s="76">
        <v>144.09699999999998</v>
      </c>
      <c r="E77" s="76">
        <v>104.6</v>
      </c>
      <c r="I77" s="30">
        <f>E77+I18</f>
        <v>104.6</v>
      </c>
      <c r="J77">
        <f t="shared" ref="J77:T77" si="40">I77+J18</f>
        <v>104.6</v>
      </c>
      <c r="K77">
        <f t="shared" si="40"/>
        <v>104.6</v>
      </c>
      <c r="L77">
        <f t="shared" si="40"/>
        <v>104.6</v>
      </c>
      <c r="M77">
        <f t="shared" si="40"/>
        <v>104.6</v>
      </c>
      <c r="N77">
        <f t="shared" si="40"/>
        <v>104.6</v>
      </c>
      <c r="O77">
        <f t="shared" si="40"/>
        <v>104.6</v>
      </c>
      <c r="P77">
        <f t="shared" si="40"/>
        <v>104.6</v>
      </c>
      <c r="Q77">
        <f t="shared" si="40"/>
        <v>104.6</v>
      </c>
      <c r="R77">
        <f t="shared" si="40"/>
        <v>104.6</v>
      </c>
      <c r="S77">
        <f t="shared" si="40"/>
        <v>104.6</v>
      </c>
      <c r="T77">
        <f t="shared" si="40"/>
        <v>104.6</v>
      </c>
    </row>
    <row r="78" spans="2:20" ht="15" customHeight="1" x14ac:dyDescent="0.45">
      <c r="B78" t="s">
        <v>228</v>
      </c>
      <c r="C78">
        <f>SUM(C74,C76:C77)</f>
        <v>674.18100000000004</v>
      </c>
      <c r="D78">
        <f>SUM(D74,D76:D77)</f>
        <v>711.09500000000003</v>
      </c>
      <c r="E78">
        <f>SUM(E74,E76:E77)</f>
        <v>714.17899999999997</v>
      </c>
      <c r="I78">
        <f t="shared" ref="I78:T78" si="41">SUM(I74,I76:I77)</f>
        <v>730.18205870513691</v>
      </c>
      <c r="J78">
        <f t="shared" si="41"/>
        <v>746.2318963468681</v>
      </c>
      <c r="K78">
        <f t="shared" si="41"/>
        <v>763.00397668247717</v>
      </c>
      <c r="L78">
        <f t="shared" si="41"/>
        <v>780.53080063318851</v>
      </c>
      <c r="M78">
        <f t="shared" si="41"/>
        <v>798.84633166168203</v>
      </c>
      <c r="N78">
        <f t="shared" si="41"/>
        <v>817.98606158645771</v>
      </c>
      <c r="O78">
        <f t="shared" si="41"/>
        <v>837.9870793578483</v>
      </c>
      <c r="P78">
        <f t="shared" si="41"/>
        <v>858.88814292895142</v>
      </c>
      <c r="Q78">
        <f t="shared" si="41"/>
        <v>880.7297543607541</v>
      </c>
      <c r="R78">
        <f t="shared" si="41"/>
        <v>903.55423830698805</v>
      </c>
      <c r="S78">
        <f t="shared" si="41"/>
        <v>927.40582403080236</v>
      </c>
      <c r="T78">
        <f t="shared" si="41"/>
        <v>952.33073111218846</v>
      </c>
    </row>
    <row r="80" spans="2:20" ht="15" customHeight="1" x14ac:dyDescent="0.45">
      <c r="B80" t="s">
        <v>46</v>
      </c>
      <c r="C80" s="76">
        <v>588.72799999999995</v>
      </c>
      <c r="D80" s="76">
        <v>598.89700000000005</v>
      </c>
      <c r="E80" s="76">
        <v>651.46199999999999</v>
      </c>
      <c r="I80">
        <f t="shared" ref="I80:T80" si="42">I42</f>
        <v>730.54538120260008</v>
      </c>
      <c r="J80">
        <f t="shared" si="42"/>
        <v>821.93743086344887</v>
      </c>
      <c r="K80">
        <f t="shared" si="42"/>
        <v>924.67199742190326</v>
      </c>
      <c r="L80">
        <f t="shared" si="42"/>
        <v>1038.0206602007249</v>
      </c>
      <c r="M80">
        <f t="shared" si="42"/>
        <v>1161.4514038706616</v>
      </c>
      <c r="N80">
        <f t="shared" si="42"/>
        <v>1294.595057599591</v>
      </c>
      <c r="O80">
        <f t="shared" si="42"/>
        <v>1437.2180677953063</v>
      </c>
      <c r="P80">
        <f t="shared" si="42"/>
        <v>1589.2004383447506</v>
      </c>
      <c r="Q80">
        <f t="shared" si="42"/>
        <v>1750.5178882332814</v>
      </c>
      <c r="R80">
        <f t="shared" si="42"/>
        <v>1921.2274524632505</v>
      </c>
      <c r="S80">
        <f t="shared" si="42"/>
        <v>2101.4558956721785</v>
      </c>
      <c r="T80">
        <f t="shared" si="42"/>
        <v>2291.3904248002259</v>
      </c>
    </row>
    <row r="81" spans="1:20" ht="15" customHeight="1" x14ac:dyDescent="0.45">
      <c r="B81" t="s">
        <v>229</v>
      </c>
      <c r="C81">
        <f>C78+C80</f>
        <v>1262.9090000000001</v>
      </c>
      <c r="D81">
        <f t="shared" ref="D81:T81" si="43">D78+D80</f>
        <v>1309.9920000000002</v>
      </c>
      <c r="E81">
        <f t="shared" si="43"/>
        <v>1365.6410000000001</v>
      </c>
      <c r="I81">
        <f t="shared" si="43"/>
        <v>1460.7274399077369</v>
      </c>
      <c r="J81">
        <f t="shared" si="43"/>
        <v>1568.1693272103171</v>
      </c>
      <c r="K81">
        <f t="shared" si="43"/>
        <v>1687.6759741043804</v>
      </c>
      <c r="L81">
        <f t="shared" si="43"/>
        <v>1818.5514608339136</v>
      </c>
      <c r="M81">
        <f t="shared" si="43"/>
        <v>1960.2977355323437</v>
      </c>
      <c r="N81">
        <f t="shared" si="43"/>
        <v>2112.5811191860485</v>
      </c>
      <c r="O81">
        <f t="shared" si="43"/>
        <v>2275.2051471531545</v>
      </c>
      <c r="P81">
        <f t="shared" si="43"/>
        <v>2448.0885812737019</v>
      </c>
      <c r="Q81">
        <f t="shared" si="43"/>
        <v>2631.2476425940354</v>
      </c>
      <c r="R81">
        <f t="shared" si="43"/>
        <v>2824.7816907702386</v>
      </c>
      <c r="S81">
        <f t="shared" si="43"/>
        <v>3028.8617197029807</v>
      </c>
      <c r="T81">
        <f t="shared" si="43"/>
        <v>3243.7211559124144</v>
      </c>
    </row>
    <row r="83" spans="1:20" ht="15" customHeight="1" x14ac:dyDescent="0.45">
      <c r="B83" t="s">
        <v>72</v>
      </c>
      <c r="C83" s="71" t="str">
        <f>IF(ROUND(C69,2)=ROUND(C81,2),"OK",C69-C81)</f>
        <v>OK</v>
      </c>
      <c r="D83" s="71" t="str">
        <f>IF(ROUND(D69,2)=ROUND(D81,2),"OK",D69-D81)</f>
        <v>OK</v>
      </c>
      <c r="E83" s="71" t="str">
        <f>IF(ROUND(E69,2)=ROUND(E81,2),"OK",E69-E81)</f>
        <v>OK</v>
      </c>
      <c r="F83" s="71"/>
      <c r="G83" s="71"/>
      <c r="H83" s="71"/>
      <c r="I83" s="71" t="str">
        <f t="shared" ref="I83:T83" si="44">IF(ROUND(I69,2)=ROUND(I81,2),"OK",I69-I81)</f>
        <v>OK</v>
      </c>
      <c r="J83" s="71" t="str">
        <f t="shared" si="44"/>
        <v>OK</v>
      </c>
      <c r="K83" s="71" t="str">
        <f t="shared" si="44"/>
        <v>OK</v>
      </c>
      <c r="L83" s="71" t="str">
        <f t="shared" si="44"/>
        <v>OK</v>
      </c>
      <c r="M83" s="71" t="str">
        <f t="shared" si="44"/>
        <v>OK</v>
      </c>
      <c r="N83" s="71" t="str">
        <f t="shared" si="44"/>
        <v>OK</v>
      </c>
      <c r="O83" s="71" t="str">
        <f t="shared" si="44"/>
        <v>OK</v>
      </c>
      <c r="P83" s="71" t="str">
        <f t="shared" si="44"/>
        <v>OK</v>
      </c>
      <c r="Q83" s="71" t="str">
        <f t="shared" si="44"/>
        <v>OK</v>
      </c>
      <c r="R83" s="71" t="str">
        <f t="shared" si="44"/>
        <v>OK</v>
      </c>
      <c r="S83" s="71" t="str">
        <f t="shared" si="44"/>
        <v>OK</v>
      </c>
      <c r="T83" s="71" t="str">
        <f t="shared" si="44"/>
        <v>OK</v>
      </c>
    </row>
    <row r="85" spans="1:20" ht="15" customHeight="1" x14ac:dyDescent="0.45">
      <c r="A85" s="14" t="s">
        <v>89</v>
      </c>
      <c r="D85" s="96"/>
      <c r="E85" s="96"/>
      <c r="F85" s="96"/>
    </row>
    <row r="86" spans="1:20" s="90" customFormat="1" ht="15" customHeight="1" x14ac:dyDescent="0.45">
      <c r="A86" s="14"/>
      <c r="B86" s="90" t="s">
        <v>146</v>
      </c>
      <c r="D86" s="96"/>
      <c r="E86" s="96"/>
      <c r="F86" s="96"/>
      <c r="I86" s="90">
        <f>I46</f>
        <v>224.47721493999998</v>
      </c>
      <c r="J86" s="90">
        <f t="shared" ref="J86:T86" si="45">J46</f>
        <v>234.57868961229997</v>
      </c>
      <c r="K86" s="90">
        <f t="shared" si="45"/>
        <v>245.13473064485345</v>
      </c>
      <c r="L86" s="90">
        <f t="shared" si="45"/>
        <v>256.16579352387186</v>
      </c>
      <c r="M86" s="90">
        <f t="shared" si="45"/>
        <v>267.69325423244607</v>
      </c>
      <c r="N86" s="90">
        <f t="shared" si="45"/>
        <v>279.73945067290612</v>
      </c>
      <c r="O86" s="90">
        <f t="shared" si="45"/>
        <v>292.32772595318681</v>
      </c>
      <c r="P86" s="90">
        <f t="shared" si="45"/>
        <v>305.48247362108026</v>
      </c>
      <c r="Q86" s="90">
        <f t="shared" si="45"/>
        <v>319.22918493402881</v>
      </c>
      <c r="R86" s="90">
        <f t="shared" si="45"/>
        <v>333.59449825606004</v>
      </c>
      <c r="S86" s="90">
        <f t="shared" si="45"/>
        <v>348.60625067758269</v>
      </c>
      <c r="T86" s="90">
        <f t="shared" si="45"/>
        <v>364.29353195807391</v>
      </c>
    </row>
    <row r="87" spans="1:20" s="90" customFormat="1" ht="15" customHeight="1" x14ac:dyDescent="0.45">
      <c r="A87" s="14"/>
      <c r="B87" s="90" t="s">
        <v>257</v>
      </c>
      <c r="D87" s="96"/>
      <c r="E87" s="96"/>
      <c r="F87" s="96"/>
      <c r="I87" s="90">
        <f>I52</f>
        <v>0</v>
      </c>
      <c r="J87" s="90">
        <f t="shared" ref="J87:T87" si="46">J52</f>
        <v>0</v>
      </c>
      <c r="K87" s="90">
        <f t="shared" si="46"/>
        <v>0</v>
      </c>
      <c r="L87" s="90">
        <f t="shared" si="46"/>
        <v>0</v>
      </c>
      <c r="M87" s="90">
        <f t="shared" si="46"/>
        <v>0</v>
      </c>
      <c r="N87" s="90">
        <f t="shared" si="46"/>
        <v>0</v>
      </c>
      <c r="O87" s="90">
        <f t="shared" si="46"/>
        <v>0</v>
      </c>
      <c r="P87" s="90">
        <f t="shared" si="46"/>
        <v>0</v>
      </c>
      <c r="Q87" s="90">
        <f t="shared" si="46"/>
        <v>0</v>
      </c>
      <c r="R87" s="90">
        <f t="shared" si="46"/>
        <v>0</v>
      </c>
      <c r="S87" s="90">
        <f t="shared" si="46"/>
        <v>0</v>
      </c>
      <c r="T87" s="90">
        <f t="shared" si="46"/>
        <v>0</v>
      </c>
    </row>
    <row r="88" spans="1:20" s="90" customFormat="1" ht="15" customHeight="1" x14ac:dyDescent="0.45">
      <c r="A88" s="14"/>
      <c r="B88" s="90" t="s">
        <v>60</v>
      </c>
      <c r="D88" s="96"/>
      <c r="E88" s="96"/>
      <c r="F88" s="96"/>
      <c r="I88" s="90">
        <f>I55</f>
        <v>-23.228493737399994</v>
      </c>
      <c r="J88" s="90">
        <f t="shared" ref="J88:T88" si="47">J55</f>
        <v>-26.500418264276245</v>
      </c>
      <c r="K88" s="90">
        <f t="shared" si="47"/>
        <v>-29.515517692753676</v>
      </c>
      <c r="L88" s="90">
        <f t="shared" si="47"/>
        <v>-32.336986308294364</v>
      </c>
      <c r="M88" s="90">
        <f t="shared" si="47"/>
        <v>-35.017033127451526</v>
      </c>
      <c r="N88" s="90">
        <f t="shared" si="47"/>
        <v>-37.598945927943241</v>
      </c>
      <c r="O88" s="90">
        <f t="shared" si="47"/>
        <v>-40.118774862152129</v>
      </c>
      <c r="P88" s="90">
        <f t="shared" si="47"/>
        <v>-42.60670609542192</v>
      </c>
      <c r="Q88" s="90">
        <f t="shared" si="47"/>
        <v>-45.088182881761348</v>
      </c>
      <c r="R88" s="90">
        <f t="shared" si="47"/>
        <v>-47.584820871257634</v>
      </c>
      <c r="S88" s="90">
        <f t="shared" si="47"/>
        <v>-50.115155789715104</v>
      </c>
      <c r="T88" s="90">
        <f t="shared" si="47"/>
        <v>-52.695254578341753</v>
      </c>
    </row>
    <row r="89" spans="1:20" ht="15" customHeight="1" x14ac:dyDescent="0.45">
      <c r="B89" t="s">
        <v>91</v>
      </c>
      <c r="D89" s="96"/>
      <c r="E89" s="96"/>
      <c r="F89" s="96"/>
      <c r="I89">
        <f>E68-I68</f>
        <v>3.9000000000001478E-2</v>
      </c>
      <c r="J89">
        <f t="shared" ref="J89:T89" si="48">I68-J68</f>
        <v>0</v>
      </c>
      <c r="K89">
        <f t="shared" si="48"/>
        <v>0</v>
      </c>
      <c r="L89">
        <f t="shared" si="48"/>
        <v>0</v>
      </c>
      <c r="M89">
        <f t="shared" si="48"/>
        <v>0</v>
      </c>
      <c r="N89">
        <f t="shared" si="48"/>
        <v>0</v>
      </c>
      <c r="O89">
        <f t="shared" si="48"/>
        <v>0</v>
      </c>
      <c r="P89">
        <f t="shared" si="48"/>
        <v>0</v>
      </c>
      <c r="Q89">
        <f t="shared" si="48"/>
        <v>0</v>
      </c>
      <c r="R89">
        <f t="shared" si="48"/>
        <v>0</v>
      </c>
      <c r="S89">
        <f t="shared" si="48"/>
        <v>0</v>
      </c>
      <c r="T89">
        <f t="shared" si="48"/>
        <v>0</v>
      </c>
    </row>
    <row r="90" spans="1:20" ht="15" customHeight="1" x14ac:dyDescent="0.45">
      <c r="B90" t="s">
        <v>97</v>
      </c>
      <c r="D90" s="96"/>
      <c r="E90" s="96"/>
      <c r="F90" s="96"/>
      <c r="I90">
        <f>I77-E77</f>
        <v>0</v>
      </c>
      <c r="J90">
        <f t="shared" ref="J90:T90" si="49">J77-I77</f>
        <v>0</v>
      </c>
      <c r="K90">
        <f t="shared" si="49"/>
        <v>0</v>
      </c>
      <c r="L90">
        <f t="shared" si="49"/>
        <v>0</v>
      </c>
      <c r="M90">
        <f t="shared" si="49"/>
        <v>0</v>
      </c>
      <c r="N90">
        <f t="shared" si="49"/>
        <v>0</v>
      </c>
      <c r="O90">
        <f t="shared" si="49"/>
        <v>0</v>
      </c>
      <c r="P90">
        <f t="shared" si="49"/>
        <v>0</v>
      </c>
      <c r="Q90">
        <f t="shared" si="49"/>
        <v>0</v>
      </c>
      <c r="R90">
        <f t="shared" si="49"/>
        <v>0</v>
      </c>
      <c r="S90">
        <f t="shared" si="49"/>
        <v>0</v>
      </c>
      <c r="T90">
        <f t="shared" si="49"/>
        <v>0</v>
      </c>
    </row>
    <row r="91" spans="1:20" ht="15" customHeight="1" x14ac:dyDescent="0.45">
      <c r="B91" t="s">
        <v>103</v>
      </c>
      <c r="D91" s="96"/>
      <c r="E91" s="96"/>
      <c r="F91" s="96"/>
      <c r="I91">
        <f>E62-I62</f>
        <v>-13.793345230136993</v>
      </c>
      <c r="J91">
        <f t="shared" ref="J91:T91" si="50">I62-J62</f>
        <v>-14.056125535356102</v>
      </c>
      <c r="K91">
        <f t="shared" si="50"/>
        <v>-14.688651184447167</v>
      </c>
      <c r="L91">
        <f t="shared" si="50"/>
        <v>-15.349640487747308</v>
      </c>
      <c r="M91">
        <f t="shared" si="50"/>
        <v>-16.040374309695892</v>
      </c>
      <c r="N91">
        <f t="shared" si="50"/>
        <v>-16.762191153632273</v>
      </c>
      <c r="O91">
        <f t="shared" si="50"/>
        <v>-17.516489755545649</v>
      </c>
      <c r="P91">
        <f t="shared" si="50"/>
        <v>-18.304731794545262</v>
      </c>
      <c r="Q91">
        <f t="shared" si="50"/>
        <v>-19.128444725299687</v>
      </c>
      <c r="R91">
        <f t="shared" si="50"/>
        <v>-19.98922473793823</v>
      </c>
      <c r="S91">
        <f t="shared" si="50"/>
        <v>-20.888739851145488</v>
      </c>
      <c r="T91">
        <f t="shared" si="50"/>
        <v>-21.828733144446971</v>
      </c>
    </row>
    <row r="92" spans="1:20" ht="15" customHeight="1" x14ac:dyDescent="0.45">
      <c r="B92" t="s">
        <v>104</v>
      </c>
      <c r="D92" s="96"/>
      <c r="E92" s="96"/>
      <c r="F92" s="96"/>
      <c r="I92">
        <f>E63-I63</f>
        <v>-2.7400659099999984</v>
      </c>
      <c r="J92">
        <f t="shared" ref="J92:T92" si="51">I63-J63</f>
        <v>-1.8607979659499989</v>
      </c>
      <c r="K92">
        <f t="shared" si="51"/>
        <v>-1.9445338744177505</v>
      </c>
      <c r="L92">
        <f t="shared" si="51"/>
        <v>-2.0320378987665393</v>
      </c>
      <c r="M92">
        <f t="shared" si="51"/>
        <v>-2.1234796042110418</v>
      </c>
      <c r="N92">
        <f t="shared" si="51"/>
        <v>-2.2190361864005368</v>
      </c>
      <c r="O92">
        <f t="shared" si="51"/>
        <v>-2.3188928147885548</v>
      </c>
      <c r="P92">
        <f t="shared" si="51"/>
        <v>-2.4232429914540532</v>
      </c>
      <c r="Q92">
        <f t="shared" si="51"/>
        <v>-2.5322889260694694</v>
      </c>
      <c r="R92">
        <f t="shared" si="51"/>
        <v>-2.6462419277426008</v>
      </c>
      <c r="S92">
        <f t="shared" si="51"/>
        <v>-2.7653228144910145</v>
      </c>
      <c r="T92">
        <f t="shared" si="51"/>
        <v>-2.8897623411431113</v>
      </c>
    </row>
    <row r="93" spans="1:20" ht="15" customHeight="1" x14ac:dyDescent="0.45">
      <c r="B93" t="s">
        <v>105</v>
      </c>
      <c r="D93" s="96"/>
      <c r="E93" s="96"/>
      <c r="F93" s="96"/>
      <c r="I93">
        <f>I72-E72</f>
        <v>6.0404913301369731</v>
      </c>
      <c r="J93">
        <f t="shared" ref="J93:T93" si="52">J72-I72</f>
        <v>6.0812771098561598</v>
      </c>
      <c r="K93">
        <f t="shared" si="52"/>
        <v>6.354934579799675</v>
      </c>
      <c r="L93">
        <f t="shared" si="52"/>
        <v>6.6409066358906728</v>
      </c>
      <c r="M93">
        <f t="shared" si="52"/>
        <v>6.9397474345057333</v>
      </c>
      <c r="N93">
        <f t="shared" si="52"/>
        <v>7.2520360690585051</v>
      </c>
      <c r="O93">
        <f t="shared" si="52"/>
        <v>7.5783776921661286</v>
      </c>
      <c r="P93">
        <f t="shared" si="52"/>
        <v>7.9194046883136195</v>
      </c>
      <c r="Q93">
        <f t="shared" si="52"/>
        <v>8.2757778992877036</v>
      </c>
      <c r="R93">
        <f t="shared" si="52"/>
        <v>8.6481879047556731</v>
      </c>
      <c r="S93">
        <f t="shared" si="52"/>
        <v>9.0373563604696585</v>
      </c>
      <c r="T93">
        <f t="shared" si="52"/>
        <v>9.4440373966907885</v>
      </c>
    </row>
    <row r="94" spans="1:20" ht="15" customHeight="1" x14ac:dyDescent="0.45">
      <c r="B94" t="s">
        <v>106</v>
      </c>
      <c r="D94" s="30"/>
      <c r="E94" s="30"/>
      <c r="I94">
        <f>I73-E73</f>
        <v>9.9625673749999635</v>
      </c>
      <c r="J94">
        <f t="shared" ref="J94:T94" si="53">J73-I73</f>
        <v>9.9685605318749992</v>
      </c>
      <c r="K94">
        <f t="shared" si="53"/>
        <v>10.417145755809344</v>
      </c>
      <c r="L94">
        <f t="shared" si="53"/>
        <v>10.885917314820773</v>
      </c>
      <c r="M94">
        <f t="shared" si="53"/>
        <v>11.375783593987734</v>
      </c>
      <c r="N94">
        <f t="shared" si="53"/>
        <v>11.887693855717146</v>
      </c>
      <c r="O94">
        <f t="shared" si="53"/>
        <v>12.422640079224436</v>
      </c>
      <c r="P94">
        <f t="shared" si="53"/>
        <v>12.981658882789532</v>
      </c>
      <c r="Q94">
        <f t="shared" si="53"/>
        <v>13.565833532515001</v>
      </c>
      <c r="R94">
        <f t="shared" si="53"/>
        <v>14.176296041478224</v>
      </c>
      <c r="S94">
        <f t="shared" si="53"/>
        <v>14.814229363344737</v>
      </c>
      <c r="T94">
        <f t="shared" si="53"/>
        <v>15.480869684695222</v>
      </c>
    </row>
    <row r="95" spans="1:20" ht="15" customHeight="1" x14ac:dyDescent="0.45">
      <c r="B95" t="s">
        <v>230</v>
      </c>
      <c r="D95" s="30"/>
      <c r="E95" s="30"/>
      <c r="I95">
        <f>SUM(I86:I94)</f>
        <v>200.75736876759993</v>
      </c>
      <c r="J95" s="90">
        <f t="shared" ref="J95:T95" si="54">SUM(J86:J94)</f>
        <v>208.21118548844876</v>
      </c>
      <c r="K95" s="90">
        <f t="shared" si="54"/>
        <v>215.75810822884387</v>
      </c>
      <c r="L95" s="90">
        <f t="shared" si="54"/>
        <v>223.97395277977509</v>
      </c>
      <c r="M95" s="90">
        <f t="shared" si="54"/>
        <v>232.82789821958107</v>
      </c>
      <c r="N95" s="90">
        <f t="shared" si="54"/>
        <v>242.29900732970572</v>
      </c>
      <c r="O95" s="90">
        <f t="shared" si="54"/>
        <v>252.37458629209104</v>
      </c>
      <c r="P95" s="90">
        <f t="shared" si="54"/>
        <v>263.04885631076218</v>
      </c>
      <c r="Q95" s="90">
        <f t="shared" si="54"/>
        <v>274.32187983270103</v>
      </c>
      <c r="R95" s="90">
        <f t="shared" si="54"/>
        <v>286.19869466535545</v>
      </c>
      <c r="S95" s="90">
        <f t="shared" si="54"/>
        <v>298.68861794604544</v>
      </c>
      <c r="T95" s="90">
        <f t="shared" si="54"/>
        <v>311.80468897552805</v>
      </c>
    </row>
    <row r="96" spans="1:20" ht="15" customHeight="1" x14ac:dyDescent="0.45">
      <c r="D96" s="30"/>
      <c r="E96" s="30"/>
    </row>
    <row r="97" spans="1:20" ht="15" customHeight="1" x14ac:dyDescent="0.45">
      <c r="B97" t="s">
        <v>90</v>
      </c>
      <c r="D97" s="30"/>
      <c r="E97" s="30"/>
      <c r="I97">
        <f t="shared" ref="I97:T97" si="55">-I29</f>
        <v>-79.748484254999994</v>
      </c>
      <c r="J97">
        <f t="shared" si="55"/>
        <v>-83.337166046474991</v>
      </c>
      <c r="K97">
        <f t="shared" si="55"/>
        <v>-87.087338518566355</v>
      </c>
      <c r="L97">
        <f t="shared" si="55"/>
        <v>-91.006268751901843</v>
      </c>
      <c r="M97">
        <f t="shared" si="55"/>
        <v>-95.101550845737407</v>
      </c>
      <c r="N97">
        <f t="shared" si="55"/>
        <v>-99.381120633795589</v>
      </c>
      <c r="O97">
        <f t="shared" si="55"/>
        <v>-103.85327106231638</v>
      </c>
      <c r="P97">
        <f t="shared" si="55"/>
        <v>-108.52666826012062</v>
      </c>
      <c r="Q97">
        <f t="shared" si="55"/>
        <v>-113.41036833182602</v>
      </c>
      <c r="R97">
        <f t="shared" si="55"/>
        <v>-118.51383490675818</v>
      </c>
      <c r="S97">
        <f t="shared" si="55"/>
        <v>-123.84695747756228</v>
      </c>
      <c r="T97">
        <f t="shared" si="55"/>
        <v>-129.42007056405257</v>
      </c>
    </row>
    <row r="98" spans="1:20" ht="15" customHeight="1" x14ac:dyDescent="0.45">
      <c r="B98" t="s">
        <v>231</v>
      </c>
      <c r="D98" s="30"/>
      <c r="E98" s="30"/>
      <c r="I98">
        <f>SUM(I97:I97)</f>
        <v>-79.748484254999994</v>
      </c>
      <c r="J98">
        <f>SUM(J97:J97)</f>
        <v>-83.337166046474991</v>
      </c>
      <c r="K98">
        <f t="shared" ref="K98:T98" si="56">SUM(K97:K97)</f>
        <v>-87.087338518566355</v>
      </c>
      <c r="L98">
        <f t="shared" si="56"/>
        <v>-91.006268751901843</v>
      </c>
      <c r="M98">
        <f t="shared" si="56"/>
        <v>-95.101550845737407</v>
      </c>
      <c r="N98">
        <f t="shared" si="56"/>
        <v>-99.381120633795589</v>
      </c>
      <c r="O98">
        <f t="shared" si="56"/>
        <v>-103.85327106231638</v>
      </c>
      <c r="P98">
        <f t="shared" si="56"/>
        <v>-108.52666826012062</v>
      </c>
      <c r="Q98">
        <f t="shared" si="56"/>
        <v>-113.41036833182602</v>
      </c>
      <c r="R98">
        <f t="shared" si="56"/>
        <v>-118.51383490675818</v>
      </c>
      <c r="S98">
        <f t="shared" si="56"/>
        <v>-123.84695747756228</v>
      </c>
      <c r="T98">
        <f t="shared" si="56"/>
        <v>-129.42007056405257</v>
      </c>
    </row>
    <row r="99" spans="1:20" ht="15" customHeight="1" x14ac:dyDescent="0.45">
      <c r="D99" s="30"/>
      <c r="E99" s="30"/>
    </row>
    <row r="100" spans="1:20" ht="15" customHeight="1" x14ac:dyDescent="0.45">
      <c r="B100" t="s">
        <v>92</v>
      </c>
      <c r="D100" s="30"/>
      <c r="E100" s="30"/>
      <c r="I100">
        <f>I71-E71</f>
        <v>0</v>
      </c>
      <c r="J100">
        <f t="shared" ref="J100:T100" si="57">J71-I71</f>
        <v>0</v>
      </c>
      <c r="K100">
        <f t="shared" si="57"/>
        <v>0</v>
      </c>
      <c r="L100">
        <f t="shared" si="57"/>
        <v>0</v>
      </c>
      <c r="M100">
        <f t="shared" si="57"/>
        <v>0</v>
      </c>
      <c r="N100">
        <f t="shared" si="57"/>
        <v>0</v>
      </c>
      <c r="O100">
        <f t="shared" si="57"/>
        <v>0</v>
      </c>
      <c r="P100">
        <f t="shared" si="57"/>
        <v>0</v>
      </c>
      <c r="Q100">
        <f t="shared" si="57"/>
        <v>0</v>
      </c>
      <c r="R100">
        <f t="shared" si="57"/>
        <v>0</v>
      </c>
      <c r="S100">
        <f t="shared" si="57"/>
        <v>0</v>
      </c>
      <c r="T100">
        <f t="shared" si="57"/>
        <v>0</v>
      </c>
    </row>
    <row r="101" spans="1:20" ht="15" customHeight="1" x14ac:dyDescent="0.45">
      <c r="B101" t="s">
        <v>93</v>
      </c>
      <c r="D101" s="30"/>
      <c r="E101" s="30"/>
      <c r="I101">
        <f>I76-E76</f>
        <v>0</v>
      </c>
      <c r="J101">
        <f t="shared" ref="J101:T101" si="58">J76-I76</f>
        <v>0</v>
      </c>
      <c r="K101">
        <f t="shared" si="58"/>
        <v>0</v>
      </c>
      <c r="L101">
        <f t="shared" si="58"/>
        <v>0</v>
      </c>
      <c r="M101">
        <f t="shared" si="58"/>
        <v>0</v>
      </c>
      <c r="N101">
        <f t="shared" si="58"/>
        <v>0</v>
      </c>
      <c r="O101">
        <f t="shared" si="58"/>
        <v>0</v>
      </c>
      <c r="P101">
        <f t="shared" si="58"/>
        <v>0</v>
      </c>
      <c r="Q101">
        <f t="shared" si="58"/>
        <v>0</v>
      </c>
      <c r="R101">
        <f t="shared" si="58"/>
        <v>0</v>
      </c>
      <c r="S101">
        <f t="shared" si="58"/>
        <v>0</v>
      </c>
      <c r="T101">
        <f t="shared" si="58"/>
        <v>0</v>
      </c>
    </row>
    <row r="102" spans="1:20" ht="15" customHeight="1" x14ac:dyDescent="0.45">
      <c r="B102" t="s">
        <v>94</v>
      </c>
      <c r="D102" s="30"/>
      <c r="E102" s="30"/>
      <c r="I102">
        <f t="shared" ref="I102:T102" si="59">I41</f>
        <v>-8.3000000000000007</v>
      </c>
      <c r="J102">
        <f t="shared" si="59"/>
        <v>-8.3000000000000007</v>
      </c>
      <c r="K102">
        <f t="shared" si="59"/>
        <v>-8.3000000000000007</v>
      </c>
      <c r="L102">
        <f t="shared" si="59"/>
        <v>-8.3000000000000007</v>
      </c>
      <c r="M102">
        <f t="shared" si="59"/>
        <v>-8.3000000000000007</v>
      </c>
      <c r="N102">
        <f t="shared" si="59"/>
        <v>-8.3000000000000007</v>
      </c>
      <c r="O102">
        <f t="shared" si="59"/>
        <v>-8.3000000000000007</v>
      </c>
      <c r="P102">
        <f t="shared" si="59"/>
        <v>-8.3000000000000007</v>
      </c>
      <c r="Q102">
        <f t="shared" si="59"/>
        <v>-8.3000000000000007</v>
      </c>
      <c r="R102">
        <f t="shared" si="59"/>
        <v>-8.3000000000000007</v>
      </c>
      <c r="S102">
        <f t="shared" si="59"/>
        <v>-8.3000000000000007</v>
      </c>
      <c r="T102">
        <f t="shared" si="59"/>
        <v>-8.3000000000000007</v>
      </c>
    </row>
    <row r="103" spans="1:20" ht="15" customHeight="1" x14ac:dyDescent="0.45">
      <c r="B103" t="s">
        <v>232</v>
      </c>
      <c r="D103" s="30"/>
      <c r="E103" s="30"/>
      <c r="I103">
        <f>SUM(I100:I102)</f>
        <v>-8.3000000000000007</v>
      </c>
      <c r="J103">
        <f>SUM(J100:J102)</f>
        <v>-8.3000000000000007</v>
      </c>
      <c r="K103">
        <f t="shared" ref="K103:T103" si="60">SUM(K100:K102)</f>
        <v>-8.3000000000000007</v>
      </c>
      <c r="L103">
        <f t="shared" si="60"/>
        <v>-8.3000000000000007</v>
      </c>
      <c r="M103">
        <f t="shared" si="60"/>
        <v>-8.3000000000000007</v>
      </c>
      <c r="N103">
        <f t="shared" si="60"/>
        <v>-8.3000000000000007</v>
      </c>
      <c r="O103">
        <f t="shared" si="60"/>
        <v>-8.3000000000000007</v>
      </c>
      <c r="P103">
        <f t="shared" si="60"/>
        <v>-8.3000000000000007</v>
      </c>
      <c r="Q103">
        <f t="shared" si="60"/>
        <v>-8.3000000000000007</v>
      </c>
      <c r="R103">
        <f t="shared" si="60"/>
        <v>-8.3000000000000007</v>
      </c>
      <c r="S103">
        <f t="shared" si="60"/>
        <v>-8.3000000000000007</v>
      </c>
      <c r="T103">
        <f t="shared" si="60"/>
        <v>-8.3000000000000007</v>
      </c>
    </row>
    <row r="104" spans="1:20" ht="15" customHeight="1" x14ac:dyDescent="0.45">
      <c r="D104" s="30"/>
      <c r="E104" s="30"/>
    </row>
    <row r="105" spans="1:20" ht="15" customHeight="1" x14ac:dyDescent="0.45">
      <c r="B105" t="s">
        <v>95</v>
      </c>
      <c r="D105" s="30"/>
      <c r="E105" s="30"/>
      <c r="I105">
        <f>E107</f>
        <v>185.173</v>
      </c>
      <c r="J105">
        <f>I107</f>
        <v>297.88188451259992</v>
      </c>
      <c r="K105">
        <f t="shared" ref="K105:T105" si="61">J107</f>
        <v>414.45590395457373</v>
      </c>
      <c r="L105">
        <f t="shared" si="61"/>
        <v>534.82667366485123</v>
      </c>
      <c r="M105">
        <f t="shared" si="61"/>
        <v>659.49435769272452</v>
      </c>
      <c r="N105">
        <f t="shared" si="61"/>
        <v>788.92070506656819</v>
      </c>
      <c r="O105">
        <f t="shared" si="61"/>
        <v>923.53859176247829</v>
      </c>
      <c r="P105">
        <f t="shared" si="61"/>
        <v>1063.759906992253</v>
      </c>
      <c r="Q105">
        <f t="shared" si="61"/>
        <v>1209.9820950428946</v>
      </c>
      <c r="R105">
        <f t="shared" si="61"/>
        <v>1362.5936065437695</v>
      </c>
      <c r="S105">
        <f t="shared" si="61"/>
        <v>1521.9784663023668</v>
      </c>
      <c r="T105">
        <f t="shared" si="61"/>
        <v>1688.5201267708499</v>
      </c>
    </row>
    <row r="106" spans="1:20" ht="15" customHeight="1" x14ac:dyDescent="0.45">
      <c r="B106" t="s">
        <v>96</v>
      </c>
      <c r="D106" s="30"/>
      <c r="E106" s="30"/>
      <c r="I106">
        <f>SUM(I95,I98,I103)</f>
        <v>112.70888451259994</v>
      </c>
      <c r="J106">
        <f>SUM(J95,J98,J103)</f>
        <v>116.57401944197377</v>
      </c>
      <c r="K106">
        <f t="shared" ref="K106:T106" si="62">SUM(K95,K98,K103)</f>
        <v>120.37076971027751</v>
      </c>
      <c r="L106">
        <f t="shared" si="62"/>
        <v>124.66768402787325</v>
      </c>
      <c r="M106">
        <f t="shared" si="62"/>
        <v>129.42634737384367</v>
      </c>
      <c r="N106">
        <f t="shared" si="62"/>
        <v>134.6178866959101</v>
      </c>
      <c r="O106">
        <f t="shared" si="62"/>
        <v>140.22131522977463</v>
      </c>
      <c r="P106">
        <f t="shared" si="62"/>
        <v>146.22218805064153</v>
      </c>
      <c r="Q106">
        <f t="shared" si="62"/>
        <v>152.611511500875</v>
      </c>
      <c r="R106">
        <f t="shared" si="62"/>
        <v>159.38485975859726</v>
      </c>
      <c r="S106">
        <f t="shared" si="62"/>
        <v>166.54166046848314</v>
      </c>
      <c r="T106">
        <f t="shared" si="62"/>
        <v>174.08461841147547</v>
      </c>
    </row>
    <row r="107" spans="1:20" ht="15" customHeight="1" x14ac:dyDescent="0.45">
      <c r="B107" t="s">
        <v>186</v>
      </c>
      <c r="D107" s="30"/>
      <c r="E107" s="30">
        <f>E61</f>
        <v>185.173</v>
      </c>
      <c r="I107">
        <f>SUM(I105:I106)</f>
        <v>297.88188451259992</v>
      </c>
      <c r="J107">
        <f>SUM(J105:J106)</f>
        <v>414.45590395457373</v>
      </c>
      <c r="K107">
        <f t="shared" ref="K107:T107" si="63">SUM(K105:K106)</f>
        <v>534.82667366485123</v>
      </c>
      <c r="L107">
        <f t="shared" si="63"/>
        <v>659.49435769272452</v>
      </c>
      <c r="M107">
        <f t="shared" si="63"/>
        <v>788.92070506656819</v>
      </c>
      <c r="N107">
        <f t="shared" si="63"/>
        <v>923.53859176247829</v>
      </c>
      <c r="O107">
        <f t="shared" si="63"/>
        <v>1063.759906992253</v>
      </c>
      <c r="P107">
        <f t="shared" si="63"/>
        <v>1209.9820950428946</v>
      </c>
      <c r="Q107">
        <f t="shared" si="63"/>
        <v>1362.5936065437695</v>
      </c>
      <c r="R107">
        <f t="shared" si="63"/>
        <v>1521.9784663023668</v>
      </c>
      <c r="S107">
        <f t="shared" si="63"/>
        <v>1688.5201267708499</v>
      </c>
      <c r="T107">
        <f t="shared" si="63"/>
        <v>1862.6047451823254</v>
      </c>
    </row>
    <row r="108" spans="1:20" ht="15" customHeight="1" x14ac:dyDescent="0.45">
      <c r="D108" s="30"/>
      <c r="E108" s="30"/>
    </row>
    <row r="109" spans="1:20" ht="15" customHeight="1" x14ac:dyDescent="0.45">
      <c r="A109" s="14" t="s">
        <v>134</v>
      </c>
    </row>
    <row r="110" spans="1:20" ht="15" customHeight="1" x14ac:dyDescent="0.45">
      <c r="B110" t="s">
        <v>137</v>
      </c>
      <c r="I110">
        <f>AVERAGE(E71,I71)*I22</f>
        <v>0</v>
      </c>
      <c r="J110">
        <f t="shared" ref="J110:T110" si="64">AVERAGE(I71,J71)*J22</f>
        <v>0</v>
      </c>
      <c r="K110">
        <f t="shared" si="64"/>
        <v>0</v>
      </c>
      <c r="L110">
        <f t="shared" si="64"/>
        <v>0</v>
      </c>
      <c r="M110">
        <f t="shared" si="64"/>
        <v>0</v>
      </c>
      <c r="N110">
        <f t="shared" si="64"/>
        <v>0</v>
      </c>
      <c r="O110">
        <f t="shared" si="64"/>
        <v>0</v>
      </c>
      <c r="P110">
        <f t="shared" si="64"/>
        <v>0</v>
      </c>
      <c r="Q110">
        <f t="shared" si="64"/>
        <v>0</v>
      </c>
      <c r="R110">
        <f t="shared" si="64"/>
        <v>0</v>
      </c>
      <c r="S110">
        <f t="shared" si="64"/>
        <v>0</v>
      </c>
      <c r="T110">
        <f t="shared" si="64"/>
        <v>0</v>
      </c>
    </row>
    <row r="111" spans="1:20" ht="15" customHeight="1" x14ac:dyDescent="0.45">
      <c r="B111" t="s">
        <v>135</v>
      </c>
      <c r="I111">
        <f>AVERAGE(I76,E76)*I23</f>
        <v>13.44595</v>
      </c>
      <c r="J111">
        <f t="shared" ref="J111:T111" si="65">AVERAGE(J76,I76)*J23</f>
        <v>13.44595</v>
      </c>
      <c r="K111">
        <f t="shared" si="65"/>
        <v>13.44595</v>
      </c>
      <c r="L111">
        <f t="shared" si="65"/>
        <v>13.44595</v>
      </c>
      <c r="M111">
        <f t="shared" si="65"/>
        <v>13.44595</v>
      </c>
      <c r="N111">
        <f t="shared" si="65"/>
        <v>13.44595</v>
      </c>
      <c r="O111">
        <f t="shared" si="65"/>
        <v>13.44595</v>
      </c>
      <c r="P111">
        <f t="shared" si="65"/>
        <v>13.44595</v>
      </c>
      <c r="Q111">
        <f t="shared" si="65"/>
        <v>13.44595</v>
      </c>
      <c r="R111">
        <f t="shared" si="65"/>
        <v>13.44595</v>
      </c>
      <c r="S111">
        <f t="shared" si="65"/>
        <v>13.44595</v>
      </c>
      <c r="T111">
        <f t="shared" si="65"/>
        <v>13.44595</v>
      </c>
    </row>
    <row r="112" spans="1:20" ht="15" customHeight="1" x14ac:dyDescent="0.45">
      <c r="B112" t="s">
        <v>136</v>
      </c>
      <c r="I112">
        <f>AVERAGE(I61,E61)*I24</f>
        <v>0.24152744225629996</v>
      </c>
      <c r="J112">
        <f t="shared" ref="J112:T112" si="66">AVERAGE(J61,I61)*J24</f>
        <v>0.35616889423358683</v>
      </c>
      <c r="K112">
        <f t="shared" si="66"/>
        <v>0.47464128880971251</v>
      </c>
      <c r="L112">
        <f t="shared" si="66"/>
        <v>0.59716051567878792</v>
      </c>
      <c r="M112">
        <f t="shared" si="66"/>
        <v>0.72420753137964633</v>
      </c>
      <c r="N112">
        <f t="shared" si="66"/>
        <v>0.8562296484145232</v>
      </c>
      <c r="O112">
        <f t="shared" si="66"/>
        <v>0.99364924937736565</v>
      </c>
      <c r="P112">
        <f t="shared" si="66"/>
        <v>1.1368710010175738</v>
      </c>
      <c r="Q112">
        <f t="shared" si="66"/>
        <v>1.286287850793332</v>
      </c>
      <c r="R112">
        <f t="shared" si="66"/>
        <v>1.4422860364230683</v>
      </c>
      <c r="S112">
        <f t="shared" si="66"/>
        <v>1.6052492965366083</v>
      </c>
      <c r="T112">
        <f t="shared" si="66"/>
        <v>1.7755624359765876</v>
      </c>
    </row>
    <row r="113" spans="1:20" ht="15" customHeight="1" x14ac:dyDescent="0.45">
      <c r="B113" t="s">
        <v>141</v>
      </c>
      <c r="I113">
        <f>SUM(I110:I111)-I112</f>
        <v>13.204422557743699</v>
      </c>
      <c r="J113">
        <f t="shared" ref="J113:T113" si="67">SUM(J110:J111)-J112</f>
        <v>13.089781105766413</v>
      </c>
      <c r="K113">
        <f t="shared" si="67"/>
        <v>12.971308711190288</v>
      </c>
      <c r="L113">
        <f t="shared" si="67"/>
        <v>12.848789484321212</v>
      </c>
      <c r="M113">
        <f t="shared" si="67"/>
        <v>12.721742468620354</v>
      </c>
      <c r="N113">
        <f t="shared" si="67"/>
        <v>12.589720351585477</v>
      </c>
      <c r="O113">
        <f t="shared" si="67"/>
        <v>12.452300750622634</v>
      </c>
      <c r="P113">
        <f t="shared" si="67"/>
        <v>12.309078998982425</v>
      </c>
      <c r="Q113">
        <f t="shared" si="67"/>
        <v>12.159662149206667</v>
      </c>
      <c r="R113">
        <f t="shared" si="67"/>
        <v>12.003663963576932</v>
      </c>
      <c r="S113">
        <f t="shared" si="67"/>
        <v>11.840700703463391</v>
      </c>
      <c r="T113">
        <f t="shared" si="67"/>
        <v>11.670387564023413</v>
      </c>
    </row>
    <row r="115" spans="1:20" ht="15" customHeight="1" x14ac:dyDescent="0.45">
      <c r="A115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E60-3389-4B33-8102-3590B519F1A1}">
  <sheetPr>
    <tabColor rgb="FF00B050"/>
  </sheetPr>
  <dimension ref="A1:AC130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customWidth="1"/>
    <col min="10" max="20" width="10.6640625" customWidth="1"/>
  </cols>
  <sheetData>
    <row r="1" spans="1:20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35" customFormat="1" ht="30" customHeight="1" x14ac:dyDescent="0.65">
      <c r="A2" s="13" t="s">
        <v>98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C7</f>
        <v>43373</v>
      </c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89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">
        <v>172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20" s="89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20" ht="15" customHeight="1" x14ac:dyDescent="0.45">
      <c r="C5" s="96"/>
    </row>
    <row r="6" spans="1:20" ht="15" customHeight="1" x14ac:dyDescent="0.45">
      <c r="A6" s="14" t="s">
        <v>102</v>
      </c>
    </row>
    <row r="7" spans="1:20" ht="15" customHeight="1" x14ac:dyDescent="0.45">
      <c r="B7" t="s">
        <v>21</v>
      </c>
      <c r="C7" s="65">
        <f>Input!C5</f>
        <v>43373</v>
      </c>
      <c r="Q7" s="96"/>
    </row>
    <row r="8" spans="1:20" ht="15" customHeight="1" x14ac:dyDescent="0.45">
      <c r="B8" t="s">
        <v>22</v>
      </c>
      <c r="C8" s="65">
        <f>Input!C6</f>
        <v>43465</v>
      </c>
      <c r="I8" s="96"/>
      <c r="Q8" s="96"/>
    </row>
    <row r="9" spans="1:20" ht="15" customHeight="1" x14ac:dyDescent="0.45">
      <c r="B9" t="s">
        <v>101</v>
      </c>
      <c r="C9" s="65">
        <f>EDATE(C8,-12)</f>
        <v>43100</v>
      </c>
      <c r="Q9" s="96"/>
    </row>
    <row r="10" spans="1:20" ht="15" customHeight="1" x14ac:dyDescent="0.45">
      <c r="B10" t="s">
        <v>99</v>
      </c>
      <c r="C10" s="72">
        <f>1-Postdeal_Percent</f>
        <v>0.75</v>
      </c>
    </row>
    <row r="11" spans="1:20" ht="15" customHeight="1" x14ac:dyDescent="0.45">
      <c r="B11" s="96" t="s">
        <v>100</v>
      </c>
      <c r="C11" s="72">
        <f>YEARFRAC(C7,C8)</f>
        <v>0.25</v>
      </c>
      <c r="D11" s="96"/>
      <c r="E11" s="96"/>
      <c r="F11" s="96"/>
      <c r="G11" s="96"/>
    </row>
    <row r="12" spans="1:20" ht="15" customHeight="1" x14ac:dyDescent="0.45">
      <c r="C12" s="87"/>
      <c r="I12" s="104"/>
    </row>
    <row r="13" spans="1:20" s="90" customFormat="1" ht="15" customHeight="1" x14ac:dyDescent="0.45">
      <c r="A13" s="14"/>
      <c r="B13" s="96" t="s">
        <v>256</v>
      </c>
      <c r="I13" s="77">
        <v>0</v>
      </c>
    </row>
    <row r="14" spans="1:20" s="90" customFormat="1" ht="15" customHeight="1" x14ac:dyDescent="0.45">
      <c r="A14" s="14"/>
      <c r="B14" s="96" t="s">
        <v>77</v>
      </c>
      <c r="I14" s="72">
        <f>Model!I9</f>
        <v>0.21</v>
      </c>
    </row>
    <row r="15" spans="1:20" s="90" customFormat="1" ht="15" customHeight="1" x14ac:dyDescent="0.45">
      <c r="A15" s="14"/>
      <c r="B15" s="96" t="s">
        <v>113</v>
      </c>
      <c r="I15" s="90">
        <f>Model!I18</f>
        <v>0</v>
      </c>
    </row>
    <row r="16" spans="1:20" ht="15" customHeight="1" x14ac:dyDescent="0.45">
      <c r="F16" s="71"/>
      <c r="G16" s="71"/>
      <c r="J16" s="90"/>
    </row>
    <row r="17" spans="1:26" ht="15" customHeight="1" x14ac:dyDescent="0.45">
      <c r="A17" s="14" t="s">
        <v>81</v>
      </c>
      <c r="F17" s="71"/>
      <c r="J17" s="90"/>
      <c r="O17" s="84"/>
    </row>
    <row r="18" spans="1:26" ht="15" customHeight="1" x14ac:dyDescent="0.45">
      <c r="B18" t="s">
        <v>66</v>
      </c>
      <c r="F18" s="71"/>
      <c r="J18" s="90"/>
      <c r="O18" s="64"/>
    </row>
    <row r="19" spans="1:26" ht="15" customHeight="1" x14ac:dyDescent="0.45">
      <c r="B19" t="s">
        <v>82</v>
      </c>
      <c r="F19" s="71">
        <f>E22</f>
        <v>591.16399999999999</v>
      </c>
      <c r="G19" s="85"/>
      <c r="H19" s="30"/>
      <c r="I19" s="96"/>
      <c r="J19" s="90"/>
    </row>
    <row r="20" spans="1:26" ht="15" customHeight="1" x14ac:dyDescent="0.45">
      <c r="B20" t="s">
        <v>83</v>
      </c>
      <c r="F20" s="71">
        <f>Model!I29*Predeal_Percent</f>
        <v>59.811363191249995</v>
      </c>
      <c r="G20" s="85"/>
      <c r="H20" s="30"/>
      <c r="I20" s="96"/>
      <c r="J20" s="9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" customHeight="1" x14ac:dyDescent="0.45">
      <c r="B21" t="s">
        <v>58</v>
      </c>
      <c r="F21" s="71">
        <f>Model!I30*Predeal_Percent</f>
        <v>-82.024005000000002</v>
      </c>
      <c r="G21" s="85"/>
      <c r="H21" s="30"/>
      <c r="I21" s="96"/>
      <c r="J21" s="9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" customHeight="1" x14ac:dyDescent="0.45">
      <c r="B22" t="s">
        <v>84</v>
      </c>
      <c r="E22">
        <f>E66</f>
        <v>591.16399999999999</v>
      </c>
      <c r="F22" s="71">
        <f>SUM(F19:F21)</f>
        <v>568.95135819124994</v>
      </c>
      <c r="G22" s="85"/>
      <c r="I22" s="96"/>
      <c r="J22" s="9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" customHeight="1" x14ac:dyDescent="0.45">
      <c r="F23" s="71"/>
      <c r="G23" s="85"/>
      <c r="I23" s="96"/>
      <c r="J23" s="9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" customHeight="1" x14ac:dyDescent="0.45">
      <c r="B24" t="s">
        <v>67</v>
      </c>
      <c r="F24" s="71"/>
      <c r="G24" s="85"/>
      <c r="I24" s="96"/>
      <c r="J24" s="90"/>
      <c r="K24" s="30"/>
      <c r="L24" s="30"/>
      <c r="M24" s="30"/>
      <c r="N24" s="30"/>
      <c r="O24" s="94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" customHeight="1" x14ac:dyDescent="0.45">
      <c r="B25" t="s">
        <v>82</v>
      </c>
      <c r="F25" s="71">
        <f>E27</f>
        <v>181.78899999999999</v>
      </c>
      <c r="G25" s="85"/>
      <c r="I25" s="96"/>
      <c r="J25" s="9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" customHeight="1" x14ac:dyDescent="0.45">
      <c r="B26" t="s">
        <v>59</v>
      </c>
      <c r="F26" s="71">
        <f>Model!I35*Predeal_Percent</f>
        <v>-3.375</v>
      </c>
      <c r="G26" s="85"/>
      <c r="I26" s="96"/>
      <c r="J26" s="9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" customHeight="1" x14ac:dyDescent="0.45">
      <c r="B27" t="s">
        <v>84</v>
      </c>
      <c r="E27">
        <f>E67</f>
        <v>181.78899999999999</v>
      </c>
      <c r="F27" s="71">
        <f>SUM(F25:F26)</f>
        <v>178.41399999999999</v>
      </c>
      <c r="G27" s="85"/>
      <c r="I27" s="96"/>
      <c r="J27" s="9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" customHeight="1" x14ac:dyDescent="0.45">
      <c r="F28" s="71"/>
      <c r="G28" s="85"/>
      <c r="I28" s="96"/>
      <c r="J28" s="9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" customHeight="1" x14ac:dyDescent="0.45">
      <c r="B29" t="s">
        <v>46</v>
      </c>
      <c r="F29" s="71"/>
      <c r="G29" s="85"/>
      <c r="I29" s="96"/>
      <c r="J29" s="9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" customHeight="1" x14ac:dyDescent="0.45">
      <c r="B30" t="s">
        <v>82</v>
      </c>
      <c r="F30" s="71">
        <f>E33</f>
        <v>651.46199999999999</v>
      </c>
      <c r="G30" s="85"/>
      <c r="I30" s="96"/>
      <c r="J30" s="90"/>
      <c r="K30" s="30"/>
      <c r="L30" s="30"/>
      <c r="M30" s="30"/>
      <c r="N30" s="30"/>
      <c r="O30" s="94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" customHeight="1" x14ac:dyDescent="0.45">
      <c r="B31" t="s">
        <v>88</v>
      </c>
      <c r="F31" s="71">
        <f>F56</f>
        <v>65.537535901949994</v>
      </c>
      <c r="G31" s="85"/>
      <c r="I31" s="96"/>
      <c r="J31" s="9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" customHeight="1" x14ac:dyDescent="0.45">
      <c r="B32" t="s">
        <v>61</v>
      </c>
      <c r="F32" s="71">
        <f>F58</f>
        <v>-6.2250000000000005</v>
      </c>
      <c r="G32" s="85"/>
      <c r="I32" s="96"/>
      <c r="J32" s="9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" customHeight="1" x14ac:dyDescent="0.45">
      <c r="B33" t="s">
        <v>84</v>
      </c>
      <c r="E33">
        <f>E88</f>
        <v>651.46199999999999</v>
      </c>
      <c r="F33" s="71">
        <f>SUM(F30:F32)</f>
        <v>710.77453590195</v>
      </c>
      <c r="G33" s="85"/>
      <c r="I33" s="96"/>
      <c r="J33" s="9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s="90" customFormat="1" ht="15" customHeight="1" x14ac:dyDescent="0.45">
      <c r="A34" s="14"/>
      <c r="F34" s="91"/>
      <c r="H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45">
      <c r="A35" s="14" t="s">
        <v>54</v>
      </c>
      <c r="F35" s="102"/>
      <c r="G35" s="85"/>
      <c r="H35" s="30"/>
      <c r="I35" s="100"/>
      <c r="J35" s="90"/>
      <c r="K35" s="71"/>
    </row>
    <row r="36" spans="1:26" ht="15" customHeight="1" x14ac:dyDescent="0.45">
      <c r="B36" t="s">
        <v>57</v>
      </c>
      <c r="F36" s="30">
        <f>Model!I45*Predeal_Percent</f>
        <v>2215.2356737499999</v>
      </c>
      <c r="G36" s="85"/>
      <c r="H36" s="30"/>
      <c r="I36" s="96"/>
      <c r="J36" s="90"/>
    </row>
    <row r="37" spans="1:26" ht="15" customHeight="1" x14ac:dyDescent="0.45">
      <c r="B37" t="s">
        <v>146</v>
      </c>
      <c r="F37" s="96">
        <f>Model!I46*Predeal_Percent</f>
        <v>168.35791120499999</v>
      </c>
      <c r="G37" s="85"/>
      <c r="H37" s="30"/>
      <c r="I37" s="96"/>
      <c r="J37" s="90"/>
    </row>
    <row r="38" spans="1:26" ht="15" customHeight="1" x14ac:dyDescent="0.45">
      <c r="F38" s="30"/>
      <c r="G38" s="85"/>
      <c r="H38" s="30"/>
      <c r="I38" s="96"/>
      <c r="J38" s="90"/>
    </row>
    <row r="39" spans="1:26" ht="15" customHeight="1" x14ac:dyDescent="0.45">
      <c r="B39" t="s">
        <v>58</v>
      </c>
      <c r="F39" s="96">
        <f>F21</f>
        <v>-82.024005000000002</v>
      </c>
      <c r="G39" s="85"/>
      <c r="H39" s="30"/>
      <c r="I39" s="96"/>
      <c r="J39" s="90"/>
    </row>
    <row r="40" spans="1:26" ht="15" customHeight="1" x14ac:dyDescent="0.45">
      <c r="B40" t="s">
        <v>59</v>
      </c>
      <c r="F40" s="96">
        <f>F26</f>
        <v>-3.375</v>
      </c>
      <c r="G40" s="85"/>
      <c r="H40" s="30"/>
      <c r="I40" s="30"/>
      <c r="J40" s="90"/>
    </row>
    <row r="41" spans="1:26" ht="15" customHeight="1" x14ac:dyDescent="0.45">
      <c r="B41" t="s">
        <v>223</v>
      </c>
      <c r="D41" s="30"/>
      <c r="E41" s="30"/>
      <c r="F41" s="30">
        <f>SUM(F39:F40,F37)</f>
        <v>82.958906204999991</v>
      </c>
      <c r="G41" s="85"/>
      <c r="H41" s="30"/>
      <c r="I41" s="96"/>
      <c r="J41" s="90"/>
    </row>
    <row r="42" spans="1:26" s="90" customFormat="1" ht="15" customHeight="1" x14ac:dyDescent="0.45">
      <c r="A42" s="14"/>
      <c r="D42" s="96"/>
      <c r="E42" s="96"/>
      <c r="F42" s="96"/>
      <c r="H42" s="96"/>
      <c r="I42"/>
    </row>
    <row r="43" spans="1:26" ht="15" customHeight="1" x14ac:dyDescent="0.45">
      <c r="B43" s="90" t="s">
        <v>257</v>
      </c>
      <c r="F43" s="96">
        <f>Model!I52*Predeal_Percent</f>
        <v>0</v>
      </c>
      <c r="G43" s="90"/>
      <c r="H43" s="96"/>
      <c r="I43" s="76"/>
      <c r="J43" s="90"/>
      <c r="K43" s="90"/>
      <c r="L43" s="90"/>
      <c r="M43" s="90"/>
    </row>
    <row r="44" spans="1:26" s="90" customFormat="1" ht="15" customHeight="1" x14ac:dyDescent="0.45">
      <c r="A44" s="14"/>
      <c r="B44" s="90" t="s">
        <v>125</v>
      </c>
      <c r="D44" s="96"/>
      <c r="E44" s="96"/>
      <c r="F44" s="96"/>
      <c r="G44" s="85"/>
      <c r="H44" s="30"/>
      <c r="I44"/>
      <c r="K44"/>
      <c r="L44"/>
      <c r="M44"/>
    </row>
    <row r="45" spans="1:26" s="90" customFormat="1" ht="15" customHeight="1" x14ac:dyDescent="0.45">
      <c r="A45" s="14"/>
      <c r="B45" s="90" t="s">
        <v>193</v>
      </c>
      <c r="D45" s="96"/>
      <c r="E45" s="96"/>
      <c r="F45" s="96"/>
      <c r="G45" s="85"/>
      <c r="H45" s="30"/>
      <c r="I45" s="96"/>
      <c r="K45"/>
      <c r="L45"/>
      <c r="M45"/>
    </row>
    <row r="46" spans="1:26" s="90" customFormat="1" ht="15" customHeight="1" x14ac:dyDescent="0.45">
      <c r="A46" s="14"/>
      <c r="B46" s="90" t="s">
        <v>194</v>
      </c>
      <c r="D46" s="96"/>
      <c r="E46" s="96"/>
      <c r="F46" s="96"/>
      <c r="G46" s="85"/>
      <c r="H46" s="30"/>
      <c r="I46" s="96"/>
      <c r="K46"/>
      <c r="L46"/>
      <c r="M46"/>
    </row>
    <row r="47" spans="1:26" s="90" customFormat="1" ht="15" customHeight="1" x14ac:dyDescent="0.45">
      <c r="A47" s="14"/>
      <c r="B47" s="90" t="s">
        <v>195</v>
      </c>
      <c r="D47" s="96"/>
      <c r="E47" s="96"/>
      <c r="F47" s="96"/>
      <c r="G47" s="85"/>
      <c r="H47" s="30"/>
      <c r="I47" s="96"/>
      <c r="K47"/>
      <c r="L47"/>
      <c r="M47"/>
    </row>
    <row r="48" spans="1:26" s="90" customFormat="1" ht="15" customHeight="1" x14ac:dyDescent="0.45">
      <c r="A48" s="14"/>
      <c r="B48" s="90" t="s">
        <v>241</v>
      </c>
      <c r="D48" s="96"/>
      <c r="E48" s="96"/>
      <c r="F48" s="96"/>
      <c r="G48" s="85"/>
      <c r="H48" s="30"/>
      <c r="I48" s="96"/>
      <c r="K48"/>
      <c r="L48"/>
      <c r="M48"/>
    </row>
    <row r="49" spans="1:29" s="90" customFormat="1" ht="15" customHeight="1" x14ac:dyDescent="0.45">
      <c r="A49" s="14"/>
      <c r="B49" s="90" t="s">
        <v>197</v>
      </c>
      <c r="D49" s="96"/>
      <c r="E49" s="96"/>
      <c r="F49" s="96"/>
      <c r="G49" s="85"/>
      <c r="H49" s="30"/>
      <c r="I49" s="96"/>
      <c r="K49"/>
      <c r="L49"/>
      <c r="M49"/>
    </row>
    <row r="50" spans="1:29" s="90" customFormat="1" ht="15" customHeight="1" x14ac:dyDescent="0.45">
      <c r="A50" s="14"/>
      <c r="B50" s="90" t="s">
        <v>198</v>
      </c>
      <c r="D50" s="96"/>
      <c r="E50" s="96"/>
      <c r="F50" s="96"/>
      <c r="G50" s="85"/>
      <c r="H50" s="30"/>
      <c r="I50" s="96"/>
      <c r="K50"/>
      <c r="L50"/>
      <c r="M50"/>
    </row>
    <row r="51" spans="1:29" s="90" customFormat="1" ht="15" customHeight="1" x14ac:dyDescent="0.45">
      <c r="A51" s="14"/>
      <c r="B51" s="90" t="s">
        <v>240</v>
      </c>
      <c r="D51" s="96"/>
      <c r="E51" s="96"/>
      <c r="F51" s="96"/>
      <c r="G51" s="85"/>
      <c r="H51" s="30"/>
      <c r="I51" s="96"/>
      <c r="K51"/>
      <c r="L51"/>
      <c r="M51"/>
    </row>
    <row r="52" spans="1:29" s="90" customFormat="1" ht="15" customHeight="1" x14ac:dyDescent="0.45">
      <c r="A52" s="14"/>
      <c r="B52" s="90" t="s">
        <v>148</v>
      </c>
      <c r="D52" s="96"/>
      <c r="E52" s="96"/>
      <c r="F52" s="96"/>
      <c r="G52" s="85"/>
      <c r="H52" s="30"/>
      <c r="K52"/>
      <c r="L52"/>
      <c r="M52"/>
    </row>
    <row r="53" spans="1:29" ht="15" customHeight="1" x14ac:dyDescent="0.45">
      <c r="B53" t="s">
        <v>224</v>
      </c>
      <c r="D53" s="30"/>
      <c r="E53" s="30"/>
      <c r="F53" s="96">
        <f>SUM(F43:F52,F41)</f>
        <v>82.958906204999991</v>
      </c>
      <c r="G53" s="85"/>
      <c r="H53" s="96"/>
      <c r="I53" s="96"/>
      <c r="J53" s="90"/>
      <c r="K53" s="96"/>
      <c r="L53" s="96"/>
      <c r="M53" s="96"/>
    </row>
    <row r="54" spans="1:29" ht="15" customHeight="1" x14ac:dyDescent="0.45">
      <c r="F54" s="30"/>
      <c r="G54" s="85"/>
      <c r="H54" s="30"/>
      <c r="J54" s="90"/>
    </row>
    <row r="55" spans="1:29" ht="15" customHeight="1" x14ac:dyDescent="0.45">
      <c r="B55" t="s">
        <v>60</v>
      </c>
      <c r="F55" s="96">
        <f>Model!I55*Predeal_Percent</f>
        <v>-17.421370303049997</v>
      </c>
      <c r="G55" s="85"/>
      <c r="H55" s="30"/>
      <c r="J55" s="90"/>
      <c r="AA55" s="30"/>
      <c r="AB55" s="30"/>
      <c r="AC55" s="30"/>
    </row>
    <row r="56" spans="1:29" ht="15" customHeight="1" x14ac:dyDescent="0.45">
      <c r="B56" t="s">
        <v>88</v>
      </c>
      <c r="D56" s="30"/>
      <c r="E56" s="30"/>
      <c r="F56" s="30">
        <f>SUM(F55,F53)</f>
        <v>65.537535901949994</v>
      </c>
      <c r="G56" s="85"/>
      <c r="H56" s="30"/>
      <c r="J56" s="90"/>
    </row>
    <row r="57" spans="1:29" ht="15" customHeight="1" x14ac:dyDescent="0.45">
      <c r="F57" s="30"/>
      <c r="G57" s="85"/>
      <c r="H57" s="30"/>
      <c r="J57" s="90"/>
    </row>
    <row r="58" spans="1:29" ht="15" customHeight="1" x14ac:dyDescent="0.45">
      <c r="B58" t="s">
        <v>61</v>
      </c>
      <c r="F58" s="96">
        <f>Model!I58*Predeal_Percent</f>
        <v>-6.2250000000000005</v>
      </c>
      <c r="G58" s="85"/>
      <c r="H58" s="30"/>
      <c r="I58" s="76"/>
      <c r="J58" s="90"/>
    </row>
    <row r="59" spans="1:29" ht="15" customHeight="1" x14ac:dyDescent="0.45">
      <c r="G59" s="85"/>
      <c r="H59" s="30"/>
      <c r="I59" s="96"/>
      <c r="J59" s="90"/>
    </row>
    <row r="60" spans="1:29" ht="15" customHeight="1" x14ac:dyDescent="0.45">
      <c r="A60" s="14" t="s">
        <v>56</v>
      </c>
      <c r="F60" s="102" t="s">
        <v>142</v>
      </c>
      <c r="G60" s="85"/>
      <c r="H60" s="30"/>
      <c r="I60" s="100"/>
      <c r="J60" s="90"/>
      <c r="N60" s="96"/>
      <c r="O60" s="96"/>
    </row>
    <row r="61" spans="1:29" ht="15" customHeight="1" x14ac:dyDescent="0.45">
      <c r="B61" t="s">
        <v>63</v>
      </c>
      <c r="E61">
        <f>Model!E61</f>
        <v>185.173</v>
      </c>
      <c r="F61">
        <f>F128</f>
        <v>269.70466338444999</v>
      </c>
      <c r="G61">
        <f>IF(F61&gt;=Input!C31,-Deal_Date!F61+Input!C31,0)</f>
        <v>-239.70466338444999</v>
      </c>
      <c r="H61">
        <f>SUM(F61:G61)</f>
        <v>30</v>
      </c>
      <c r="I61" s="96"/>
      <c r="J61" s="90"/>
      <c r="O61" s="90"/>
    </row>
    <row r="62" spans="1:29" ht="15" customHeight="1" x14ac:dyDescent="0.45">
      <c r="B62" t="s">
        <v>64</v>
      </c>
      <c r="E62" s="90">
        <f>Model!E62</f>
        <v>298.565</v>
      </c>
      <c r="F62" s="90">
        <f>Model!I62*Predeal_Percent+Model!E62*Postdeal_Percent</f>
        <v>308.91000892260274</v>
      </c>
      <c r="G62" s="85"/>
      <c r="H62" s="90">
        <f>SUM(F62:G62)</f>
        <v>308.91000892260274</v>
      </c>
      <c r="I62" s="90"/>
      <c r="J62" s="90"/>
      <c r="O62" s="90"/>
    </row>
    <row r="63" spans="1:29" ht="15" customHeight="1" x14ac:dyDescent="0.45">
      <c r="B63" t="s">
        <v>65</v>
      </c>
      <c r="E63" s="90">
        <f>Model!E63</f>
        <v>38.610999999999997</v>
      </c>
      <c r="F63" s="90">
        <f>Model!I63*Predeal_Percent+Model!E63*Postdeal_Percent</f>
        <v>40.666049432499996</v>
      </c>
      <c r="G63" s="85"/>
      <c r="H63" s="90">
        <f>SUM(F63:G63)</f>
        <v>40.666049432499996</v>
      </c>
      <c r="I63" s="90"/>
      <c r="J63" s="90"/>
      <c r="O63" s="90"/>
    </row>
    <row r="64" spans="1:29" ht="15" customHeight="1" x14ac:dyDescent="0.45">
      <c r="B64" t="s">
        <v>225</v>
      </c>
      <c r="E64" s="90">
        <f>SUM(E61:E63)</f>
        <v>522.34900000000005</v>
      </c>
      <c r="F64" s="90">
        <f>SUM(F61:F63)</f>
        <v>619.28072173955275</v>
      </c>
      <c r="G64" s="96"/>
      <c r="H64">
        <f>SUM(H61:H63)</f>
        <v>379.57605835510276</v>
      </c>
      <c r="I64" s="90"/>
      <c r="J64" s="90"/>
      <c r="O64" s="90"/>
    </row>
    <row r="65" spans="1:16" ht="15" customHeight="1" x14ac:dyDescent="0.45">
      <c r="E65" s="90"/>
      <c r="F65" s="90"/>
      <c r="G65" s="96"/>
      <c r="H65" s="90"/>
      <c r="I65" s="96"/>
      <c r="J65" s="90"/>
      <c r="O65" s="90"/>
    </row>
    <row r="66" spans="1:16" ht="15" customHeight="1" x14ac:dyDescent="0.45">
      <c r="B66" t="s">
        <v>66</v>
      </c>
      <c r="E66" s="90">
        <f>Model!E66</f>
        <v>591.16399999999999</v>
      </c>
      <c r="F66" s="90">
        <f>F22</f>
        <v>568.95135819124994</v>
      </c>
      <c r="G66" s="85"/>
      <c r="H66" s="90">
        <f>SUM(F66:G66)</f>
        <v>568.95135819124994</v>
      </c>
      <c r="I66" s="96"/>
      <c r="J66" s="90"/>
      <c r="O66" s="90"/>
    </row>
    <row r="67" spans="1:16" ht="15" customHeight="1" x14ac:dyDescent="0.45">
      <c r="B67" t="s">
        <v>67</v>
      </c>
      <c r="E67" s="90">
        <f>Model!E67</f>
        <v>181.78899999999999</v>
      </c>
      <c r="F67" s="90">
        <f>F27</f>
        <v>178.41399999999999</v>
      </c>
      <c r="H67" s="90">
        <f>SUM(F67:G67)</f>
        <v>178.41399999999999</v>
      </c>
      <c r="I67" s="96"/>
      <c r="J67" s="90"/>
      <c r="O67" s="90"/>
    </row>
    <row r="68" spans="1:16" s="90" customFormat="1" ht="15" customHeight="1" x14ac:dyDescent="0.45">
      <c r="A68" s="14"/>
      <c r="B68" s="90" t="s">
        <v>126</v>
      </c>
      <c r="G68">
        <f>Input!C15-Deal_Date!F88</f>
        <v>1009.9711274824999</v>
      </c>
      <c r="H68" s="90">
        <f>SUM(F68:G68)</f>
        <v>1009.9711274824999</v>
      </c>
      <c r="I68" s="96"/>
      <c r="K68"/>
      <c r="L68"/>
      <c r="M68"/>
    </row>
    <row r="69" spans="1:16" ht="15" customHeight="1" x14ac:dyDescent="0.45">
      <c r="B69" t="s">
        <v>68</v>
      </c>
      <c r="E69" s="90">
        <f>Model!E68</f>
        <v>70.338999999999999</v>
      </c>
      <c r="F69" s="90">
        <f>Model!I68*Predeal_Percent+Model!E68*Postdeal_Percent</f>
        <v>70.309749999999994</v>
      </c>
      <c r="G69" s="85"/>
      <c r="H69" s="90">
        <f>SUM(F69:G69)</f>
        <v>70.309749999999994</v>
      </c>
      <c r="I69" s="90"/>
      <c r="J69" s="90"/>
      <c r="O69" s="90"/>
    </row>
    <row r="70" spans="1:16" ht="15" customHeight="1" x14ac:dyDescent="0.45">
      <c r="B70" t="s">
        <v>226</v>
      </c>
      <c r="E70" s="90">
        <f>SUM(E66:E69,E64)</f>
        <v>1365.6410000000001</v>
      </c>
      <c r="F70" s="90">
        <f>SUM(F66:F69,F64)</f>
        <v>1436.9558299308028</v>
      </c>
      <c r="G70" s="85"/>
      <c r="H70" s="90">
        <f>SUM(H66:H69,H64)</f>
        <v>2207.2222940288525</v>
      </c>
      <c r="I70" s="90"/>
      <c r="J70" s="90"/>
      <c r="O70" s="90"/>
    </row>
    <row r="71" spans="1:16" ht="15" customHeight="1" x14ac:dyDescent="0.45">
      <c r="E71" s="90"/>
      <c r="F71" s="90"/>
      <c r="G71" s="85"/>
      <c r="I71" s="96"/>
      <c r="J71" s="90"/>
      <c r="O71" s="90"/>
    </row>
    <row r="72" spans="1:16" ht="15" customHeight="1" x14ac:dyDescent="0.45">
      <c r="B72" t="s">
        <v>115</v>
      </c>
      <c r="E72" s="90">
        <f>Model!E71</f>
        <v>0</v>
      </c>
      <c r="F72" s="90">
        <f>Model!I71*Predeal_Percent+Model!E71*Postdeal_Percent</f>
        <v>0</v>
      </c>
      <c r="G72" s="85">
        <f>-F72+Input!I5</f>
        <v>20</v>
      </c>
      <c r="H72" s="90">
        <f>SUM(F72:G72)</f>
        <v>20</v>
      </c>
      <c r="I72" s="96"/>
      <c r="J72" s="90"/>
      <c r="O72" s="90"/>
    </row>
    <row r="73" spans="1:16" ht="15" customHeight="1" x14ac:dyDescent="0.45">
      <c r="B73" t="s">
        <v>69</v>
      </c>
      <c r="E73" s="90">
        <f>Model!E72</f>
        <v>129.09899999999999</v>
      </c>
      <c r="F73" s="90">
        <f>Model!I72*Predeal_Percent+Model!E72*Postdeal_Percent</f>
        <v>133.62936849760274</v>
      </c>
      <c r="G73" s="85"/>
      <c r="H73" s="90">
        <f>SUM(F73:G73)</f>
        <v>133.62936849760274</v>
      </c>
      <c r="I73" s="90"/>
      <c r="J73" s="90"/>
      <c r="O73" s="90"/>
    </row>
    <row r="74" spans="1:16" ht="15" customHeight="1" x14ac:dyDescent="0.45">
      <c r="B74" t="s">
        <v>70</v>
      </c>
      <c r="E74" s="90">
        <f>Model!E73</f>
        <v>211.56100000000001</v>
      </c>
      <c r="F74" s="90">
        <f>Model!I73*Predeal_Percent+Model!E73*Postdeal_Percent</f>
        <v>219.03292553124999</v>
      </c>
      <c r="G74" s="85"/>
      <c r="H74" s="90">
        <f>SUM(F74:G74)</f>
        <v>219.03292553124999</v>
      </c>
      <c r="I74" s="90"/>
      <c r="J74" s="90"/>
      <c r="O74" s="90"/>
    </row>
    <row r="75" spans="1:16" ht="15" customHeight="1" x14ac:dyDescent="0.45">
      <c r="B75" t="s">
        <v>227</v>
      </c>
      <c r="E75" s="90">
        <f>SUM(E72:E74)</f>
        <v>340.65999999999997</v>
      </c>
      <c r="F75" s="90">
        <f>SUM(F72:F74)</f>
        <v>352.66229402885273</v>
      </c>
      <c r="G75" s="85"/>
      <c r="H75" s="90">
        <f>SUM(H72:H74)</f>
        <v>372.66229402885273</v>
      </c>
      <c r="I75" s="90"/>
      <c r="J75" s="90"/>
      <c r="O75" s="90"/>
    </row>
    <row r="76" spans="1:16" ht="15" customHeight="1" x14ac:dyDescent="0.45">
      <c r="E76" s="90"/>
      <c r="F76" s="90"/>
      <c r="G76" s="85"/>
      <c r="I76" s="96"/>
      <c r="J76" s="90"/>
      <c r="O76" s="90"/>
    </row>
    <row r="77" spans="1:16" ht="15" customHeight="1" x14ac:dyDescent="0.45">
      <c r="B77" t="s">
        <v>110</v>
      </c>
      <c r="E77">
        <f>Model!E76</f>
        <v>268.91899999999998</v>
      </c>
      <c r="F77" s="90">
        <f>Model!I76*Predeal_Percent+Model!E76*Postdeal_Percent</f>
        <v>268.91899999999998</v>
      </c>
      <c r="G77">
        <f>-F77</f>
        <v>-268.91899999999998</v>
      </c>
      <c r="H77" s="90">
        <f t="shared" ref="H77:H85" si="0">SUM(F77:G77)</f>
        <v>0</v>
      </c>
      <c r="I77" s="96"/>
      <c r="J77" s="90"/>
      <c r="K77" s="90"/>
      <c r="L77" s="90"/>
      <c r="M77" s="90"/>
      <c r="O77" s="90"/>
    </row>
    <row r="78" spans="1:16" s="90" customFormat="1" ht="15" customHeight="1" x14ac:dyDescent="0.45">
      <c r="A78" s="14"/>
      <c r="B78" s="90" t="s">
        <v>33</v>
      </c>
      <c r="E78" s="96"/>
      <c r="G78" s="30">
        <f>Input!I6</f>
        <v>0</v>
      </c>
      <c r="H78" s="90">
        <f t="shared" si="0"/>
        <v>0</v>
      </c>
      <c r="I78" s="96"/>
      <c r="K78"/>
      <c r="L78"/>
      <c r="M78"/>
      <c r="N78"/>
      <c r="O78" s="30"/>
      <c r="P78"/>
    </row>
    <row r="79" spans="1:16" s="90" customFormat="1" ht="15" customHeight="1" x14ac:dyDescent="0.45">
      <c r="A79" s="14"/>
      <c r="B79" s="90" t="s">
        <v>160</v>
      </c>
      <c r="E79" s="96"/>
      <c r="G79" s="96">
        <f>Input!I7</f>
        <v>0</v>
      </c>
      <c r="H79" s="90">
        <f t="shared" si="0"/>
        <v>0</v>
      </c>
      <c r="I79"/>
      <c r="K79"/>
      <c r="L79"/>
      <c r="M79"/>
      <c r="N79"/>
      <c r="O79"/>
      <c r="P79"/>
    </row>
    <row r="80" spans="1:16" s="90" customFormat="1" ht="15" customHeight="1" x14ac:dyDescent="0.45">
      <c r="A80" s="14"/>
      <c r="B80" s="90" t="s">
        <v>220</v>
      </c>
      <c r="E80" s="96"/>
      <c r="G80" s="96">
        <f>Input!I8</f>
        <v>800</v>
      </c>
      <c r="H80" s="90">
        <f t="shared" si="0"/>
        <v>800</v>
      </c>
      <c r="I80"/>
      <c r="K80"/>
      <c r="L80"/>
      <c r="M80"/>
      <c r="N80"/>
      <c r="O80"/>
      <c r="P80"/>
    </row>
    <row r="81" spans="1:17" s="90" customFormat="1" ht="15" customHeight="1" x14ac:dyDescent="0.45">
      <c r="A81" s="14"/>
      <c r="B81" s="90" t="s">
        <v>218</v>
      </c>
      <c r="E81" s="96"/>
      <c r="G81" s="96">
        <f>Input!I9</f>
        <v>300</v>
      </c>
      <c r="H81" s="90">
        <f t="shared" si="0"/>
        <v>300</v>
      </c>
      <c r="I81"/>
      <c r="K81"/>
      <c r="L81"/>
      <c r="M81"/>
      <c r="N81"/>
      <c r="O81"/>
      <c r="P81"/>
    </row>
    <row r="82" spans="1:17" s="90" customFormat="1" ht="15" customHeight="1" x14ac:dyDescent="0.45">
      <c r="A82" s="14"/>
      <c r="B82" s="90" t="s">
        <v>219</v>
      </c>
      <c r="E82" s="96"/>
      <c r="G82" s="96">
        <f>Input!I10</f>
        <v>100</v>
      </c>
      <c r="H82" s="90">
        <f t="shared" si="0"/>
        <v>100</v>
      </c>
      <c r="I82"/>
      <c r="K82"/>
      <c r="L82"/>
      <c r="M82"/>
      <c r="N82"/>
      <c r="O82"/>
      <c r="P82"/>
    </row>
    <row r="83" spans="1:17" s="90" customFormat="1" ht="15" customHeight="1" x14ac:dyDescent="0.45">
      <c r="A83" s="14"/>
      <c r="B83" s="90" t="s">
        <v>38</v>
      </c>
      <c r="E83" s="96"/>
      <c r="G83" s="96">
        <f>Input!I11</f>
        <v>100</v>
      </c>
      <c r="H83" s="90">
        <f t="shared" si="0"/>
        <v>100</v>
      </c>
      <c r="I83"/>
      <c r="K83"/>
      <c r="L83"/>
      <c r="M83"/>
      <c r="N83"/>
      <c r="O83"/>
      <c r="P83"/>
    </row>
    <row r="84" spans="1:17" s="90" customFormat="1" ht="15" customHeight="1" x14ac:dyDescent="0.45">
      <c r="A84" s="14"/>
      <c r="B84" s="90" t="s">
        <v>111</v>
      </c>
      <c r="E84" s="96"/>
      <c r="G84" s="30">
        <f>Input!C16*-1</f>
        <v>-12</v>
      </c>
      <c r="H84" s="90">
        <f t="shared" si="0"/>
        <v>-12</v>
      </c>
      <c r="I84"/>
      <c r="K84"/>
      <c r="L84"/>
      <c r="M84"/>
      <c r="N84"/>
      <c r="O84"/>
      <c r="P84"/>
    </row>
    <row r="85" spans="1:17" ht="15" customHeight="1" x14ac:dyDescent="0.45">
      <c r="B85" t="s">
        <v>71</v>
      </c>
      <c r="E85" s="90">
        <f>Model!E77</f>
        <v>104.6</v>
      </c>
      <c r="F85" s="90">
        <f>Model!I77*Predeal_Percent+Model!E77*Postdeal_Percent</f>
        <v>104.6</v>
      </c>
      <c r="G85" s="30">
        <f>Input!C13*-1</f>
        <v>-100</v>
      </c>
      <c r="H85" s="90">
        <f t="shared" si="0"/>
        <v>4.5999999999999943</v>
      </c>
      <c r="I85" s="90"/>
      <c r="J85" s="90"/>
      <c r="N85" s="90"/>
      <c r="O85" s="90"/>
    </row>
    <row r="86" spans="1:17" ht="15" customHeight="1" x14ac:dyDescent="0.45">
      <c r="B86" t="s">
        <v>228</v>
      </c>
      <c r="E86">
        <f>SUM(E77:E85,E75)</f>
        <v>714.17899999999997</v>
      </c>
      <c r="F86" s="90">
        <f>SUM(F77:F85,F75)</f>
        <v>726.18129402885279</v>
      </c>
      <c r="H86" s="90">
        <f>SUM(H77:H85,H75)</f>
        <v>1665.2622940288527</v>
      </c>
      <c r="I86" s="90"/>
      <c r="J86" s="90"/>
    </row>
    <row r="87" spans="1:17" ht="15" customHeight="1" x14ac:dyDescent="0.45">
      <c r="F87" s="90"/>
      <c r="J87" s="90"/>
    </row>
    <row r="88" spans="1:17" ht="15" customHeight="1" x14ac:dyDescent="0.45">
      <c r="B88" t="s">
        <v>46</v>
      </c>
      <c r="E88" s="90">
        <f>Model!E80</f>
        <v>651.46199999999999</v>
      </c>
      <c r="F88" s="90">
        <f>F33</f>
        <v>710.77453590195</v>
      </c>
      <c r="G88">
        <f>-F88+Input!I12-Input!C17</f>
        <v>-168.81453590194999</v>
      </c>
      <c r="H88" s="90">
        <f>SUM(F88:G88)</f>
        <v>541.96</v>
      </c>
      <c r="J88" s="90"/>
    </row>
    <row r="89" spans="1:17" ht="15" customHeight="1" x14ac:dyDescent="0.45">
      <c r="B89" t="s">
        <v>229</v>
      </c>
      <c r="E89">
        <f>SUM(E88,E86)</f>
        <v>1365.6410000000001</v>
      </c>
      <c r="F89" s="90">
        <f>SUM(F88,F86)</f>
        <v>1436.9558299308028</v>
      </c>
      <c r="H89" s="90">
        <f>SUM(H88,H86)</f>
        <v>2207.222294028853</v>
      </c>
      <c r="I89" s="90"/>
      <c r="J89" s="90"/>
    </row>
    <row r="90" spans="1:17" ht="15" customHeight="1" x14ac:dyDescent="0.45">
      <c r="J90" s="90"/>
    </row>
    <row r="91" spans="1:17" ht="15" customHeight="1" x14ac:dyDescent="0.45">
      <c r="B91" t="s">
        <v>72</v>
      </c>
      <c r="D91" s="71"/>
      <c r="E91" s="71" t="str">
        <f>IF(ROUND(E70,2)=ROUND(E89,2),"OK",E70-E89)</f>
        <v>OK</v>
      </c>
      <c r="F91" s="91" t="str">
        <f>IF(ROUND(F70,2)=ROUND(F89,2),"OK",F70-F89)</f>
        <v>OK</v>
      </c>
      <c r="G91" s="71"/>
      <c r="H91" s="71" t="str">
        <f>IF(ROUND(H70,2)=ROUND(H89,2),"OK",H70-H89)</f>
        <v>OK</v>
      </c>
      <c r="I91" s="71"/>
      <c r="J91" s="90"/>
    </row>
    <row r="92" spans="1:17" s="90" customFormat="1" ht="15" customHeight="1" x14ac:dyDescent="0.45">
      <c r="A92" s="14"/>
      <c r="D92" s="91"/>
      <c r="E92" s="91"/>
      <c r="F92" s="91"/>
      <c r="G92"/>
      <c r="H92"/>
      <c r="I92"/>
      <c r="K92"/>
      <c r="L92"/>
      <c r="M92"/>
      <c r="N92"/>
      <c r="O92"/>
      <c r="P92"/>
    </row>
    <row r="93" spans="1:17" ht="15" customHeight="1" x14ac:dyDescent="0.45">
      <c r="A93" s="14" t="s">
        <v>89</v>
      </c>
      <c r="F93" s="102"/>
      <c r="G93" s="90"/>
      <c r="H93" s="90"/>
      <c r="I93" s="78"/>
      <c r="J93" s="90"/>
      <c r="K93" s="90"/>
      <c r="L93" s="90"/>
      <c r="M93" s="90"/>
      <c r="N93" s="90"/>
    </row>
    <row r="94" spans="1:17" ht="15" customHeight="1" x14ac:dyDescent="0.45">
      <c r="B94" s="90" t="s">
        <v>146</v>
      </c>
      <c r="F94">
        <f>F37</f>
        <v>168.35791120499999</v>
      </c>
      <c r="G94" s="90"/>
      <c r="H94" s="90"/>
      <c r="I94" s="97"/>
      <c r="J94" s="90"/>
      <c r="M94" s="96"/>
      <c r="Q94" s="90"/>
    </row>
    <row r="95" spans="1:17" s="90" customFormat="1" ht="15" customHeight="1" x14ac:dyDescent="0.45">
      <c r="B95" s="90" t="s">
        <v>257</v>
      </c>
      <c r="F95" s="96">
        <f>F43</f>
        <v>0</v>
      </c>
      <c r="I95" s="96"/>
      <c r="M95" s="96"/>
    </row>
    <row r="96" spans="1:17" s="90" customFormat="1" ht="15" customHeight="1" x14ac:dyDescent="0.45">
      <c r="A96" s="14"/>
      <c r="B96" s="90" t="s">
        <v>193</v>
      </c>
      <c r="F96" s="96">
        <f>F45</f>
        <v>0</v>
      </c>
      <c r="I96" s="97"/>
      <c r="K96"/>
      <c r="L96"/>
      <c r="M96" s="96"/>
      <c r="N96"/>
      <c r="O96"/>
      <c r="P96"/>
    </row>
    <row r="97" spans="1:18" s="90" customFormat="1" ht="15" customHeight="1" x14ac:dyDescent="0.45">
      <c r="A97" s="14"/>
      <c r="B97" s="90" t="s">
        <v>194</v>
      </c>
      <c r="C97"/>
      <c r="D97"/>
      <c r="E97"/>
      <c r="F97" s="96">
        <f t="shared" ref="F97:F101" si="1">F46</f>
        <v>0</v>
      </c>
      <c r="I97" s="97"/>
      <c r="K97"/>
      <c r="L97"/>
      <c r="M97" s="96"/>
      <c r="N97"/>
      <c r="O97"/>
      <c r="P97"/>
    </row>
    <row r="98" spans="1:18" ht="15" customHeight="1" x14ac:dyDescent="0.45">
      <c r="B98" s="90" t="s">
        <v>195</v>
      </c>
      <c r="F98" s="96">
        <f t="shared" si="1"/>
        <v>0</v>
      </c>
      <c r="G98" s="90"/>
      <c r="H98" s="90"/>
      <c r="I98" s="97"/>
      <c r="J98" s="90"/>
      <c r="M98" s="96"/>
      <c r="Q98" s="90"/>
    </row>
    <row r="99" spans="1:18" ht="15" customHeight="1" x14ac:dyDescent="0.45">
      <c r="B99" s="90" t="s">
        <v>241</v>
      </c>
      <c r="F99" s="96">
        <f t="shared" si="1"/>
        <v>0</v>
      </c>
      <c r="G99" s="90"/>
      <c r="H99" s="90"/>
      <c r="I99" s="97"/>
      <c r="J99" s="90"/>
      <c r="M99" s="96"/>
      <c r="Q99" s="90"/>
      <c r="R99" s="90"/>
    </row>
    <row r="100" spans="1:18" ht="15" customHeight="1" x14ac:dyDescent="0.45">
      <c r="A100"/>
      <c r="B100" s="90" t="s">
        <v>197</v>
      </c>
      <c r="F100" s="96">
        <f t="shared" si="1"/>
        <v>0</v>
      </c>
      <c r="G100" s="90"/>
      <c r="H100" s="90"/>
      <c r="I100" s="97"/>
      <c r="J100" s="90"/>
      <c r="M100" s="96"/>
      <c r="Q100" s="90"/>
      <c r="R100" s="90"/>
    </row>
    <row r="101" spans="1:18" ht="15" customHeight="1" x14ac:dyDescent="0.45">
      <c r="A101"/>
      <c r="B101" s="90" t="s">
        <v>198</v>
      </c>
      <c r="F101" s="96">
        <f t="shared" si="1"/>
        <v>0</v>
      </c>
      <c r="G101" s="90"/>
      <c r="H101" s="90"/>
      <c r="I101" s="97"/>
      <c r="J101" s="90"/>
      <c r="M101" s="96"/>
      <c r="Q101" s="90"/>
    </row>
    <row r="102" spans="1:18" ht="15" customHeight="1" x14ac:dyDescent="0.45">
      <c r="B102" s="90" t="s">
        <v>148</v>
      </c>
      <c r="F102" s="96">
        <f>F52</f>
        <v>0</v>
      </c>
      <c r="G102" s="90"/>
      <c r="H102" s="90"/>
      <c r="I102" s="97"/>
      <c r="J102" s="90"/>
      <c r="M102" s="96"/>
      <c r="Q102" s="90"/>
    </row>
    <row r="103" spans="1:18" ht="15" customHeight="1" x14ac:dyDescent="0.45">
      <c r="B103" s="90" t="s">
        <v>60</v>
      </c>
      <c r="F103">
        <f>F55</f>
        <v>-17.421370303049997</v>
      </c>
      <c r="I103" s="97"/>
      <c r="J103" s="90"/>
      <c r="M103" s="96"/>
      <c r="Q103" s="90"/>
    </row>
    <row r="104" spans="1:18" ht="15" customHeight="1" x14ac:dyDescent="0.45">
      <c r="B104" t="s">
        <v>91</v>
      </c>
      <c r="F104">
        <f>E69-F69</f>
        <v>2.9250000000004661E-2</v>
      </c>
      <c r="I104" s="96"/>
      <c r="J104" s="90"/>
      <c r="M104" s="96"/>
      <c r="Q104" s="90"/>
    </row>
    <row r="105" spans="1:18" ht="15" customHeight="1" x14ac:dyDescent="0.45">
      <c r="B105" t="s">
        <v>97</v>
      </c>
      <c r="F105">
        <f>F85-E85</f>
        <v>0</v>
      </c>
      <c r="I105" s="96"/>
      <c r="J105" s="90"/>
      <c r="M105" s="96"/>
      <c r="Q105" s="90"/>
    </row>
    <row r="106" spans="1:18" ht="15" customHeight="1" x14ac:dyDescent="0.45">
      <c r="A106"/>
      <c r="B106" t="s">
        <v>103</v>
      </c>
      <c r="F106">
        <f>E62-F62</f>
        <v>-10.345008922602744</v>
      </c>
      <c r="I106" s="96"/>
      <c r="J106" s="90"/>
      <c r="M106" s="96"/>
      <c r="Q106" s="90"/>
    </row>
    <row r="107" spans="1:18" ht="15" customHeight="1" x14ac:dyDescent="0.45">
      <c r="A107"/>
      <c r="B107" t="s">
        <v>104</v>
      </c>
      <c r="F107">
        <f>E63-F63</f>
        <v>-2.0550494324999988</v>
      </c>
      <c r="I107" s="96"/>
      <c r="J107" s="90"/>
      <c r="M107" s="96"/>
      <c r="Q107" s="90"/>
    </row>
    <row r="108" spans="1:18" ht="15" customHeight="1" x14ac:dyDescent="0.45">
      <c r="A108"/>
      <c r="B108" t="s">
        <v>105</v>
      </c>
      <c r="F108">
        <f>F73-E73</f>
        <v>4.5303684976027512</v>
      </c>
      <c r="I108" s="96"/>
      <c r="J108" s="90"/>
      <c r="M108" s="96"/>
      <c r="Q108" s="90"/>
    </row>
    <row r="109" spans="1:18" ht="15" customHeight="1" x14ac:dyDescent="0.45">
      <c r="A109"/>
      <c r="B109" t="s">
        <v>106</v>
      </c>
      <c r="F109">
        <f>F74-E74</f>
        <v>7.4719255312499797</v>
      </c>
      <c r="I109" s="96"/>
      <c r="J109" s="90"/>
      <c r="M109" s="96"/>
      <c r="Q109" s="90"/>
    </row>
    <row r="110" spans="1:18" ht="15" customHeight="1" x14ac:dyDescent="0.45">
      <c r="A110"/>
      <c r="B110" t="s">
        <v>230</v>
      </c>
      <c r="F110" s="96">
        <f>SUM(F94:F109)</f>
        <v>150.5680265757</v>
      </c>
      <c r="I110" s="96"/>
      <c r="J110" s="90"/>
      <c r="M110" s="96"/>
      <c r="Q110" s="90"/>
    </row>
    <row r="111" spans="1:18" ht="15" customHeight="1" x14ac:dyDescent="0.45">
      <c r="A111"/>
      <c r="J111" s="90"/>
      <c r="M111" s="96"/>
      <c r="Q111" s="90"/>
    </row>
    <row r="112" spans="1:18" ht="15" customHeight="1" x14ac:dyDescent="0.45">
      <c r="A112"/>
      <c r="B112" t="s">
        <v>90</v>
      </c>
      <c r="F112">
        <f>F20*-1</f>
        <v>-59.811363191249995</v>
      </c>
      <c r="J112" s="90"/>
      <c r="M112" s="96"/>
      <c r="Q112" s="90"/>
    </row>
    <row r="113" spans="1:17" ht="15" customHeight="1" x14ac:dyDescent="0.45">
      <c r="A113"/>
      <c r="B113" t="s">
        <v>231</v>
      </c>
      <c r="F113">
        <f>SUM(F112)</f>
        <v>-59.811363191249995</v>
      </c>
      <c r="J113" s="90"/>
      <c r="M113" s="96"/>
      <c r="Q113" s="90"/>
    </row>
    <row r="114" spans="1:17" ht="15" customHeight="1" x14ac:dyDescent="0.45">
      <c r="A114"/>
      <c r="J114" s="90"/>
      <c r="M114" s="96"/>
      <c r="Q114" s="90"/>
    </row>
    <row r="115" spans="1:17" ht="15" customHeight="1" x14ac:dyDescent="0.45">
      <c r="A115"/>
      <c r="B115" t="s">
        <v>92</v>
      </c>
      <c r="F115">
        <f>F72-E72</f>
        <v>0</v>
      </c>
      <c r="J115" s="90"/>
      <c r="Q115" s="90"/>
    </row>
    <row r="116" spans="1:17" ht="15" customHeight="1" x14ac:dyDescent="0.45">
      <c r="A116"/>
      <c r="B116" t="s">
        <v>166</v>
      </c>
      <c r="F116">
        <f>F77-E77</f>
        <v>0</v>
      </c>
      <c r="G116" s="90"/>
      <c r="H116" s="90"/>
      <c r="J116" s="90"/>
      <c r="Q116" s="90"/>
    </row>
    <row r="117" spans="1:17" ht="15" customHeight="1" x14ac:dyDescent="0.45">
      <c r="A117" s="90"/>
      <c r="B117" s="90" t="s">
        <v>242</v>
      </c>
      <c r="C117" s="90"/>
      <c r="D117" s="90"/>
      <c r="E117" s="90"/>
      <c r="F117" s="96"/>
      <c r="G117" s="90"/>
      <c r="H117" s="90"/>
      <c r="I117" s="90"/>
      <c r="J117" s="90"/>
      <c r="Q117" s="90"/>
    </row>
    <row r="118" spans="1:17" ht="15" customHeight="1" x14ac:dyDescent="0.45">
      <c r="A118" s="90"/>
      <c r="B118" s="90" t="s">
        <v>167</v>
      </c>
      <c r="C118" s="90"/>
      <c r="D118" s="90"/>
      <c r="E118" s="90"/>
      <c r="F118" s="96"/>
      <c r="G118" s="90"/>
      <c r="H118" s="90"/>
      <c r="I118" s="90"/>
      <c r="J118" s="90"/>
      <c r="Q118" s="90"/>
    </row>
    <row r="119" spans="1:17" ht="15" customHeight="1" x14ac:dyDescent="0.45">
      <c r="A119" s="90"/>
      <c r="B119" s="90" t="s">
        <v>246</v>
      </c>
      <c r="C119" s="90"/>
      <c r="D119" s="90"/>
      <c r="E119" s="90"/>
      <c r="F119" s="96"/>
      <c r="G119" s="90"/>
      <c r="H119" s="90"/>
      <c r="I119" s="90"/>
      <c r="J119" s="90"/>
      <c r="Q119" s="90"/>
    </row>
    <row r="120" spans="1:17" ht="15" customHeight="1" x14ac:dyDescent="0.45">
      <c r="A120" s="90"/>
      <c r="B120" s="90" t="s">
        <v>243</v>
      </c>
      <c r="C120" s="90"/>
      <c r="D120" s="90"/>
      <c r="E120" s="90"/>
      <c r="F120" s="96"/>
      <c r="G120" s="90"/>
      <c r="H120" s="90"/>
      <c r="I120" s="90"/>
      <c r="J120" s="90"/>
      <c r="Q120" s="90"/>
    </row>
    <row r="121" spans="1:17" ht="15" customHeight="1" x14ac:dyDescent="0.45">
      <c r="A121" s="90"/>
      <c r="B121" s="90" t="s">
        <v>244</v>
      </c>
      <c r="C121" s="90"/>
      <c r="D121" s="90"/>
      <c r="E121" s="90"/>
      <c r="F121" s="96"/>
      <c r="G121" s="90"/>
      <c r="H121" s="90"/>
      <c r="I121" s="90"/>
      <c r="J121" s="90"/>
      <c r="Q121" s="90"/>
    </row>
    <row r="122" spans="1:17" ht="15" customHeight="1" x14ac:dyDescent="0.45">
      <c r="A122" s="90"/>
      <c r="B122" s="90" t="s">
        <v>245</v>
      </c>
      <c r="C122" s="90"/>
      <c r="D122" s="90"/>
      <c r="E122" s="90"/>
      <c r="F122" s="96"/>
      <c r="I122" s="90"/>
      <c r="J122" s="90"/>
      <c r="Q122" s="90"/>
    </row>
    <row r="123" spans="1:17" ht="15" customHeight="1" x14ac:dyDescent="0.45">
      <c r="A123"/>
      <c r="B123" t="s">
        <v>94</v>
      </c>
      <c r="F123">
        <f>F58</f>
        <v>-6.2250000000000005</v>
      </c>
      <c r="J123" s="90"/>
      <c r="Q123" s="90"/>
    </row>
    <row r="124" spans="1:17" ht="15" customHeight="1" x14ac:dyDescent="0.45">
      <c r="A124"/>
      <c r="B124" t="s">
        <v>232</v>
      </c>
      <c r="F124">
        <f>SUM(F115:F123)</f>
        <v>-6.2250000000000005</v>
      </c>
      <c r="J124" s="90"/>
      <c r="Q124" s="90"/>
    </row>
    <row r="125" spans="1:17" ht="15" customHeight="1" x14ac:dyDescent="0.45">
      <c r="A125"/>
      <c r="J125" s="90"/>
      <c r="Q125" s="90"/>
    </row>
    <row r="126" spans="1:17" ht="15" customHeight="1" x14ac:dyDescent="0.45">
      <c r="B126" t="s">
        <v>95</v>
      </c>
      <c r="F126">
        <f>E128</f>
        <v>185.173</v>
      </c>
      <c r="J126" s="90"/>
      <c r="Q126" s="90"/>
    </row>
    <row r="127" spans="1:17" ht="15" customHeight="1" x14ac:dyDescent="0.45">
      <c r="B127" t="s">
        <v>96</v>
      </c>
      <c r="F127">
        <f>SUM(F110,F113,F124)</f>
        <v>84.531663384450013</v>
      </c>
      <c r="J127" s="90"/>
      <c r="Q127" s="90"/>
    </row>
    <row r="128" spans="1:17" ht="15" customHeight="1" x14ac:dyDescent="0.45">
      <c r="B128" t="s">
        <v>186</v>
      </c>
      <c r="E128">
        <f>E61</f>
        <v>185.173</v>
      </c>
      <c r="F128">
        <f>SUM(F126:F127)</f>
        <v>269.70466338444999</v>
      </c>
      <c r="J128" s="90"/>
      <c r="Q128" s="90"/>
    </row>
    <row r="130" spans="1:6" ht="15" customHeight="1" x14ac:dyDescent="0.45">
      <c r="A130" s="14" t="s">
        <v>165</v>
      </c>
      <c r="D130" s="96"/>
      <c r="E130" s="96"/>
      <c r="F130" s="96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19CEA-1D9B-429F-B7C1-D2A48F5A9B6C}">
  <sheetPr>
    <tabColor rgb="FFFFC000"/>
  </sheetPr>
  <dimension ref="A1:AH125"/>
  <sheetViews>
    <sheetView zoomScaleNormal="100" workbookViewId="0">
      <pane xSplit="2" ySplit="4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customWidth="1"/>
    <col min="3" max="5" width="10.6640625" customWidth="1"/>
    <col min="6" max="8" width="18.86328125" customWidth="1"/>
    <col min="9" max="9" width="12" bestFit="1" customWidth="1"/>
    <col min="10" max="28" width="10.6640625" customWidth="1"/>
  </cols>
  <sheetData>
    <row r="1" spans="1:31" s="49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31" s="35" customFormat="1" ht="30" customHeight="1" x14ac:dyDescent="0.65">
      <c r="A2" s="13" t="s">
        <v>62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4">
        <f>Input!C5</f>
        <v>43373</v>
      </c>
      <c r="G2" s="81" t="s">
        <v>108</v>
      </c>
      <c r="H2" s="81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31" s="35" customFormat="1" ht="15" customHeight="1" x14ac:dyDescent="0.65">
      <c r="A3" s="13"/>
      <c r="B3" s="80" t="s">
        <v>54</v>
      </c>
      <c r="C3" s="74" t="s">
        <v>123</v>
      </c>
      <c r="D3" s="74" t="s">
        <v>123</v>
      </c>
      <c r="E3" s="74" t="s">
        <v>123</v>
      </c>
      <c r="F3" s="74" t="str">
        <f>DATEDIF(E2,F2,"m")+1&amp;" mths to deal date"</f>
        <v>9 mths to deal date</v>
      </c>
      <c r="G3" s="81" t="s">
        <v>130</v>
      </c>
      <c r="H3" s="81" t="s">
        <v>130</v>
      </c>
      <c r="I3" s="82" t="str">
        <f>DATEDIF(F2,I2,"m")&amp;" mths post deal"</f>
        <v>3 mths post deal</v>
      </c>
      <c r="J3" s="74" t="s">
        <v>123</v>
      </c>
      <c r="K3" s="74" t="s">
        <v>123</v>
      </c>
      <c r="L3" s="74" t="s">
        <v>123</v>
      </c>
      <c r="M3" s="74" t="s">
        <v>123</v>
      </c>
      <c r="N3" s="74" t="s">
        <v>123</v>
      </c>
      <c r="O3" s="74" t="s">
        <v>123</v>
      </c>
      <c r="P3" s="74" t="s">
        <v>123</v>
      </c>
      <c r="Q3" s="74" t="s">
        <v>123</v>
      </c>
      <c r="R3" s="74" t="s">
        <v>123</v>
      </c>
      <c r="S3" s="74" t="s">
        <v>123</v>
      </c>
      <c r="T3" s="74" t="s">
        <v>123</v>
      </c>
    </row>
    <row r="4" spans="1:31" s="35" customFormat="1" ht="15" customHeight="1" x14ac:dyDescent="0.65">
      <c r="A4" s="13"/>
      <c r="B4" s="80" t="s">
        <v>56</v>
      </c>
      <c r="C4" s="74" t="s">
        <v>127</v>
      </c>
      <c r="D4" s="74" t="s">
        <v>127</v>
      </c>
      <c r="E4" s="74" t="s">
        <v>127</v>
      </c>
      <c r="F4" s="81" t="s">
        <v>128</v>
      </c>
      <c r="G4" s="81" t="s">
        <v>129</v>
      </c>
      <c r="H4" s="81" t="s">
        <v>131</v>
      </c>
      <c r="I4" s="82" t="s">
        <v>127</v>
      </c>
      <c r="J4" s="74" t="s">
        <v>127</v>
      </c>
      <c r="K4" s="74" t="s">
        <v>127</v>
      </c>
      <c r="L4" s="74" t="s">
        <v>127</v>
      </c>
      <c r="M4" s="74" t="s">
        <v>127</v>
      </c>
      <c r="N4" s="74" t="s">
        <v>127</v>
      </c>
      <c r="O4" s="74" t="s">
        <v>127</v>
      </c>
      <c r="P4" s="74" t="s">
        <v>127</v>
      </c>
      <c r="Q4" s="74" t="s">
        <v>127</v>
      </c>
      <c r="R4" s="74" t="s">
        <v>127</v>
      </c>
      <c r="S4" s="74" t="s">
        <v>127</v>
      </c>
      <c r="T4" s="74" t="s">
        <v>127</v>
      </c>
    </row>
    <row r="5" spans="1:31" ht="15" customHeight="1" x14ac:dyDescent="0.45">
      <c r="F5" s="96"/>
    </row>
    <row r="6" spans="1:31" s="96" customFormat="1" ht="15" customHeight="1" x14ac:dyDescent="0.45">
      <c r="A6" s="98" t="s">
        <v>55</v>
      </c>
    </row>
    <row r="7" spans="1:31" s="96" customFormat="1" ht="15" customHeight="1" x14ac:dyDescent="0.45">
      <c r="A7" s="98"/>
      <c r="B7" s="96" t="s">
        <v>256</v>
      </c>
      <c r="J7" s="77">
        <v>5.0000000000000001E-3</v>
      </c>
      <c r="K7" s="77">
        <v>0.01</v>
      </c>
      <c r="L7" s="77">
        <v>0.01</v>
      </c>
      <c r="M7" s="77">
        <v>0.01</v>
      </c>
      <c r="N7" s="77">
        <v>0.01</v>
      </c>
      <c r="O7" s="77">
        <v>0.01</v>
      </c>
      <c r="P7" s="77">
        <v>0.01</v>
      </c>
      <c r="Q7" s="77">
        <v>0.01</v>
      </c>
      <c r="R7" s="77">
        <v>0.01</v>
      </c>
      <c r="S7" s="77">
        <v>0.01</v>
      </c>
      <c r="T7" s="77">
        <v>0.01</v>
      </c>
    </row>
    <row r="8" spans="1:31" s="96" customFormat="1" ht="15" customHeight="1" x14ac:dyDescent="0.45">
      <c r="A8" s="98"/>
      <c r="B8" s="96" t="s">
        <v>77</v>
      </c>
      <c r="C8" s="72">
        <f>-C49/C47</f>
        <v>0.37797239771155877</v>
      </c>
      <c r="D8" s="72">
        <f>-D49/D47</f>
        <v>0.26493070831500221</v>
      </c>
      <c r="E8" s="72">
        <f>-E49/E47</f>
        <v>-0.14382014540834334</v>
      </c>
      <c r="J8" s="72">
        <f>Model!J9</f>
        <v>0.21</v>
      </c>
      <c r="K8" s="72">
        <f>Model!K9</f>
        <v>0.21</v>
      </c>
      <c r="L8" s="72">
        <f>Model!L9</f>
        <v>0.21</v>
      </c>
      <c r="M8" s="72">
        <f>Model!M9</f>
        <v>0.21</v>
      </c>
      <c r="N8" s="72">
        <f>Model!N9</f>
        <v>0.21</v>
      </c>
      <c r="O8" s="72">
        <f>Model!O9</f>
        <v>0.21</v>
      </c>
      <c r="P8" s="72">
        <f>Model!P9</f>
        <v>0.21</v>
      </c>
      <c r="Q8" s="72">
        <f>Model!Q9</f>
        <v>0.21</v>
      </c>
      <c r="R8" s="72">
        <f>Model!R9</f>
        <v>0.21</v>
      </c>
      <c r="S8" s="72">
        <f>Model!S9</f>
        <v>0.21</v>
      </c>
      <c r="T8" s="72">
        <f>Model!T9</f>
        <v>0.21</v>
      </c>
    </row>
    <row r="9" spans="1:31" s="96" customFormat="1" ht="15" customHeight="1" x14ac:dyDescent="0.45">
      <c r="A9" s="98"/>
      <c r="B9" s="96" t="s">
        <v>113</v>
      </c>
      <c r="D9" s="96">
        <f>D79-C79</f>
        <v>2.1119999999999663</v>
      </c>
      <c r="E9" s="96">
        <f>E79-D79</f>
        <v>-39.496999999999986</v>
      </c>
      <c r="J9" s="90">
        <f>Model!J18</f>
        <v>0</v>
      </c>
      <c r="K9" s="90">
        <f>Model!K18</f>
        <v>0</v>
      </c>
      <c r="L9" s="90">
        <f>Model!L18</f>
        <v>0</v>
      </c>
      <c r="M9" s="90">
        <f>Model!M18</f>
        <v>0</v>
      </c>
      <c r="N9" s="90">
        <f>Model!N18</f>
        <v>0</v>
      </c>
      <c r="O9" s="90">
        <f>Model!O18</f>
        <v>0</v>
      </c>
      <c r="P9" s="90">
        <f>Model!P18</f>
        <v>0</v>
      </c>
      <c r="Q9" s="90">
        <f>Model!Q18</f>
        <v>0</v>
      </c>
      <c r="R9" s="90">
        <f>Model!R18</f>
        <v>0</v>
      </c>
      <c r="S9" s="90">
        <f>Model!S18</f>
        <v>0</v>
      </c>
      <c r="T9" s="90">
        <f>Model!T18</f>
        <v>0</v>
      </c>
    </row>
    <row r="10" spans="1:31" ht="15" customHeight="1" x14ac:dyDescent="0.45"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</row>
    <row r="11" spans="1:31" ht="15" customHeight="1" x14ac:dyDescent="0.45">
      <c r="A11" s="14" t="s">
        <v>81</v>
      </c>
    </row>
    <row r="12" spans="1:31" ht="15" customHeight="1" x14ac:dyDescent="0.45">
      <c r="B12" t="s">
        <v>66</v>
      </c>
    </row>
    <row r="13" spans="1:31" ht="15" customHeight="1" x14ac:dyDescent="0.45">
      <c r="B13" t="s">
        <v>82</v>
      </c>
      <c r="I13">
        <f>Deal_Date!I19</f>
        <v>0</v>
      </c>
      <c r="J13" s="90"/>
      <c r="X13" s="30"/>
      <c r="Y13" s="30"/>
      <c r="Z13" s="30"/>
      <c r="AA13" s="30"/>
      <c r="AB13" s="30"/>
      <c r="AC13" s="30"/>
      <c r="AD13" s="30"/>
      <c r="AE13" s="30"/>
    </row>
    <row r="14" spans="1:31" ht="15" customHeight="1" x14ac:dyDescent="0.45">
      <c r="B14" t="s">
        <v>83</v>
      </c>
      <c r="C14" s="30"/>
      <c r="D14" s="30"/>
      <c r="E14" s="30"/>
      <c r="F14" s="85"/>
      <c r="G14" s="85"/>
      <c r="H14" s="85"/>
      <c r="I14" s="90">
        <f>Deal_Date!I20</f>
        <v>0</v>
      </c>
      <c r="K14" s="90"/>
      <c r="L14" s="90"/>
      <c r="M14" s="90"/>
      <c r="N14" s="90"/>
      <c r="O14" s="90"/>
      <c r="P14" s="90"/>
      <c r="Q14" s="90"/>
      <c r="R14" s="90"/>
      <c r="S14" s="90"/>
      <c r="T14" s="90"/>
      <c r="X14" s="30"/>
      <c r="Y14" s="30"/>
      <c r="Z14" s="30"/>
      <c r="AA14" s="30"/>
      <c r="AB14" s="30"/>
      <c r="AC14" s="30"/>
      <c r="AD14" s="30"/>
      <c r="AE14" s="30"/>
    </row>
    <row r="15" spans="1:31" ht="15" customHeight="1" x14ac:dyDescent="0.45">
      <c r="B15" t="s">
        <v>58</v>
      </c>
      <c r="I15" s="90">
        <f>Deal_Date!I21</f>
        <v>0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X15" s="30"/>
      <c r="Y15" s="30"/>
      <c r="Z15" s="30"/>
      <c r="AA15" s="30"/>
      <c r="AB15" s="30"/>
      <c r="AC15" s="30"/>
      <c r="AD15" s="30"/>
      <c r="AE15" s="30"/>
    </row>
    <row r="16" spans="1:31" ht="15" customHeight="1" x14ac:dyDescent="0.45">
      <c r="B16" t="s">
        <v>84</v>
      </c>
      <c r="I16" s="90">
        <f>SUM(I13:I15)</f>
        <v>0</v>
      </c>
      <c r="X16" s="30"/>
      <c r="Y16" s="30"/>
      <c r="Z16" s="30"/>
      <c r="AA16" s="30"/>
      <c r="AB16" s="30"/>
      <c r="AC16" s="30"/>
      <c r="AD16" s="30"/>
      <c r="AE16" s="30"/>
    </row>
    <row r="17" spans="1:31" ht="15" customHeight="1" x14ac:dyDescent="0.45">
      <c r="I17" s="90"/>
      <c r="X17" s="30"/>
      <c r="Y17" s="30"/>
      <c r="Z17" s="30"/>
      <c r="AA17" s="30"/>
      <c r="AB17" s="30"/>
      <c r="AC17" s="30"/>
      <c r="AD17" s="30"/>
      <c r="AE17" s="30"/>
    </row>
    <row r="18" spans="1:31" ht="15" customHeight="1" x14ac:dyDescent="0.45">
      <c r="B18" t="s">
        <v>67</v>
      </c>
      <c r="I18" s="90"/>
      <c r="X18" s="30"/>
      <c r="Y18" s="30"/>
      <c r="Z18" s="30"/>
      <c r="AA18" s="30"/>
      <c r="AB18" s="30"/>
      <c r="AC18" s="30"/>
      <c r="AD18" s="30"/>
      <c r="AE18" s="30"/>
    </row>
    <row r="19" spans="1:31" ht="15" customHeight="1" x14ac:dyDescent="0.45">
      <c r="B19" t="s">
        <v>82</v>
      </c>
      <c r="I19" s="90">
        <f>Deal_Date!I25</f>
        <v>0</v>
      </c>
      <c r="J19" s="90"/>
      <c r="X19" s="30"/>
      <c r="Y19" s="30"/>
      <c r="Z19" s="30"/>
      <c r="AA19" s="30"/>
      <c r="AB19" s="30"/>
      <c r="AC19" s="30"/>
      <c r="AD19" s="30"/>
      <c r="AE19" s="30"/>
    </row>
    <row r="20" spans="1:31" ht="15" customHeight="1" x14ac:dyDescent="0.45">
      <c r="B20" t="s">
        <v>59</v>
      </c>
      <c r="I20" s="90">
        <f>Deal_Date!I26</f>
        <v>0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1:31" ht="15" customHeight="1" x14ac:dyDescent="0.45">
      <c r="B21" t="s">
        <v>84</v>
      </c>
      <c r="I21" s="90">
        <f>SUM(I19:I20)</f>
        <v>0</v>
      </c>
    </row>
    <row r="22" spans="1:31" ht="15" customHeight="1" x14ac:dyDescent="0.45">
      <c r="I22" s="90"/>
    </row>
    <row r="23" spans="1:31" ht="15" customHeight="1" x14ac:dyDescent="0.45">
      <c r="B23" t="s">
        <v>46</v>
      </c>
      <c r="I23" s="90"/>
    </row>
    <row r="24" spans="1:31" ht="15" customHeight="1" x14ac:dyDescent="0.45">
      <c r="B24" t="s">
        <v>82</v>
      </c>
      <c r="I24" s="90">
        <f>Deal_Date!I30</f>
        <v>0</v>
      </c>
      <c r="J24" s="96"/>
    </row>
    <row r="25" spans="1:31" ht="15" customHeight="1" x14ac:dyDescent="0.45">
      <c r="B25" t="s">
        <v>88</v>
      </c>
      <c r="I25" s="90">
        <f>Deal_Date!I31</f>
        <v>0</v>
      </c>
    </row>
    <row r="26" spans="1:31" ht="15" customHeight="1" x14ac:dyDescent="0.45">
      <c r="B26" t="s">
        <v>61</v>
      </c>
      <c r="I26" s="90">
        <f>Deal_Date!I32</f>
        <v>0</v>
      </c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31" ht="15" customHeight="1" x14ac:dyDescent="0.45">
      <c r="B27" t="s">
        <v>84</v>
      </c>
      <c r="I27" s="90">
        <f>SUM(I24:I26)</f>
        <v>0</v>
      </c>
    </row>
    <row r="28" spans="1:31" ht="15" customHeight="1" x14ac:dyDescent="0.45">
      <c r="I28" s="90"/>
    </row>
    <row r="29" spans="1:31" ht="15" customHeight="1" x14ac:dyDescent="0.45">
      <c r="A29" s="14" t="s">
        <v>54</v>
      </c>
      <c r="F29" s="30"/>
      <c r="G29" s="85"/>
      <c r="H29" s="85"/>
      <c r="I29" s="90"/>
    </row>
    <row r="30" spans="1:31" ht="15" customHeight="1" x14ac:dyDescent="0.45">
      <c r="B30" t="s">
        <v>57</v>
      </c>
      <c r="C30" s="30">
        <f>Model!C45</f>
        <v>2666.9050000000002</v>
      </c>
      <c r="D30" s="30">
        <f>Model!D45</f>
        <v>2700.2190000000001</v>
      </c>
      <c r="E30" s="30">
        <f>Model!E45</f>
        <v>2826.4569999999999</v>
      </c>
      <c r="F30" s="30">
        <f>Deal_Date!F36</f>
        <v>2215.2356737499999</v>
      </c>
      <c r="G30" s="85"/>
      <c r="H30" s="85"/>
      <c r="I30" s="90">
        <f>Deal_Date!I36</f>
        <v>0</v>
      </c>
      <c r="K30" s="90"/>
      <c r="L30" s="90"/>
      <c r="M30" s="90"/>
      <c r="N30" s="90"/>
      <c r="O30" s="90"/>
      <c r="P30" s="90"/>
      <c r="Q30" s="90"/>
      <c r="R30" s="90"/>
      <c r="S30" s="90"/>
      <c r="T30" s="90"/>
    </row>
    <row r="31" spans="1:31" ht="15" customHeight="1" x14ac:dyDescent="0.45">
      <c r="B31" t="s">
        <v>146</v>
      </c>
      <c r="C31">
        <f>C35-C34-C33</f>
        <v>166.804</v>
      </c>
      <c r="D31">
        <f>D35-D34-D33</f>
        <v>139.42099999999999</v>
      </c>
      <c r="E31">
        <f>E35-E34-E33</f>
        <v>159.73599999999999</v>
      </c>
      <c r="F31" s="30">
        <f>Deal_Date!F37</f>
        <v>168.35791120499999</v>
      </c>
      <c r="G31" s="85"/>
      <c r="H31" s="85"/>
      <c r="I31" s="90">
        <f>Deal_Date!I37</f>
        <v>0</v>
      </c>
      <c r="K31" s="90"/>
      <c r="L31" s="90"/>
      <c r="M31" s="90"/>
      <c r="N31" s="90"/>
      <c r="O31" s="90"/>
      <c r="P31" s="90"/>
      <c r="Q31" s="90"/>
      <c r="R31" s="90"/>
      <c r="S31" s="90"/>
      <c r="T31" s="90"/>
    </row>
    <row r="32" spans="1:31" ht="15" customHeight="1" x14ac:dyDescent="0.45">
      <c r="F32" s="30"/>
      <c r="G32" s="85"/>
      <c r="H32" s="85"/>
      <c r="I32" s="90"/>
    </row>
    <row r="33" spans="1:20" ht="15" customHeight="1" x14ac:dyDescent="0.45">
      <c r="B33" t="s">
        <v>58</v>
      </c>
      <c r="C33" s="30">
        <f>Model!C48</f>
        <v>-89.042000000000002</v>
      </c>
      <c r="D33" s="30">
        <f>Model!D48</f>
        <v>-98.813000000000002</v>
      </c>
      <c r="E33" s="30">
        <f>Model!E48</f>
        <v>-98.527999999999992</v>
      </c>
      <c r="F33" s="30">
        <f>Deal_Date!F39</f>
        <v>-82.024005000000002</v>
      </c>
      <c r="G33" s="85"/>
      <c r="H33" s="85"/>
      <c r="I33" s="90">
        <f>Deal_Date!I39</f>
        <v>0</v>
      </c>
    </row>
    <row r="34" spans="1:20" ht="15" customHeight="1" x14ac:dyDescent="0.45">
      <c r="B34" t="s">
        <v>59</v>
      </c>
      <c r="C34" s="30">
        <f>Model!C49</f>
        <v>-4</v>
      </c>
      <c r="D34" s="30">
        <f>Model!D49</f>
        <v>-4.24</v>
      </c>
      <c r="E34" s="30">
        <f>Model!E49</f>
        <v>-4.54</v>
      </c>
      <c r="F34" s="30">
        <f>Deal_Date!F40</f>
        <v>-3.375</v>
      </c>
      <c r="G34" s="85"/>
      <c r="H34" s="85"/>
      <c r="I34" s="90">
        <f>Deal_Date!I40</f>
        <v>0</v>
      </c>
      <c r="K34" s="90"/>
      <c r="L34" s="90"/>
      <c r="M34" s="90"/>
      <c r="N34" s="90"/>
      <c r="O34" s="90"/>
      <c r="P34" s="90"/>
      <c r="Q34" s="90"/>
      <c r="R34" s="90"/>
      <c r="S34" s="90"/>
      <c r="T34" s="90"/>
    </row>
    <row r="35" spans="1:20" ht="15" customHeight="1" x14ac:dyDescent="0.45">
      <c r="B35" s="96" t="s">
        <v>223</v>
      </c>
      <c r="C35" s="96">
        <f>Model!C50</f>
        <v>73.762</v>
      </c>
      <c r="D35" s="96">
        <f>Model!D50</f>
        <v>36.368000000000002</v>
      </c>
      <c r="E35" s="96">
        <f>Model!E50</f>
        <v>56.667999999999999</v>
      </c>
      <c r="F35" s="96">
        <f>Deal_Date!F41</f>
        <v>82.958906204999991</v>
      </c>
      <c r="G35" s="96"/>
      <c r="H35" s="96"/>
      <c r="I35" s="90">
        <f>SUM(I33:I34,I31)</f>
        <v>0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</row>
    <row r="36" spans="1:20" ht="15" customHeight="1" x14ac:dyDescent="0.45">
      <c r="F36" s="30"/>
      <c r="G36" s="85"/>
      <c r="H36" s="85"/>
      <c r="I36" s="90"/>
    </row>
    <row r="37" spans="1:20" s="90" customFormat="1" ht="15" customHeight="1" x14ac:dyDescent="0.45">
      <c r="A37" s="14"/>
      <c r="B37" s="90" t="s">
        <v>257</v>
      </c>
      <c r="C37" s="96"/>
      <c r="D37" s="96"/>
      <c r="E37" s="96"/>
      <c r="F37" s="96"/>
      <c r="I37" s="90">
        <f>Deal_Date!I43</f>
        <v>0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</row>
    <row r="38" spans="1:20" ht="15" customHeight="1" x14ac:dyDescent="0.45">
      <c r="B38" t="s">
        <v>125</v>
      </c>
      <c r="C38" s="30"/>
      <c r="D38" s="30"/>
      <c r="E38" s="30"/>
      <c r="F38" s="30"/>
      <c r="G38" s="85"/>
      <c r="H38" s="85"/>
      <c r="I38" s="90">
        <f>Deal_Date!I44</f>
        <v>0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</row>
    <row r="39" spans="1:20" s="90" customFormat="1" ht="15" customHeight="1" x14ac:dyDescent="0.45">
      <c r="A39" s="14"/>
      <c r="B39" s="90" t="s">
        <v>193</v>
      </c>
      <c r="D39" s="96"/>
      <c r="E39" s="96"/>
      <c r="F39" s="96"/>
      <c r="G39" s="85"/>
      <c r="H39" s="85"/>
      <c r="I39" s="90">
        <f>Deal_Date!I45</f>
        <v>0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</row>
    <row r="40" spans="1:20" s="90" customFormat="1" ht="15" customHeight="1" x14ac:dyDescent="0.45">
      <c r="A40" s="14"/>
      <c r="B40" s="90" t="s">
        <v>194</v>
      </c>
      <c r="D40" s="96"/>
      <c r="E40" s="96"/>
      <c r="F40" s="96"/>
      <c r="G40" s="85"/>
      <c r="H40" s="85"/>
      <c r="I40" s="90">
        <f>Deal_Date!I46</f>
        <v>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</row>
    <row r="41" spans="1:20" s="90" customFormat="1" ht="15" customHeight="1" x14ac:dyDescent="0.45">
      <c r="A41" s="14"/>
      <c r="B41" s="90" t="s">
        <v>195</v>
      </c>
      <c r="D41" s="96"/>
      <c r="E41" s="96"/>
      <c r="F41" s="96"/>
      <c r="G41" s="85"/>
      <c r="H41" s="85"/>
      <c r="I41" s="90">
        <f>Deal_Date!I47</f>
        <v>0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</row>
    <row r="42" spans="1:20" s="90" customFormat="1" ht="15" customHeight="1" x14ac:dyDescent="0.45">
      <c r="A42" s="14"/>
      <c r="B42" s="90" t="s">
        <v>241</v>
      </c>
      <c r="D42" s="96"/>
      <c r="E42" s="96"/>
      <c r="F42" s="96"/>
      <c r="G42" s="85"/>
      <c r="H42" s="85"/>
      <c r="I42" s="90">
        <f>Deal_Date!I48</f>
        <v>0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</row>
    <row r="43" spans="1:20" s="90" customFormat="1" ht="15" customHeight="1" x14ac:dyDescent="0.45">
      <c r="A43" s="14"/>
      <c r="B43" s="90" t="s">
        <v>197</v>
      </c>
      <c r="D43" s="96"/>
      <c r="E43" s="96"/>
      <c r="F43" s="96"/>
      <c r="G43" s="85"/>
      <c r="H43" s="85"/>
      <c r="I43" s="90">
        <f>Deal_Date!I49</f>
        <v>0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</row>
    <row r="44" spans="1:20" s="90" customFormat="1" ht="15" customHeight="1" x14ac:dyDescent="0.45">
      <c r="A44" s="14"/>
      <c r="B44" s="90" t="s">
        <v>198</v>
      </c>
      <c r="D44" s="96"/>
      <c r="E44" s="96"/>
      <c r="F44" s="96"/>
      <c r="G44" s="85"/>
      <c r="H44" s="85"/>
      <c r="I44" s="90">
        <f>Deal_Date!I50</f>
        <v>0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</row>
    <row r="45" spans="1:20" s="90" customFormat="1" ht="15" customHeight="1" x14ac:dyDescent="0.45">
      <c r="A45" s="14"/>
      <c r="B45" s="90" t="s">
        <v>240</v>
      </c>
      <c r="D45" s="96"/>
      <c r="E45" s="96"/>
      <c r="F45" s="96"/>
      <c r="G45" s="85"/>
      <c r="H45" s="85"/>
      <c r="I45" s="90">
        <f>Deal_Date!I51</f>
        <v>0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s="90" customFormat="1" ht="15" customHeight="1" x14ac:dyDescent="0.45">
      <c r="A46" s="14"/>
      <c r="B46" s="90" t="s">
        <v>148</v>
      </c>
      <c r="C46" s="96"/>
      <c r="D46" s="96"/>
      <c r="E46" s="96"/>
      <c r="F46" s="96"/>
      <c r="G46" s="85"/>
      <c r="H46" s="85"/>
      <c r="I46" s="90">
        <f>Deal_Date!I52</f>
        <v>0</v>
      </c>
    </row>
    <row r="47" spans="1:20" ht="15" customHeight="1" x14ac:dyDescent="0.45">
      <c r="B47" s="96" t="s">
        <v>224</v>
      </c>
      <c r="C47" s="90">
        <f>SUM(C35,C37:C46)</f>
        <v>73.762</v>
      </c>
      <c r="D47" s="90">
        <f>SUM(D35,D37:D46)</f>
        <v>36.368000000000002</v>
      </c>
      <c r="E47" s="90">
        <f>SUM(E35,E37:E46)</f>
        <v>56.667999999999999</v>
      </c>
      <c r="F47" s="90">
        <f>SUM(F35,F37:F46)</f>
        <v>82.958906204999991</v>
      </c>
      <c r="G47" s="96"/>
      <c r="H47" s="96"/>
      <c r="I47" s="90">
        <f>SUM(I37:I46,I35)</f>
        <v>0</v>
      </c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</row>
    <row r="48" spans="1:20" ht="15" customHeight="1" x14ac:dyDescent="0.45">
      <c r="F48" s="30"/>
      <c r="G48" s="85"/>
      <c r="H48" s="85"/>
      <c r="I48" s="90"/>
    </row>
    <row r="49" spans="1:20" ht="15" customHeight="1" x14ac:dyDescent="0.45">
      <c r="B49" t="s">
        <v>60</v>
      </c>
      <c r="C49" s="30">
        <f>Model!C55</f>
        <v>-27.88</v>
      </c>
      <c r="D49" s="30">
        <f>Model!D55</f>
        <v>-9.6349999999999998</v>
      </c>
      <c r="E49" s="30">
        <f>Model!E55</f>
        <v>8.15</v>
      </c>
      <c r="F49" s="30">
        <f>Deal_Date!F55</f>
        <v>-17.421370303049997</v>
      </c>
      <c r="G49" s="85"/>
      <c r="H49" s="85"/>
      <c r="I49" s="90">
        <f>Deal_Date!I55</f>
        <v>0</v>
      </c>
    </row>
    <row r="50" spans="1:20" ht="15" customHeight="1" x14ac:dyDescent="0.45">
      <c r="B50" t="s">
        <v>88</v>
      </c>
      <c r="C50">
        <f>C47+C49</f>
        <v>45.882000000000005</v>
      </c>
      <c r="D50">
        <f>D47+D49</f>
        <v>26.733000000000004</v>
      </c>
      <c r="E50">
        <f>E47+E49</f>
        <v>64.817999999999998</v>
      </c>
      <c r="F50" s="30">
        <f>F47+F49</f>
        <v>65.537535901949994</v>
      </c>
      <c r="G50" s="85"/>
      <c r="H50" s="85"/>
      <c r="I50" s="90">
        <f>SUM(I49,I47)</f>
        <v>0</v>
      </c>
    </row>
    <row r="51" spans="1:20" ht="15" customHeight="1" x14ac:dyDescent="0.45">
      <c r="F51" s="30"/>
      <c r="G51" s="85"/>
      <c r="H51" s="85"/>
      <c r="I51" s="90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</row>
    <row r="52" spans="1:20" ht="15" customHeight="1" x14ac:dyDescent="0.45">
      <c r="B52" t="s">
        <v>61</v>
      </c>
      <c r="C52" s="30">
        <f>Model!C58</f>
        <v>-6.8369999999999997</v>
      </c>
      <c r="D52" s="30">
        <f>Model!D58</f>
        <v>-8.3179999999999996</v>
      </c>
      <c r="E52" s="30">
        <f>Model!E58</f>
        <v>-8.2639999999999993</v>
      </c>
      <c r="F52" s="30">
        <f>Deal_Date!F58</f>
        <v>-6.2250000000000005</v>
      </c>
      <c r="G52" s="85"/>
      <c r="H52" s="85"/>
      <c r="I52" s="90">
        <f>Deal_Date!I58</f>
        <v>0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</row>
    <row r="53" spans="1:20" ht="15" customHeight="1" x14ac:dyDescent="0.45">
      <c r="F53" s="30"/>
      <c r="G53" s="85"/>
      <c r="H53" s="85"/>
      <c r="I53" s="90"/>
    </row>
    <row r="54" spans="1:20" ht="15" customHeight="1" x14ac:dyDescent="0.45">
      <c r="A54" s="14" t="s">
        <v>56</v>
      </c>
      <c r="F54" s="30"/>
      <c r="G54" s="85"/>
      <c r="H54" s="85"/>
      <c r="I54" s="90"/>
    </row>
    <row r="55" spans="1:20" ht="15" customHeight="1" x14ac:dyDescent="0.45">
      <c r="B55" t="s">
        <v>63</v>
      </c>
      <c r="C55" s="30">
        <f>Model!C61</f>
        <v>227.95400000000001</v>
      </c>
      <c r="D55" s="30">
        <f>Model!D61</f>
        <v>172.08</v>
      </c>
      <c r="E55" s="30">
        <f>Model!E61</f>
        <v>185.173</v>
      </c>
      <c r="F55">
        <f>Deal_Date!F61</f>
        <v>269.70466338444999</v>
      </c>
      <c r="I55" s="90">
        <f>Deal_Date!I61</f>
        <v>0</v>
      </c>
    </row>
    <row r="56" spans="1:20" ht="15" customHeight="1" x14ac:dyDescent="0.45">
      <c r="B56" t="s">
        <v>64</v>
      </c>
      <c r="C56" s="30">
        <f>Model!C62</f>
        <v>242.815</v>
      </c>
      <c r="D56" s="30">
        <f>Model!D62</f>
        <v>273.97699999999998</v>
      </c>
      <c r="E56" s="30">
        <f>Model!E62</f>
        <v>298.565</v>
      </c>
      <c r="F56">
        <f>Deal_Date!F62</f>
        <v>308.91000892260274</v>
      </c>
      <c r="I56" s="90">
        <f>Deal_Date!I62</f>
        <v>0</v>
      </c>
      <c r="K56" s="90"/>
      <c r="L56" s="90"/>
      <c r="M56" s="90"/>
      <c r="N56" s="90"/>
      <c r="O56" s="90"/>
      <c r="P56" s="90"/>
      <c r="Q56" s="90"/>
      <c r="R56" s="90"/>
      <c r="S56" s="90"/>
      <c r="T56" s="90"/>
    </row>
    <row r="57" spans="1:20" ht="15" customHeight="1" x14ac:dyDescent="0.45">
      <c r="B57" t="s">
        <v>65</v>
      </c>
      <c r="C57" s="30">
        <f>Model!C63</f>
        <v>81.313999999999993</v>
      </c>
      <c r="D57" s="30">
        <f>Model!D63</f>
        <v>75.932000000000002</v>
      </c>
      <c r="E57" s="30">
        <f>Model!E63</f>
        <v>38.610999999999997</v>
      </c>
      <c r="F57">
        <f>Deal_Date!F63</f>
        <v>40.666049432499996</v>
      </c>
      <c r="I57" s="90">
        <f>Deal_Date!I63</f>
        <v>0</v>
      </c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</row>
    <row r="58" spans="1:20" ht="15" customHeight="1" x14ac:dyDescent="0.45">
      <c r="B58" t="s">
        <v>225</v>
      </c>
      <c r="C58">
        <f>SUM(C55:C57)</f>
        <v>552.08299999999997</v>
      </c>
      <c r="D58">
        <f>SUM(D55:D57)</f>
        <v>521.98900000000003</v>
      </c>
      <c r="E58">
        <f>SUM(E55:E57)</f>
        <v>522.34900000000005</v>
      </c>
      <c r="F58">
        <f>SUM(F55:F57)</f>
        <v>619.28072173955275</v>
      </c>
      <c r="I58" s="90">
        <f>SUM(I55:I57)</f>
        <v>0</v>
      </c>
    </row>
    <row r="59" spans="1:20" s="90" customFormat="1" ht="15" customHeight="1" x14ac:dyDescent="0.45">
      <c r="A59" s="14"/>
    </row>
    <row r="60" spans="1:20" ht="15" customHeight="1" x14ac:dyDescent="0.45">
      <c r="B60" t="s">
        <v>66</v>
      </c>
      <c r="C60" s="30">
        <f>Model!C66</f>
        <v>483.04700000000003</v>
      </c>
      <c r="D60" s="30">
        <f>Model!D66</f>
        <v>532.52599999999995</v>
      </c>
      <c r="E60" s="30">
        <f>Model!E66</f>
        <v>591.16399999999999</v>
      </c>
      <c r="F60">
        <f>Deal_Date!F66</f>
        <v>568.95135819124994</v>
      </c>
      <c r="I60" s="90">
        <f>Deal_Date!I66</f>
        <v>0</v>
      </c>
    </row>
    <row r="61" spans="1:20" ht="15" customHeight="1" x14ac:dyDescent="0.45">
      <c r="B61" t="s">
        <v>67</v>
      </c>
      <c r="C61" s="30">
        <f>Model!C67</f>
        <v>173.25200000000001</v>
      </c>
      <c r="D61" s="30">
        <f>Model!D67</f>
        <v>189.38200000000001</v>
      </c>
      <c r="E61" s="30">
        <f>Model!E67</f>
        <v>181.78899999999999</v>
      </c>
      <c r="F61">
        <f>Deal_Date!F67</f>
        <v>178.41399999999999</v>
      </c>
      <c r="I61" s="90">
        <f>Deal_Date!I67</f>
        <v>0</v>
      </c>
    </row>
    <row r="62" spans="1:20" s="90" customFormat="1" ht="15" customHeight="1" x14ac:dyDescent="0.45">
      <c r="A62" s="14"/>
      <c r="B62" t="s">
        <v>126</v>
      </c>
      <c r="C62"/>
      <c r="D62"/>
      <c r="E62"/>
      <c r="F62"/>
      <c r="I62" s="90">
        <f>Deal_Date!I68</f>
        <v>0</v>
      </c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</row>
    <row r="63" spans="1:20" ht="15" customHeight="1" x14ac:dyDescent="0.45">
      <c r="B63" t="s">
        <v>68</v>
      </c>
      <c r="C63" s="30">
        <f>Model!C68</f>
        <v>54.527000000000001</v>
      </c>
      <c r="D63" s="30">
        <f>Model!D68</f>
        <v>66.094999999999999</v>
      </c>
      <c r="E63" s="30">
        <f>Model!E68</f>
        <v>70.338999999999999</v>
      </c>
      <c r="F63">
        <f>Deal_Date!F69</f>
        <v>70.309749999999994</v>
      </c>
      <c r="I63" s="90">
        <f>Deal_Date!I69</f>
        <v>0</v>
      </c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</row>
    <row r="64" spans="1:20" ht="15" customHeight="1" x14ac:dyDescent="0.45">
      <c r="B64" t="s">
        <v>226</v>
      </c>
      <c r="C64">
        <f>SUM(C58,C60:C63)</f>
        <v>1262.9090000000001</v>
      </c>
      <c r="D64">
        <f>SUM(D58,D60:D63)</f>
        <v>1309.992</v>
      </c>
      <c r="E64">
        <f>SUM(E58,E60:E63)</f>
        <v>1365.6409999999998</v>
      </c>
      <c r="F64">
        <f>SUM(F58,F60:F63)</f>
        <v>1436.9558299308026</v>
      </c>
      <c r="I64" s="90">
        <f>SUM(I60:I63,I58)</f>
        <v>0</v>
      </c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</row>
    <row r="65" spans="1:20" ht="15" customHeight="1" x14ac:dyDescent="0.45">
      <c r="I65" s="90"/>
    </row>
    <row r="66" spans="1:20" ht="15" customHeight="1" x14ac:dyDescent="0.45">
      <c r="A66"/>
      <c r="B66" t="s">
        <v>115</v>
      </c>
      <c r="C66" s="30">
        <f>Model!C71</f>
        <v>0</v>
      </c>
      <c r="D66" s="30">
        <f>Model!D71</f>
        <v>0</v>
      </c>
      <c r="E66" s="30">
        <f>Model!E71</f>
        <v>0</v>
      </c>
      <c r="F66">
        <f>Deal_Date!F72</f>
        <v>0</v>
      </c>
      <c r="I66" s="90">
        <f>Deal_Date!I72</f>
        <v>0</v>
      </c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</row>
    <row r="67" spans="1:20" ht="15" customHeight="1" x14ac:dyDescent="0.45">
      <c r="A67"/>
      <c r="B67" t="s">
        <v>69</v>
      </c>
      <c r="C67" s="30">
        <f>Model!C72</f>
        <v>130.869</v>
      </c>
      <c r="D67" s="30">
        <f>Model!D72</f>
        <v>133.30099999999999</v>
      </c>
      <c r="E67" s="30">
        <f>Model!E72</f>
        <v>129.09899999999999</v>
      </c>
      <c r="F67">
        <f>Deal_Date!F73</f>
        <v>133.62936849760274</v>
      </c>
      <c r="I67" s="90">
        <f>Deal_Date!I73</f>
        <v>0</v>
      </c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</row>
    <row r="68" spans="1:20" ht="15" customHeight="1" x14ac:dyDescent="0.45">
      <c r="A68"/>
      <c r="B68" t="s">
        <v>70</v>
      </c>
      <c r="C68" s="30">
        <f>Model!C73</f>
        <v>188.81800000000001</v>
      </c>
      <c r="D68" s="30">
        <f>Model!D73</f>
        <v>190.024</v>
      </c>
      <c r="E68" s="30">
        <f>Model!E73</f>
        <v>211.56100000000001</v>
      </c>
      <c r="F68">
        <f>Deal_Date!F74</f>
        <v>219.03292553124999</v>
      </c>
      <c r="I68" s="90">
        <f>Deal_Date!I74</f>
        <v>0</v>
      </c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</row>
    <row r="69" spans="1:20" ht="15" customHeight="1" x14ac:dyDescent="0.45">
      <c r="A69"/>
      <c r="B69" t="s">
        <v>227</v>
      </c>
      <c r="C69">
        <f>SUM(C66:C68)</f>
        <v>319.68700000000001</v>
      </c>
      <c r="D69">
        <f>SUM(D66:D68)</f>
        <v>323.32499999999999</v>
      </c>
      <c r="E69">
        <f>SUM(E66:E68)</f>
        <v>340.65999999999997</v>
      </c>
      <c r="F69">
        <f>SUM(F66:F68)</f>
        <v>352.66229402885273</v>
      </c>
      <c r="I69" s="90">
        <f>SUM(I66:I68)</f>
        <v>0</v>
      </c>
    </row>
    <row r="70" spans="1:20" ht="15" customHeight="1" x14ac:dyDescent="0.45">
      <c r="A70"/>
      <c r="I70" s="90"/>
    </row>
    <row r="71" spans="1:20" ht="15" customHeight="1" x14ac:dyDescent="0.45">
      <c r="A71"/>
      <c r="B71" t="s">
        <v>110</v>
      </c>
      <c r="C71" s="30">
        <f>Model!C76</f>
        <v>212.50899999999999</v>
      </c>
      <c r="D71" s="30">
        <f>Model!D76</f>
        <v>243.673</v>
      </c>
      <c r="E71" s="30">
        <f>Model!E76</f>
        <v>268.91899999999998</v>
      </c>
      <c r="F71">
        <f>Deal_Date!F77</f>
        <v>268.91899999999998</v>
      </c>
      <c r="I71" s="90">
        <f>Deal_Date!I77</f>
        <v>0</v>
      </c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</row>
    <row r="72" spans="1:20" ht="15" customHeight="1" x14ac:dyDescent="0.45">
      <c r="A72"/>
      <c r="B72" t="s">
        <v>33</v>
      </c>
      <c r="C72" s="30"/>
      <c r="D72" s="30"/>
      <c r="E72" s="30"/>
      <c r="I72" s="90">
        <f>Deal_Date!I78</f>
        <v>0</v>
      </c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</row>
    <row r="73" spans="1:20" ht="15" customHeight="1" x14ac:dyDescent="0.45">
      <c r="A73"/>
      <c r="B73" t="s">
        <v>160</v>
      </c>
      <c r="C73" s="30"/>
      <c r="D73" s="30"/>
      <c r="E73" s="30"/>
      <c r="I73" s="90">
        <f>Deal_Date!I79</f>
        <v>0</v>
      </c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</row>
    <row r="74" spans="1:20" ht="15" customHeight="1" x14ac:dyDescent="0.45">
      <c r="A74"/>
      <c r="B74" t="s">
        <v>220</v>
      </c>
      <c r="C74" s="30"/>
      <c r="D74" s="30"/>
      <c r="E74" s="30"/>
      <c r="I74" s="90">
        <f>Deal_Date!I80</f>
        <v>0</v>
      </c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</row>
    <row r="75" spans="1:20" ht="15" customHeight="1" x14ac:dyDescent="0.45">
      <c r="A75"/>
      <c r="B75" t="s">
        <v>218</v>
      </c>
      <c r="C75" s="30"/>
      <c r="D75" s="30"/>
      <c r="E75" s="30"/>
      <c r="I75" s="90">
        <f>Deal_Date!I81</f>
        <v>0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</row>
    <row r="76" spans="1:20" ht="15" customHeight="1" x14ac:dyDescent="0.45">
      <c r="A76"/>
      <c r="B76" t="s">
        <v>219</v>
      </c>
      <c r="C76" s="30"/>
      <c r="D76" s="30"/>
      <c r="E76" s="30"/>
      <c r="I76" s="90">
        <f>Deal_Date!I82</f>
        <v>0</v>
      </c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</row>
    <row r="77" spans="1:20" ht="15" customHeight="1" x14ac:dyDescent="0.45">
      <c r="A77"/>
      <c r="B77" t="s">
        <v>38</v>
      </c>
      <c r="C77" s="30"/>
      <c r="D77" s="30"/>
      <c r="E77" s="30"/>
      <c r="I77" s="90">
        <f>Deal_Date!I83</f>
        <v>0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</row>
    <row r="78" spans="1:20" ht="15" customHeight="1" x14ac:dyDescent="0.45">
      <c r="A78"/>
      <c r="B78" t="s">
        <v>111</v>
      </c>
      <c r="C78" s="30"/>
      <c r="D78" s="30"/>
      <c r="E78" s="30"/>
      <c r="I78" s="90">
        <f>Deal_Date!I84</f>
        <v>0</v>
      </c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</row>
    <row r="79" spans="1:20" ht="15" customHeight="1" x14ac:dyDescent="0.45">
      <c r="A79"/>
      <c r="B79" t="s">
        <v>71</v>
      </c>
      <c r="C79" s="30">
        <f>Model!C77</f>
        <v>141.98500000000001</v>
      </c>
      <c r="D79" s="30">
        <f>Model!D77</f>
        <v>144.09699999999998</v>
      </c>
      <c r="E79" s="30">
        <f>Model!E77</f>
        <v>104.6</v>
      </c>
      <c r="F79">
        <f>Deal_Date!F85</f>
        <v>104.6</v>
      </c>
      <c r="I79" s="90">
        <f>Deal_Date!I85</f>
        <v>0</v>
      </c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</row>
    <row r="80" spans="1:20" ht="15" customHeight="1" x14ac:dyDescent="0.45">
      <c r="A80"/>
      <c r="B80" t="s">
        <v>228</v>
      </c>
      <c r="C80">
        <f>SUM(C69,C71:C79)</f>
        <v>674.18100000000004</v>
      </c>
      <c r="D80">
        <f>SUM(D69,D71:D79)</f>
        <v>711.09500000000003</v>
      </c>
      <c r="E80">
        <f>SUM(E69,E71:E79)</f>
        <v>714.17899999999997</v>
      </c>
      <c r="F80">
        <f>SUM(F69,F71:F79)</f>
        <v>726.18129402885268</v>
      </c>
      <c r="I80" s="90">
        <f>SUM(I71:I79,I69)</f>
        <v>0</v>
      </c>
    </row>
    <row r="81" spans="1:29" ht="15" customHeight="1" x14ac:dyDescent="0.45">
      <c r="I81" s="90"/>
    </row>
    <row r="82" spans="1:29" ht="15" customHeight="1" x14ac:dyDescent="0.45">
      <c r="B82" t="s">
        <v>46</v>
      </c>
      <c r="C82" s="30">
        <f>Model!C80</f>
        <v>588.72799999999995</v>
      </c>
      <c r="D82" s="30">
        <f>Model!D80</f>
        <v>598.89700000000005</v>
      </c>
      <c r="E82" s="30">
        <f>Model!E80</f>
        <v>651.46199999999999</v>
      </c>
      <c r="F82">
        <f>Deal_Date!F88</f>
        <v>710.77453590195</v>
      </c>
      <c r="I82" s="90">
        <f>Deal_Date!I88</f>
        <v>0</v>
      </c>
    </row>
    <row r="83" spans="1:29" ht="15" customHeight="1" x14ac:dyDescent="0.45">
      <c r="B83" t="s">
        <v>229</v>
      </c>
      <c r="C83">
        <f>C80+C82</f>
        <v>1262.9090000000001</v>
      </c>
      <c r="D83">
        <f>D80+D82</f>
        <v>1309.9920000000002</v>
      </c>
      <c r="E83">
        <f>E80+E82</f>
        <v>1365.6410000000001</v>
      </c>
      <c r="F83">
        <f>F80+F82</f>
        <v>1436.9558299308028</v>
      </c>
      <c r="I83" s="90">
        <f>SUM(I82,I80)</f>
        <v>0</v>
      </c>
    </row>
    <row r="84" spans="1:29" ht="15" customHeight="1" x14ac:dyDescent="0.45">
      <c r="I84" s="90"/>
    </row>
    <row r="85" spans="1:29" ht="15" customHeight="1" x14ac:dyDescent="0.45">
      <c r="B85" t="s">
        <v>72</v>
      </c>
      <c r="C85" s="71" t="str">
        <f>IF(ROUND(C64,2)=ROUND(C83,2),"OK",C64-C83)</f>
        <v>OK</v>
      </c>
      <c r="D85" s="71" t="str">
        <f>IF(ROUND(D64,2)=ROUND(D83,2),"OK",D64-D83)</f>
        <v>OK</v>
      </c>
      <c r="E85" s="71" t="str">
        <f>IF(ROUND(E64,2)=ROUND(E83,2),"OK",E64-E83)</f>
        <v>OK</v>
      </c>
      <c r="F85" s="71" t="str">
        <f>IF(ROUND(F64,2)=ROUND(F83,2),"OK",F64-F83)</f>
        <v>OK</v>
      </c>
      <c r="I85" s="91" t="str">
        <f t="shared" ref="I85:T85" si="1">IF(ROUND(I64,2)=ROUND(I83,2),"OK",I64-I83)</f>
        <v>OK</v>
      </c>
      <c r="J85" s="71" t="str">
        <f t="shared" si="1"/>
        <v>OK</v>
      </c>
      <c r="K85" s="71" t="str">
        <f t="shared" si="1"/>
        <v>OK</v>
      </c>
      <c r="L85" s="71" t="str">
        <f t="shared" si="1"/>
        <v>OK</v>
      </c>
      <c r="M85" s="71" t="str">
        <f t="shared" si="1"/>
        <v>OK</v>
      </c>
      <c r="N85" s="71" t="str">
        <f t="shared" si="1"/>
        <v>OK</v>
      </c>
      <c r="O85" s="71" t="str">
        <f t="shared" si="1"/>
        <v>OK</v>
      </c>
      <c r="P85" s="71" t="str">
        <f t="shared" si="1"/>
        <v>OK</v>
      </c>
      <c r="Q85" s="71" t="str">
        <f t="shared" si="1"/>
        <v>OK</v>
      </c>
      <c r="R85" s="71" t="str">
        <f t="shared" si="1"/>
        <v>OK</v>
      </c>
      <c r="S85" s="71" t="str">
        <f t="shared" si="1"/>
        <v>OK</v>
      </c>
      <c r="T85" s="71" t="str">
        <f t="shared" si="1"/>
        <v>OK</v>
      </c>
      <c r="AB85" s="96"/>
      <c r="AC85" s="96"/>
    </row>
    <row r="86" spans="1:29" ht="15" customHeight="1" x14ac:dyDescent="0.45">
      <c r="I86" s="90"/>
      <c r="AB86" s="96"/>
      <c r="AC86" s="96"/>
    </row>
    <row r="87" spans="1:29" ht="15" customHeight="1" x14ac:dyDescent="0.45">
      <c r="A87" s="14" t="s">
        <v>89</v>
      </c>
      <c r="I87" s="90"/>
    </row>
    <row r="88" spans="1:29" s="90" customFormat="1" ht="15" customHeight="1" x14ac:dyDescent="0.45">
      <c r="A88" s="14"/>
      <c r="B88" s="90" t="s">
        <v>146</v>
      </c>
      <c r="I88" s="90">
        <f>Deal_Date!I94</f>
        <v>0</v>
      </c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</row>
    <row r="89" spans="1:29" s="90" customFormat="1" ht="15" customHeight="1" x14ac:dyDescent="0.45">
      <c r="A89" s="14"/>
      <c r="B89" s="90" t="s">
        <v>257</v>
      </c>
      <c r="I89" s="90">
        <f>Deal_Date!I95</f>
        <v>0</v>
      </c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</row>
    <row r="90" spans="1:29" s="90" customFormat="1" ht="15" customHeight="1" x14ac:dyDescent="0.45">
      <c r="A90" s="14"/>
      <c r="B90" s="90" t="s">
        <v>193</v>
      </c>
      <c r="I90" s="90">
        <f>I39</f>
        <v>0</v>
      </c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</row>
    <row r="91" spans="1:29" s="90" customFormat="1" ht="15" customHeight="1" x14ac:dyDescent="0.45">
      <c r="A91" s="14"/>
      <c r="B91" s="90" t="s">
        <v>194</v>
      </c>
      <c r="I91" s="90">
        <f t="shared" ref="I91:I95" si="2">I40</f>
        <v>0</v>
      </c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</row>
    <row r="92" spans="1:29" s="90" customFormat="1" ht="15" customHeight="1" x14ac:dyDescent="0.45">
      <c r="A92" s="14"/>
      <c r="B92" s="90" t="s">
        <v>195</v>
      </c>
      <c r="I92" s="90">
        <f t="shared" si="2"/>
        <v>0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</row>
    <row r="93" spans="1:29" s="90" customFormat="1" ht="15" customHeight="1" x14ac:dyDescent="0.45">
      <c r="A93" s="14"/>
      <c r="B93" s="90" t="s">
        <v>241</v>
      </c>
      <c r="I93" s="90">
        <f t="shared" si="2"/>
        <v>0</v>
      </c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</row>
    <row r="94" spans="1:29" s="90" customFormat="1" ht="15" customHeight="1" x14ac:dyDescent="0.45">
      <c r="A94" s="14"/>
      <c r="B94" s="90" t="s">
        <v>197</v>
      </c>
      <c r="I94" s="90">
        <f t="shared" si="2"/>
        <v>0</v>
      </c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</row>
    <row r="95" spans="1:29" s="90" customFormat="1" ht="15" customHeight="1" x14ac:dyDescent="0.45">
      <c r="A95" s="14"/>
      <c r="B95" s="90" t="s">
        <v>198</v>
      </c>
      <c r="I95" s="90">
        <f t="shared" si="2"/>
        <v>0</v>
      </c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</row>
    <row r="96" spans="1:29" s="90" customFormat="1" ht="15" customHeight="1" x14ac:dyDescent="0.45">
      <c r="A96" s="14"/>
      <c r="B96" s="90" t="s">
        <v>148</v>
      </c>
      <c r="I96" s="90">
        <f>I46</f>
        <v>0</v>
      </c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</row>
    <row r="97" spans="1:34" s="90" customFormat="1" ht="15" customHeight="1" x14ac:dyDescent="0.45">
      <c r="A97" s="14"/>
      <c r="B97" s="90" t="s">
        <v>60</v>
      </c>
      <c r="I97" s="90">
        <f>Deal_Date!I103</f>
        <v>0</v>
      </c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</row>
    <row r="98" spans="1:34" s="90" customFormat="1" ht="15" customHeight="1" x14ac:dyDescent="0.45">
      <c r="A98" s="14"/>
      <c r="B98" t="s">
        <v>91</v>
      </c>
      <c r="C98"/>
      <c r="D98"/>
      <c r="E98"/>
      <c r="F98"/>
      <c r="I98" s="90">
        <f>Deal_Date!I104</f>
        <v>0</v>
      </c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</row>
    <row r="99" spans="1:34" s="90" customFormat="1" ht="15" customHeight="1" x14ac:dyDescent="0.45">
      <c r="A99" s="14"/>
      <c r="B99" t="s">
        <v>97</v>
      </c>
      <c r="C99"/>
      <c r="D99"/>
      <c r="E99"/>
      <c r="F99"/>
      <c r="I99" s="90">
        <f>Deal_Date!I105</f>
        <v>0</v>
      </c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</row>
    <row r="100" spans="1:34" s="90" customFormat="1" ht="15" customHeight="1" x14ac:dyDescent="0.45">
      <c r="A100" s="14"/>
      <c r="B100" t="s">
        <v>103</v>
      </c>
      <c r="C100"/>
      <c r="D100"/>
      <c r="E100"/>
      <c r="F100"/>
      <c r="I100" s="90">
        <f>Deal_Date!I106</f>
        <v>0</v>
      </c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</row>
    <row r="101" spans="1:34" s="90" customFormat="1" ht="15" customHeight="1" x14ac:dyDescent="0.45">
      <c r="A101" s="14"/>
      <c r="B101" t="s">
        <v>104</v>
      </c>
      <c r="C101"/>
      <c r="D101"/>
      <c r="E101"/>
      <c r="F101"/>
      <c r="I101" s="90">
        <f>Deal_Date!I107</f>
        <v>0</v>
      </c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</row>
    <row r="102" spans="1:34" s="90" customFormat="1" ht="15" customHeight="1" x14ac:dyDescent="0.45">
      <c r="A102" s="14"/>
      <c r="B102" t="s">
        <v>105</v>
      </c>
      <c r="C102"/>
      <c r="D102"/>
      <c r="E102"/>
      <c r="F102"/>
      <c r="I102" s="90">
        <f>Deal_Date!I108</f>
        <v>0</v>
      </c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</row>
    <row r="103" spans="1:34" s="90" customFormat="1" ht="15" customHeight="1" x14ac:dyDescent="0.45">
      <c r="A103" s="14"/>
      <c r="B103" t="s">
        <v>106</v>
      </c>
      <c r="C103"/>
      <c r="D103"/>
      <c r="E103"/>
      <c r="F103"/>
      <c r="I103" s="90">
        <f>Deal_Date!I109</f>
        <v>0</v>
      </c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</row>
    <row r="104" spans="1:34" ht="15" customHeight="1" x14ac:dyDescent="0.45">
      <c r="B104" t="s">
        <v>230</v>
      </c>
      <c r="I104" s="90">
        <f>SUM(I88:I103)</f>
        <v>0</v>
      </c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AB104" s="96"/>
      <c r="AC104" s="96"/>
    </row>
    <row r="105" spans="1:34" ht="15" customHeight="1" x14ac:dyDescent="0.45">
      <c r="I105" s="90"/>
      <c r="J105" s="90"/>
      <c r="AB105" s="96"/>
      <c r="AC105" s="96"/>
    </row>
    <row r="106" spans="1:34" ht="15" customHeight="1" x14ac:dyDescent="0.45">
      <c r="B106" t="s">
        <v>90</v>
      </c>
      <c r="I106" s="90">
        <f>Deal_Date!I112</f>
        <v>0</v>
      </c>
      <c r="J106" s="90"/>
      <c r="AB106" s="96"/>
      <c r="AC106" s="96"/>
    </row>
    <row r="107" spans="1:34" ht="15" customHeight="1" x14ac:dyDescent="0.45">
      <c r="B107" t="s">
        <v>231</v>
      </c>
      <c r="I107" s="90">
        <f>SUM(I106)</f>
        <v>0</v>
      </c>
      <c r="J107" s="90"/>
      <c r="AB107" s="96"/>
      <c r="AC107" s="96"/>
    </row>
    <row r="108" spans="1:34" ht="15" customHeight="1" x14ac:dyDescent="0.45">
      <c r="I108" s="90"/>
      <c r="J108" s="90"/>
      <c r="AB108" s="96"/>
      <c r="AC108" s="96"/>
    </row>
    <row r="109" spans="1:34" ht="15" customHeight="1" x14ac:dyDescent="0.45">
      <c r="B109" t="s">
        <v>92</v>
      </c>
      <c r="I109" s="90">
        <f>Deal_Date!I115</f>
        <v>0</v>
      </c>
      <c r="J109" s="90"/>
      <c r="AB109" s="96"/>
      <c r="AC109" s="96"/>
    </row>
    <row r="110" spans="1:34" ht="15" customHeight="1" x14ac:dyDescent="0.45">
      <c r="B110" t="s">
        <v>166</v>
      </c>
      <c r="I110" s="90">
        <f>Deal_Date!I116</f>
        <v>0</v>
      </c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V110" s="96"/>
      <c r="W110" s="96"/>
      <c r="X110" s="96"/>
      <c r="Y110" s="96"/>
      <c r="Z110" s="96"/>
      <c r="AA110" s="96"/>
      <c r="AB110" s="96"/>
      <c r="AC110" s="96"/>
    </row>
    <row r="111" spans="1:34" s="90" customFormat="1" ht="15" customHeight="1" x14ac:dyDescent="0.45">
      <c r="A111" s="14"/>
      <c r="B111" s="90" t="s">
        <v>242</v>
      </c>
      <c r="I111" s="90">
        <f>Deal_Date!I117</f>
        <v>0</v>
      </c>
      <c r="V111" s="96"/>
      <c r="W111" s="96"/>
      <c r="X111" s="96"/>
      <c r="Y111" s="96"/>
      <c r="Z111" s="96"/>
      <c r="AA111" s="96"/>
      <c r="AB111" s="96"/>
      <c r="AC111" s="96"/>
      <c r="AD111"/>
      <c r="AE111"/>
      <c r="AF111"/>
      <c r="AG111"/>
      <c r="AH111"/>
    </row>
    <row r="112" spans="1:34" s="90" customFormat="1" ht="15" customHeight="1" x14ac:dyDescent="0.45">
      <c r="A112" s="14"/>
      <c r="B112" s="90" t="s">
        <v>167</v>
      </c>
      <c r="I112" s="90">
        <f>Deal_Date!I118</f>
        <v>0</v>
      </c>
      <c r="V112" s="96"/>
      <c r="W112" s="96"/>
      <c r="X112" s="96"/>
      <c r="Y112" s="96"/>
      <c r="Z112" s="96"/>
      <c r="AA112" s="96"/>
      <c r="AB112" s="96"/>
      <c r="AC112" s="96"/>
      <c r="AD112"/>
      <c r="AE112"/>
      <c r="AF112"/>
      <c r="AG112"/>
      <c r="AH112"/>
    </row>
    <row r="113" spans="1:34" s="90" customFormat="1" ht="15" customHeight="1" x14ac:dyDescent="0.45">
      <c r="A113" s="14"/>
      <c r="B113" s="90" t="s">
        <v>246</v>
      </c>
      <c r="I113" s="90">
        <f>Deal_Date!I119</f>
        <v>0</v>
      </c>
      <c r="V113" s="96"/>
      <c r="W113" s="96"/>
      <c r="X113" s="96"/>
      <c r="Y113" s="96"/>
      <c r="Z113" s="96"/>
      <c r="AA113" s="96"/>
      <c r="AB113" s="96"/>
      <c r="AC113" s="96"/>
      <c r="AD113"/>
      <c r="AE113"/>
      <c r="AF113"/>
      <c r="AG113"/>
      <c r="AH113"/>
    </row>
    <row r="114" spans="1:34" s="90" customFormat="1" ht="15" customHeight="1" x14ac:dyDescent="0.45">
      <c r="A114" s="14"/>
      <c r="B114" s="90" t="s">
        <v>243</v>
      </c>
      <c r="I114" s="90">
        <f>Deal_Date!I120</f>
        <v>0</v>
      </c>
      <c r="V114" s="96"/>
      <c r="W114" s="96"/>
      <c r="X114" s="96"/>
      <c r="Y114" s="96"/>
      <c r="Z114" s="96"/>
      <c r="AA114" s="96"/>
      <c r="AB114" s="96"/>
      <c r="AC114" s="96"/>
      <c r="AD114"/>
      <c r="AE114"/>
      <c r="AF114"/>
      <c r="AG114"/>
      <c r="AH114"/>
    </row>
    <row r="115" spans="1:34" s="90" customFormat="1" ht="15" customHeight="1" x14ac:dyDescent="0.45">
      <c r="A115" s="14"/>
      <c r="B115" s="90" t="s">
        <v>244</v>
      </c>
      <c r="I115" s="90">
        <f>Deal_Date!I121</f>
        <v>0</v>
      </c>
      <c r="V115" s="96"/>
      <c r="W115" s="96"/>
      <c r="X115" s="96"/>
      <c r="Y115" s="96"/>
      <c r="Z115" s="96"/>
      <c r="AA115" s="96"/>
      <c r="AB115" s="96"/>
      <c r="AC115" s="96"/>
      <c r="AD115"/>
      <c r="AE115"/>
      <c r="AF115"/>
      <c r="AG115"/>
      <c r="AH115"/>
    </row>
    <row r="116" spans="1:34" s="90" customFormat="1" ht="15" customHeight="1" x14ac:dyDescent="0.45">
      <c r="A116" s="14"/>
      <c r="B116" s="90" t="s">
        <v>245</v>
      </c>
      <c r="I116" s="90">
        <f>Deal_Date!I122</f>
        <v>0</v>
      </c>
      <c r="V116" s="96"/>
      <c r="W116" s="96"/>
      <c r="X116" s="96"/>
      <c r="Y116" s="96"/>
      <c r="Z116" s="96"/>
      <c r="AA116" s="96"/>
      <c r="AB116" s="96"/>
      <c r="AC116" s="96"/>
    </row>
    <row r="117" spans="1:34" ht="15" customHeight="1" x14ac:dyDescent="0.45">
      <c r="B117" t="s">
        <v>94</v>
      </c>
      <c r="I117" s="90">
        <f>Deal_Date!I123</f>
        <v>0</v>
      </c>
      <c r="J117" s="90"/>
      <c r="V117" s="96"/>
      <c r="W117" s="96"/>
      <c r="X117" s="96"/>
      <c r="Y117" s="96"/>
      <c r="Z117" s="96"/>
      <c r="AA117" s="96"/>
      <c r="AB117" s="96"/>
      <c r="AC117" s="96"/>
    </row>
    <row r="118" spans="1:34" ht="15" customHeight="1" x14ac:dyDescent="0.45">
      <c r="B118" t="s">
        <v>232</v>
      </c>
      <c r="I118" s="90">
        <f>SUM(I109:I117)</f>
        <v>0</v>
      </c>
      <c r="J118" s="90"/>
      <c r="V118" s="96"/>
      <c r="W118" s="96"/>
      <c r="X118" s="96"/>
      <c r="Y118" s="96"/>
      <c r="Z118" s="96"/>
      <c r="AA118" s="96"/>
      <c r="AB118" s="96"/>
      <c r="AC118" s="96"/>
    </row>
    <row r="119" spans="1:34" ht="15" customHeight="1" x14ac:dyDescent="0.45">
      <c r="I119" s="90"/>
      <c r="V119" s="96"/>
      <c r="W119" s="96"/>
      <c r="X119" s="96"/>
      <c r="Y119" s="96"/>
      <c r="Z119" s="96"/>
      <c r="AA119" s="96"/>
      <c r="AB119" s="96"/>
      <c r="AC119" s="96"/>
      <c r="AD119" s="90"/>
      <c r="AE119" s="90"/>
      <c r="AF119" s="90"/>
      <c r="AG119" s="90"/>
      <c r="AH119" s="90"/>
    </row>
    <row r="120" spans="1:34" ht="15" customHeight="1" x14ac:dyDescent="0.45">
      <c r="B120" t="s">
        <v>95</v>
      </c>
      <c r="I120" s="90">
        <f>Deal_Date!I126</f>
        <v>0</v>
      </c>
      <c r="V120" s="96"/>
      <c r="W120" s="96"/>
      <c r="X120" s="96"/>
      <c r="Y120" s="96"/>
      <c r="Z120" s="96"/>
      <c r="AA120" s="96"/>
      <c r="AB120" s="96"/>
      <c r="AC120" s="96"/>
      <c r="AD120" s="90"/>
      <c r="AE120" s="90"/>
      <c r="AF120" s="90"/>
      <c r="AG120" s="90"/>
      <c r="AH120" s="90"/>
    </row>
    <row r="121" spans="1:34" ht="15" customHeight="1" x14ac:dyDescent="0.45">
      <c r="B121" t="s">
        <v>96</v>
      </c>
      <c r="I121" s="90">
        <f>SUM(I104,I107,I118)</f>
        <v>0</v>
      </c>
      <c r="V121" s="96"/>
      <c r="W121" s="96"/>
      <c r="X121" s="96"/>
      <c r="Y121" s="96"/>
      <c r="Z121" s="96"/>
      <c r="AA121" s="96"/>
      <c r="AB121" s="96"/>
      <c r="AC121" s="96"/>
      <c r="AD121" s="90"/>
      <c r="AE121" s="90"/>
      <c r="AF121" s="90"/>
      <c r="AG121" s="90"/>
      <c r="AH121" s="90"/>
    </row>
    <row r="122" spans="1:34" ht="15" customHeight="1" x14ac:dyDescent="0.45">
      <c r="B122" t="s">
        <v>186</v>
      </c>
      <c r="H122">
        <f>Deal_Date!I126</f>
        <v>0</v>
      </c>
      <c r="I122" s="90">
        <f>SUM(I120:I121)</f>
        <v>0</v>
      </c>
      <c r="V122" s="96"/>
      <c r="W122" s="96"/>
      <c r="X122" s="96"/>
      <c r="Y122" s="96"/>
      <c r="Z122" s="96"/>
      <c r="AA122" s="96"/>
      <c r="AB122" s="96"/>
      <c r="AC122" s="96"/>
      <c r="AD122" s="90"/>
      <c r="AE122" s="90"/>
      <c r="AF122" s="90"/>
      <c r="AG122" s="90"/>
      <c r="AH122" s="90"/>
    </row>
    <row r="123" spans="1:34" ht="15" customHeight="1" x14ac:dyDescent="0.45">
      <c r="I123" s="90"/>
      <c r="V123" s="96"/>
      <c r="W123" s="96"/>
      <c r="X123" s="96"/>
      <c r="Y123" s="96"/>
      <c r="Z123" s="96"/>
      <c r="AA123" s="96"/>
      <c r="AB123" s="96"/>
      <c r="AC123" s="96"/>
      <c r="AD123" s="90"/>
      <c r="AE123" s="90"/>
      <c r="AF123" s="90"/>
      <c r="AG123" s="90"/>
      <c r="AH123" s="90"/>
    </row>
    <row r="124" spans="1:34" ht="15" customHeight="1" x14ac:dyDescent="0.45">
      <c r="A124" s="14" t="s">
        <v>165</v>
      </c>
      <c r="I124" s="90"/>
      <c r="V124" s="96"/>
      <c r="W124" s="96"/>
      <c r="X124" s="96"/>
      <c r="Y124" s="96"/>
      <c r="Z124" s="96"/>
      <c r="AA124" s="96"/>
      <c r="AB124" s="96"/>
      <c r="AC124" s="96"/>
      <c r="AD124" s="90"/>
      <c r="AE124" s="90"/>
      <c r="AF124" s="90"/>
      <c r="AG124" s="90"/>
      <c r="AH124" s="90"/>
    </row>
    <row r="125" spans="1:34" ht="15" customHeight="1" x14ac:dyDescent="0.45">
      <c r="I125" s="90"/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9B94A-FDC3-40B3-9F40-AC09EF91D67E}">
  <sheetPr>
    <tabColor rgb="FFFFC000"/>
  </sheetPr>
  <dimension ref="A1:AI210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29" width="10.6640625" style="90" customWidth="1"/>
    <col min="30" max="16384" width="9.1328125" style="90"/>
  </cols>
  <sheetData>
    <row r="1" spans="1:23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3" s="89" customFormat="1" ht="30" customHeight="1" x14ac:dyDescent="0.65">
      <c r="A2" s="13" t="s">
        <v>114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10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4" spans="1:23" ht="15" customHeight="1" x14ac:dyDescent="0.45">
      <c r="B4" s="90" t="s">
        <v>143</v>
      </c>
      <c r="H4" s="76">
        <v>0</v>
      </c>
      <c r="I4" s="10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3" ht="15" customHeight="1" x14ac:dyDescent="0.45">
      <c r="H5" s="76"/>
      <c r="I5" s="10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3" ht="15" customHeight="1" x14ac:dyDescent="0.45">
      <c r="A6" s="14" t="s">
        <v>259</v>
      </c>
      <c r="H6" s="76"/>
      <c r="I6" s="10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3" ht="15" customHeight="1" x14ac:dyDescent="0.45">
      <c r="B7" s="90" t="s">
        <v>253</v>
      </c>
      <c r="H7" s="76"/>
      <c r="I7" s="72">
        <f>Input!$L$5</f>
        <v>4.2499999999999996E-2</v>
      </c>
      <c r="J7" s="72">
        <f>Input!$L$5</f>
        <v>4.2499999999999996E-2</v>
      </c>
      <c r="K7" s="72">
        <f>Input!$L$5</f>
        <v>4.2499999999999996E-2</v>
      </c>
      <c r="L7" s="72">
        <f>Input!$L$5</f>
        <v>4.2499999999999996E-2</v>
      </c>
      <c r="M7" s="72">
        <f>Input!$L$5</f>
        <v>4.2499999999999996E-2</v>
      </c>
      <c r="N7" s="72">
        <f>Input!$L$5</f>
        <v>4.2499999999999996E-2</v>
      </c>
      <c r="O7" s="72">
        <f>Input!$L$5</f>
        <v>4.2499999999999996E-2</v>
      </c>
      <c r="P7" s="72">
        <f>Input!$L$5</f>
        <v>4.2499999999999996E-2</v>
      </c>
      <c r="Q7" s="72">
        <f>Input!$L$5</f>
        <v>4.2499999999999996E-2</v>
      </c>
      <c r="R7" s="72">
        <f>Input!$L$5</f>
        <v>4.2499999999999996E-2</v>
      </c>
      <c r="S7" s="72">
        <f>Input!$L$5</f>
        <v>4.2499999999999996E-2</v>
      </c>
      <c r="T7" s="72">
        <f>Input!$L$5</f>
        <v>4.2499999999999996E-2</v>
      </c>
    </row>
    <row r="8" spans="1:23" ht="15" customHeight="1" x14ac:dyDescent="0.45">
      <c r="B8" s="90" t="s">
        <v>254</v>
      </c>
      <c r="H8" s="76"/>
      <c r="I8" s="72">
        <f>Input!$L$6</f>
        <v>0.08</v>
      </c>
      <c r="J8" s="72">
        <f>Input!$L$6</f>
        <v>0.08</v>
      </c>
      <c r="K8" s="72">
        <f>Input!$L$6</f>
        <v>0.08</v>
      </c>
      <c r="L8" s="72">
        <f>Input!$L$6</f>
        <v>0.08</v>
      </c>
      <c r="M8" s="72">
        <f>Input!$L$6</f>
        <v>0.08</v>
      </c>
      <c r="N8" s="72">
        <f>Input!$L$6</f>
        <v>0.08</v>
      </c>
      <c r="O8" s="72">
        <f>Input!$L$6</f>
        <v>0.08</v>
      </c>
      <c r="P8" s="72">
        <f>Input!$L$6</f>
        <v>0.08</v>
      </c>
      <c r="Q8" s="72">
        <f>Input!$L$6</f>
        <v>0.08</v>
      </c>
      <c r="R8" s="72">
        <f>Input!$L$6</f>
        <v>0.08</v>
      </c>
      <c r="S8" s="72">
        <f>Input!$L$6</f>
        <v>0.08</v>
      </c>
      <c r="T8" s="72">
        <f>Input!$L$6</f>
        <v>0.08</v>
      </c>
    </row>
    <row r="9" spans="1:23" ht="15" customHeight="1" x14ac:dyDescent="0.45">
      <c r="B9" s="90" t="s">
        <v>255</v>
      </c>
      <c r="H9" s="76"/>
      <c r="I9" s="72">
        <f>Input!$L$7</f>
        <v>4.4999999999999998E-2</v>
      </c>
      <c r="J9" s="72">
        <f>Input!$L$7</f>
        <v>4.4999999999999998E-2</v>
      </c>
      <c r="K9" s="72">
        <f>Input!$L$7</f>
        <v>4.4999999999999998E-2</v>
      </c>
      <c r="L9" s="72">
        <f>Input!$L$7</f>
        <v>4.4999999999999998E-2</v>
      </c>
      <c r="M9" s="72">
        <f>Input!$L$7</f>
        <v>4.4999999999999998E-2</v>
      </c>
      <c r="N9" s="72">
        <f>Input!$L$7</f>
        <v>4.4999999999999998E-2</v>
      </c>
      <c r="O9" s="72">
        <f>Input!$L$7</f>
        <v>4.4999999999999998E-2</v>
      </c>
      <c r="P9" s="72">
        <f>Input!$L$7</f>
        <v>4.4999999999999998E-2</v>
      </c>
      <c r="Q9" s="72">
        <f>Input!$L$7</f>
        <v>4.4999999999999998E-2</v>
      </c>
      <c r="R9" s="72">
        <f>Input!$L$7</f>
        <v>4.4999999999999998E-2</v>
      </c>
      <c r="S9" s="72">
        <f>Input!$L$7</f>
        <v>4.4999999999999998E-2</v>
      </c>
      <c r="T9" s="72">
        <f>Input!$L$7</f>
        <v>4.4999999999999998E-2</v>
      </c>
    </row>
    <row r="10" spans="1:23" ht="15" customHeight="1" x14ac:dyDescent="0.45">
      <c r="B10" s="90" t="s">
        <v>220</v>
      </c>
      <c r="H10" s="76"/>
      <c r="I10" s="72">
        <f>Input!$L$8</f>
        <v>4.7500000000000001E-2</v>
      </c>
      <c r="J10" s="72">
        <f>Input!$L$8</f>
        <v>4.7500000000000001E-2</v>
      </c>
      <c r="K10" s="72">
        <f>Input!$L$8</f>
        <v>4.7500000000000001E-2</v>
      </c>
      <c r="L10" s="72">
        <f>Input!$L$8</f>
        <v>4.7500000000000001E-2</v>
      </c>
      <c r="M10" s="72">
        <f>Input!$L$8</f>
        <v>4.7500000000000001E-2</v>
      </c>
      <c r="N10" s="72">
        <f>Input!$L$8</f>
        <v>4.7500000000000001E-2</v>
      </c>
      <c r="O10" s="72">
        <f>Input!$L$8</f>
        <v>4.7500000000000001E-2</v>
      </c>
      <c r="P10" s="72">
        <f>Input!$L$8</f>
        <v>4.7500000000000001E-2</v>
      </c>
      <c r="Q10" s="72">
        <f>Input!$L$8</f>
        <v>4.7500000000000001E-2</v>
      </c>
      <c r="R10" s="72">
        <f>Input!$L$8</f>
        <v>4.7500000000000001E-2</v>
      </c>
      <c r="S10" s="72">
        <f>Input!$L$8</f>
        <v>4.7500000000000001E-2</v>
      </c>
      <c r="T10" s="72">
        <f>Input!$L$8</f>
        <v>4.7500000000000001E-2</v>
      </c>
    </row>
    <row r="11" spans="1:23" ht="15" customHeight="1" x14ac:dyDescent="0.45">
      <c r="B11" s="90" t="s">
        <v>218</v>
      </c>
      <c r="H11" s="76"/>
      <c r="I11" s="72">
        <f>Input!$L$9</f>
        <v>0.08</v>
      </c>
      <c r="J11" s="72">
        <f>Input!$L$9</f>
        <v>0.08</v>
      </c>
      <c r="K11" s="72">
        <f>Input!$L$9</f>
        <v>0.08</v>
      </c>
      <c r="L11" s="72">
        <f>Input!$L$9</f>
        <v>0.08</v>
      </c>
      <c r="M11" s="72">
        <f>Input!$L$9</f>
        <v>0.08</v>
      </c>
      <c r="N11" s="72">
        <f>Input!$L$9</f>
        <v>0.08</v>
      </c>
      <c r="O11" s="72">
        <f>Input!$L$9</f>
        <v>0.08</v>
      </c>
      <c r="P11" s="72">
        <f>Input!$L$9</f>
        <v>0.08</v>
      </c>
      <c r="Q11" s="72">
        <f>Input!$L$9</f>
        <v>0.08</v>
      </c>
      <c r="R11" s="72">
        <f>Input!$L$9</f>
        <v>0.08</v>
      </c>
      <c r="S11" s="72">
        <f>Input!$L$9</f>
        <v>0.08</v>
      </c>
      <c r="T11" s="72">
        <f>Input!$L$9</f>
        <v>0.08</v>
      </c>
    </row>
    <row r="12" spans="1:23" ht="15" customHeight="1" x14ac:dyDescent="0.45">
      <c r="B12" s="90" t="s">
        <v>219</v>
      </c>
      <c r="H12" s="76"/>
      <c r="I12" s="72">
        <f>Input!$L$10</f>
        <v>8.2500000000000004E-2</v>
      </c>
      <c r="J12" s="72">
        <f>Input!$L$10</f>
        <v>8.2500000000000004E-2</v>
      </c>
      <c r="K12" s="72">
        <f>Input!$L$10</f>
        <v>8.2500000000000004E-2</v>
      </c>
      <c r="L12" s="72">
        <f>Input!$L$10</f>
        <v>8.2500000000000004E-2</v>
      </c>
      <c r="M12" s="72">
        <f>Input!$L$10</f>
        <v>8.2500000000000004E-2</v>
      </c>
      <c r="N12" s="72">
        <f>Input!$L$10</f>
        <v>8.2500000000000004E-2</v>
      </c>
      <c r="O12" s="72">
        <f>Input!$L$10</f>
        <v>8.2500000000000004E-2</v>
      </c>
      <c r="P12" s="72">
        <f>Input!$L$10</f>
        <v>8.2500000000000004E-2</v>
      </c>
      <c r="Q12" s="72">
        <f>Input!$L$10</f>
        <v>8.2500000000000004E-2</v>
      </c>
      <c r="R12" s="72">
        <f>Input!$L$10</f>
        <v>8.2500000000000004E-2</v>
      </c>
      <c r="S12" s="72">
        <f>Input!$L$10</f>
        <v>8.2500000000000004E-2</v>
      </c>
      <c r="T12" s="72">
        <f>Input!$L$10</f>
        <v>8.2500000000000004E-2</v>
      </c>
    </row>
    <row r="13" spans="1:23" ht="15" customHeight="1" x14ac:dyDescent="0.45">
      <c r="B13" s="90" t="s">
        <v>120</v>
      </c>
      <c r="H13" s="76"/>
      <c r="I13" s="72">
        <f>Input!$L$11</f>
        <v>0.1</v>
      </c>
      <c r="J13" s="72">
        <f>Input!$L$11</f>
        <v>0.1</v>
      </c>
      <c r="K13" s="72">
        <f>Input!$L$11</f>
        <v>0.1</v>
      </c>
      <c r="L13" s="72">
        <f>Input!$L$11</f>
        <v>0.1</v>
      </c>
      <c r="M13" s="72">
        <f>Input!$L$11</f>
        <v>0.1</v>
      </c>
      <c r="N13" s="72">
        <f>Input!$L$11</f>
        <v>0.1</v>
      </c>
      <c r="O13" s="72">
        <f>Input!$L$11</f>
        <v>0.1</v>
      </c>
      <c r="P13" s="72">
        <f>Input!$L$11</f>
        <v>0.1</v>
      </c>
      <c r="Q13" s="72">
        <f>Input!$L$11</f>
        <v>0.1</v>
      </c>
      <c r="R13" s="72">
        <f>Input!$L$11</f>
        <v>0.1</v>
      </c>
      <c r="S13" s="72">
        <f>Input!$L$11</f>
        <v>0.1</v>
      </c>
      <c r="T13" s="72">
        <f>Input!$L$11</f>
        <v>0.1</v>
      </c>
    </row>
    <row r="14" spans="1:23" ht="15" customHeight="1" x14ac:dyDescent="0.45">
      <c r="H14" s="76"/>
      <c r="I14" s="10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3" ht="15" customHeight="1" x14ac:dyDescent="0.45">
      <c r="A15" s="14" t="s">
        <v>187</v>
      </c>
    </row>
    <row r="16" spans="1:23" ht="15" customHeight="1" x14ac:dyDescent="0.45">
      <c r="B16" s="90" t="s">
        <v>149</v>
      </c>
      <c r="I16" s="77">
        <v>0.25</v>
      </c>
      <c r="J16" s="77">
        <v>0.25</v>
      </c>
      <c r="K16" s="77">
        <v>0.25</v>
      </c>
      <c r="L16" s="77">
        <v>0.25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W16" s="96"/>
    </row>
    <row r="17" spans="1:23" ht="15" customHeight="1" x14ac:dyDescent="0.45">
      <c r="B17" s="90" t="s">
        <v>188</v>
      </c>
      <c r="I17" s="77">
        <v>0</v>
      </c>
      <c r="J17" s="77">
        <v>0</v>
      </c>
      <c r="K17" s="77">
        <v>0</v>
      </c>
      <c r="L17" s="77">
        <v>0</v>
      </c>
      <c r="M17" s="77">
        <v>0.25</v>
      </c>
      <c r="N17" s="77">
        <v>0.25</v>
      </c>
      <c r="O17" s="77">
        <v>0.25</v>
      </c>
      <c r="P17" s="77">
        <v>0.25</v>
      </c>
      <c r="Q17" s="77">
        <v>0</v>
      </c>
      <c r="R17" s="77">
        <v>0</v>
      </c>
      <c r="S17" s="77">
        <v>0</v>
      </c>
      <c r="T17" s="77">
        <v>0</v>
      </c>
      <c r="W17" s="96"/>
    </row>
    <row r="18" spans="1:23" ht="15" customHeight="1" x14ac:dyDescent="0.45">
      <c r="B18" s="90" t="s">
        <v>192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1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W18" s="96"/>
    </row>
    <row r="19" spans="1:23" ht="15" customHeight="1" x14ac:dyDescent="0.45">
      <c r="B19" s="90" t="s">
        <v>191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1</v>
      </c>
      <c r="Q19" s="77">
        <v>0</v>
      </c>
      <c r="R19" s="77">
        <v>0</v>
      </c>
      <c r="S19" s="77">
        <v>0</v>
      </c>
      <c r="T19" s="77">
        <v>0</v>
      </c>
      <c r="W19" s="96"/>
    </row>
    <row r="20" spans="1:23" ht="15" customHeight="1" x14ac:dyDescent="0.45">
      <c r="B20" s="90" t="s">
        <v>219</v>
      </c>
      <c r="H20" s="76"/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1</v>
      </c>
      <c r="R20" s="77">
        <v>0</v>
      </c>
      <c r="S20" s="77">
        <v>0</v>
      </c>
      <c r="T20" s="77">
        <v>0</v>
      </c>
      <c r="W20" s="96"/>
    </row>
    <row r="21" spans="1:23" ht="15" customHeight="1" x14ac:dyDescent="0.45">
      <c r="B21" s="90" t="s">
        <v>120</v>
      </c>
      <c r="H21" s="76"/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1</v>
      </c>
      <c r="S21" s="77">
        <v>0</v>
      </c>
      <c r="T21" s="77">
        <v>0</v>
      </c>
    </row>
    <row r="23" spans="1:23" ht="15" customHeight="1" x14ac:dyDescent="0.45">
      <c r="A23" s="14" t="s">
        <v>145</v>
      </c>
    </row>
    <row r="24" spans="1:23" ht="15" customHeight="1" x14ac:dyDescent="0.45">
      <c r="B24" s="90" t="s">
        <v>146</v>
      </c>
    </row>
    <row r="25" spans="1:23" ht="15" customHeight="1" x14ac:dyDescent="0.45">
      <c r="B25" s="90" t="s">
        <v>60</v>
      </c>
    </row>
    <row r="26" spans="1:23" ht="15" customHeight="1" x14ac:dyDescent="0.45">
      <c r="B26" s="90" t="s">
        <v>91</v>
      </c>
    </row>
    <row r="27" spans="1:23" ht="15" customHeight="1" x14ac:dyDescent="0.45">
      <c r="B27" s="90" t="s">
        <v>97</v>
      </c>
    </row>
    <row r="28" spans="1:23" ht="15" customHeight="1" x14ac:dyDescent="0.45">
      <c r="B28" s="90" t="s">
        <v>103</v>
      </c>
    </row>
    <row r="29" spans="1:23" ht="15" customHeight="1" x14ac:dyDescent="0.45">
      <c r="B29" s="90" t="s">
        <v>104</v>
      </c>
    </row>
    <row r="30" spans="1:23" ht="15" customHeight="1" x14ac:dyDescent="0.45">
      <c r="B30" s="90" t="s">
        <v>105</v>
      </c>
    </row>
    <row r="31" spans="1:23" ht="15" customHeight="1" x14ac:dyDescent="0.45">
      <c r="B31" s="90" t="s">
        <v>106</v>
      </c>
      <c r="I31" s="96"/>
    </row>
    <row r="32" spans="1:23" ht="15" customHeight="1" x14ac:dyDescent="0.45">
      <c r="B32" s="90" t="s">
        <v>90</v>
      </c>
      <c r="I32" s="96"/>
    </row>
    <row r="33" spans="1:20" ht="15" customHeight="1" x14ac:dyDescent="0.45">
      <c r="B33" s="90" t="s">
        <v>168</v>
      </c>
      <c r="I33" s="96"/>
    </row>
    <row r="34" spans="1:20" ht="15" customHeight="1" x14ac:dyDescent="0.45">
      <c r="I34" s="96"/>
    </row>
    <row r="35" spans="1:20" ht="15" customHeight="1" x14ac:dyDescent="0.45">
      <c r="A35" s="14" t="s">
        <v>147</v>
      </c>
      <c r="I35" s="96"/>
    </row>
    <row r="36" spans="1:20" ht="15" customHeight="1" x14ac:dyDescent="0.45">
      <c r="B36" s="90" t="s">
        <v>193</v>
      </c>
      <c r="I36" s="96"/>
    </row>
    <row r="37" spans="1:20" ht="15" customHeight="1" x14ac:dyDescent="0.45">
      <c r="B37" s="90" t="s">
        <v>194</v>
      </c>
      <c r="I37" s="96"/>
    </row>
    <row r="38" spans="1:20" ht="15" customHeight="1" x14ac:dyDescent="0.45">
      <c r="B38" s="90" t="s">
        <v>195</v>
      </c>
      <c r="I38" s="96"/>
    </row>
    <row r="39" spans="1:20" ht="15" customHeight="1" x14ac:dyDescent="0.45">
      <c r="B39" s="90" t="s">
        <v>196</v>
      </c>
      <c r="I39" s="96"/>
    </row>
    <row r="40" spans="1:20" ht="15" customHeight="1" x14ac:dyDescent="0.45">
      <c r="B40" s="90" t="s">
        <v>197</v>
      </c>
      <c r="I40" s="96"/>
    </row>
    <row r="41" spans="1:20" ht="15" customHeight="1" x14ac:dyDescent="0.45">
      <c r="B41" s="90" t="s">
        <v>198</v>
      </c>
      <c r="I41" s="96"/>
    </row>
    <row r="42" spans="1:20" ht="15" customHeight="1" x14ac:dyDescent="0.45">
      <c r="B42" s="90" t="s">
        <v>199</v>
      </c>
      <c r="I42" s="96"/>
    </row>
    <row r="43" spans="1:20" ht="15" customHeight="1" x14ac:dyDescent="0.45">
      <c r="I43" s="96"/>
    </row>
    <row r="44" spans="1:20" ht="15" customHeight="1" x14ac:dyDescent="0.45">
      <c r="B44" s="90" t="s">
        <v>148</v>
      </c>
      <c r="I44" s="96"/>
    </row>
    <row r="45" spans="1:20" ht="15" customHeight="1" x14ac:dyDescent="0.45">
      <c r="B45" s="96" t="s">
        <v>200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</row>
    <row r="46" spans="1:20" ht="15" customHeight="1" x14ac:dyDescent="0.45">
      <c r="I46" s="96"/>
    </row>
    <row r="47" spans="1:20" ht="15" customHeight="1" x14ac:dyDescent="0.45">
      <c r="B47" s="90" t="s">
        <v>201</v>
      </c>
      <c r="I47" s="96"/>
    </row>
    <row r="48" spans="1:20" ht="15" customHeight="1" x14ac:dyDescent="0.45">
      <c r="B48" s="90" t="s">
        <v>202</v>
      </c>
      <c r="I48" s="96"/>
    </row>
    <row r="49" spans="1:20" ht="15" customHeight="1" x14ac:dyDescent="0.45">
      <c r="B49" s="90" t="s">
        <v>203</v>
      </c>
      <c r="I49" s="96"/>
    </row>
    <row r="50" spans="1:20" ht="15" customHeight="1" x14ac:dyDescent="0.45">
      <c r="B50" s="90" t="s">
        <v>204</v>
      </c>
      <c r="I50" s="96"/>
    </row>
    <row r="51" spans="1:20" ht="15" customHeight="1" x14ac:dyDescent="0.45">
      <c r="B51" s="90" t="s">
        <v>205</v>
      </c>
      <c r="I51" s="96"/>
    </row>
    <row r="52" spans="1:20" ht="15" customHeight="1" x14ac:dyDescent="0.45">
      <c r="B52" s="90" t="s">
        <v>221</v>
      </c>
      <c r="I52" s="96"/>
    </row>
    <row r="53" spans="1:20" ht="15" customHeight="1" x14ac:dyDescent="0.45">
      <c r="I53" s="96"/>
    </row>
    <row r="54" spans="1:20" ht="15" customHeight="1" x14ac:dyDescent="0.45">
      <c r="B54" s="90" t="s">
        <v>247</v>
      </c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</row>
    <row r="55" spans="1:20" ht="15" customHeight="1" x14ac:dyDescent="0.45">
      <c r="B55" s="90" t="s">
        <v>95</v>
      </c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</row>
    <row r="56" spans="1:20" ht="15" customHeight="1" x14ac:dyDescent="0.45">
      <c r="B56" s="90" t="s">
        <v>262</v>
      </c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</row>
    <row r="57" spans="1:20" ht="15" customHeight="1" x14ac:dyDescent="0.45">
      <c r="B57" s="90" t="s">
        <v>171</v>
      </c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</row>
    <row r="58" spans="1:20" ht="15" customHeight="1" x14ac:dyDescent="0.45">
      <c r="B58" s="90" t="s">
        <v>263</v>
      </c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</row>
    <row r="59" spans="1:20" ht="15" customHeight="1" x14ac:dyDescent="0.45">
      <c r="I59" s="96"/>
    </row>
    <row r="60" spans="1:20" ht="15" customHeight="1" x14ac:dyDescent="0.45">
      <c r="A60" s="14" t="s">
        <v>115</v>
      </c>
      <c r="I60" s="96"/>
    </row>
    <row r="61" spans="1:20" ht="15" customHeight="1" x14ac:dyDescent="0.45">
      <c r="B61" s="90" t="s">
        <v>214</v>
      </c>
      <c r="I61" s="96"/>
    </row>
    <row r="62" spans="1:20" ht="15" customHeight="1" x14ac:dyDescent="0.45">
      <c r="B62" s="90" t="s">
        <v>144</v>
      </c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</row>
    <row r="63" spans="1:20" ht="15" customHeight="1" x14ac:dyDescent="0.45">
      <c r="B63" s="96" t="s">
        <v>150</v>
      </c>
      <c r="C63" s="99"/>
      <c r="D63" s="96"/>
      <c r="E63" s="96"/>
      <c r="F63" s="96"/>
      <c r="I63" s="96"/>
    </row>
    <row r="64" spans="1:20" ht="15" customHeight="1" x14ac:dyDescent="0.45">
      <c r="B64" s="90" t="s">
        <v>206</v>
      </c>
      <c r="I64" s="96"/>
    </row>
    <row r="65" spans="1:20" ht="15" customHeight="1" x14ac:dyDescent="0.45">
      <c r="B65" s="90" t="s">
        <v>207</v>
      </c>
    </row>
    <row r="67" spans="1:20" ht="15" customHeight="1" x14ac:dyDescent="0.45">
      <c r="B67" s="90" t="s">
        <v>208</v>
      </c>
    </row>
    <row r="68" spans="1:20" ht="15" customHeight="1" x14ac:dyDescent="0.45">
      <c r="B68" s="90" t="s">
        <v>209</v>
      </c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ht="15" customHeight="1" x14ac:dyDescent="0.45">
      <c r="B69" s="90" t="s">
        <v>51</v>
      </c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ht="15" customHeight="1" x14ac:dyDescent="0.45">
      <c r="B70" s="90" t="s">
        <v>48</v>
      </c>
      <c r="C70" s="96"/>
      <c r="D70" s="96"/>
      <c r="E70" s="96"/>
      <c r="F70" s="96"/>
      <c r="G70" s="96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15" customHeight="1" x14ac:dyDescent="0.45">
      <c r="B71" s="90" t="s">
        <v>210</v>
      </c>
      <c r="C71" s="96"/>
      <c r="D71" s="96"/>
      <c r="E71" s="96"/>
      <c r="F71" s="96"/>
      <c r="G71" s="96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</row>
    <row r="72" spans="1:20" ht="15" customHeight="1" x14ac:dyDescent="0.45">
      <c r="B72" s="90" t="s">
        <v>134</v>
      </c>
      <c r="C72" s="96"/>
      <c r="D72" s="96"/>
      <c r="E72" s="96"/>
      <c r="F72" s="96"/>
      <c r="G72" s="96"/>
      <c r="I72" s="96"/>
    </row>
    <row r="73" spans="1:20" ht="15" customHeight="1" x14ac:dyDescent="0.45">
      <c r="B73" s="90" t="s">
        <v>211</v>
      </c>
      <c r="C73" s="96"/>
      <c r="D73" s="96"/>
      <c r="E73" s="96"/>
      <c r="F73" s="96"/>
      <c r="G73" s="96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</row>
    <row r="74" spans="1:20" ht="15" customHeight="1" x14ac:dyDescent="0.45">
      <c r="B74" s="90" t="s">
        <v>212</v>
      </c>
      <c r="C74" s="96"/>
      <c r="D74" s="96"/>
      <c r="E74" s="96"/>
      <c r="F74" s="96"/>
      <c r="G74" s="96"/>
      <c r="I74" s="96"/>
    </row>
    <row r="75" spans="1:20" ht="15" customHeight="1" x14ac:dyDescent="0.45">
      <c r="B75" s="90" t="s">
        <v>213</v>
      </c>
      <c r="C75" s="96"/>
      <c r="D75" s="96"/>
      <c r="E75" s="96"/>
      <c r="F75" s="96"/>
      <c r="G75" s="96"/>
      <c r="I75" s="96"/>
    </row>
    <row r="76" spans="1:20" ht="15" customHeight="1" x14ac:dyDescent="0.45">
      <c r="C76" s="96"/>
      <c r="D76" s="96"/>
      <c r="E76" s="96"/>
      <c r="F76" s="96"/>
      <c r="G76" s="96"/>
      <c r="I76" s="96"/>
    </row>
    <row r="77" spans="1:20" ht="15" customHeight="1" x14ac:dyDescent="0.45">
      <c r="B77" s="90" t="s">
        <v>189</v>
      </c>
      <c r="C77" s="96"/>
      <c r="D77" s="96"/>
      <c r="E77" s="96"/>
      <c r="F77" s="96"/>
      <c r="G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</row>
    <row r="78" spans="1:20" ht="15" customHeight="1" x14ac:dyDescent="0.45">
      <c r="C78" s="96"/>
      <c r="D78" s="96"/>
      <c r="E78" s="96"/>
      <c r="F78" s="96"/>
      <c r="G78" s="96"/>
      <c r="I78" s="96"/>
    </row>
    <row r="79" spans="1:20" s="96" customFormat="1" ht="15" customHeight="1" x14ac:dyDescent="0.45">
      <c r="A79" s="98" t="s">
        <v>33</v>
      </c>
    </row>
    <row r="80" spans="1:20" ht="15" customHeight="1" x14ac:dyDescent="0.45">
      <c r="B80" s="90" t="s">
        <v>214</v>
      </c>
      <c r="C80" s="96"/>
      <c r="D80" s="96"/>
      <c r="E80" s="96"/>
      <c r="F80" s="96"/>
      <c r="G80" s="96"/>
      <c r="I80" s="96"/>
    </row>
    <row r="81" spans="1:20" ht="15" customHeight="1" x14ac:dyDescent="0.45">
      <c r="B81" s="90" t="s">
        <v>116</v>
      </c>
      <c r="C81" s="96"/>
      <c r="D81" s="96"/>
      <c r="E81" s="96"/>
      <c r="F81" s="96"/>
      <c r="G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</row>
    <row r="82" spans="1:20" ht="15" customHeight="1" x14ac:dyDescent="0.45">
      <c r="B82" s="90" t="s">
        <v>206</v>
      </c>
      <c r="C82" s="96"/>
      <c r="D82" s="96"/>
      <c r="E82" s="96"/>
      <c r="F82" s="96"/>
      <c r="G82" s="96"/>
      <c r="H82" s="108"/>
      <c r="I82" s="96"/>
    </row>
    <row r="83" spans="1:20" ht="15" customHeight="1" x14ac:dyDescent="0.45">
      <c r="C83" s="96"/>
      <c r="D83" s="96"/>
      <c r="E83" s="96"/>
      <c r="F83" s="96"/>
      <c r="G83" s="96"/>
      <c r="I83" s="96"/>
    </row>
    <row r="84" spans="1:20" ht="15" customHeight="1" x14ac:dyDescent="0.45">
      <c r="B84" s="90" t="s">
        <v>208</v>
      </c>
      <c r="C84" s="96"/>
      <c r="D84" s="96"/>
      <c r="E84" s="96"/>
      <c r="F84" s="96"/>
      <c r="G84" s="96"/>
      <c r="I84" s="96"/>
    </row>
    <row r="85" spans="1:20" ht="15" customHeight="1" x14ac:dyDescent="0.45">
      <c r="B85" s="90" t="s">
        <v>215</v>
      </c>
      <c r="C85" s="96"/>
      <c r="D85" s="96"/>
      <c r="E85" s="96"/>
      <c r="F85" s="96"/>
      <c r="G85" s="96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</row>
    <row r="86" spans="1:20" ht="15" customHeight="1" x14ac:dyDescent="0.45">
      <c r="B86" s="90" t="s">
        <v>48</v>
      </c>
      <c r="C86" s="96"/>
      <c r="D86" s="96"/>
      <c r="E86" s="96"/>
      <c r="F86" s="96"/>
      <c r="G86" s="96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</row>
    <row r="87" spans="1:20" ht="15" customHeight="1" x14ac:dyDescent="0.45">
      <c r="B87" s="90" t="s">
        <v>210</v>
      </c>
      <c r="C87" s="96"/>
      <c r="D87" s="96"/>
      <c r="E87" s="96"/>
      <c r="F87" s="96"/>
      <c r="G87" s="96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</row>
    <row r="88" spans="1:20" ht="15" customHeight="1" x14ac:dyDescent="0.45">
      <c r="B88" s="90" t="s">
        <v>134</v>
      </c>
      <c r="C88" s="96"/>
      <c r="D88" s="96"/>
      <c r="E88" s="96"/>
      <c r="F88" s="96"/>
      <c r="G88" s="96"/>
      <c r="I88" s="96"/>
    </row>
    <row r="90" spans="1:20" ht="15" customHeight="1" x14ac:dyDescent="0.45">
      <c r="B90" s="90" t="s">
        <v>190</v>
      </c>
    </row>
    <row r="92" spans="1:20" ht="15" customHeight="1" x14ac:dyDescent="0.45">
      <c r="A92" s="14" t="s">
        <v>151</v>
      </c>
      <c r="I92" s="96"/>
      <c r="J92" s="96"/>
      <c r="K92" s="96"/>
      <c r="L92" s="96"/>
      <c r="M92" s="96"/>
    </row>
    <row r="93" spans="1:20" ht="15" customHeight="1" x14ac:dyDescent="0.45">
      <c r="B93" s="90" t="s">
        <v>266</v>
      </c>
      <c r="C93" s="96"/>
      <c r="D93" s="96"/>
      <c r="E93" s="96"/>
      <c r="F93" s="96"/>
      <c r="G93" s="96"/>
      <c r="I93" s="107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</row>
    <row r="94" spans="1:20" ht="15" customHeight="1" x14ac:dyDescent="0.45">
      <c r="B94" s="90" t="s">
        <v>176</v>
      </c>
      <c r="C94" s="96"/>
      <c r="D94" s="96"/>
      <c r="E94" s="96"/>
      <c r="F94" s="96"/>
      <c r="G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</row>
    <row r="95" spans="1:20" ht="15" customHeight="1" x14ac:dyDescent="0.45">
      <c r="B95" s="90" t="s">
        <v>216</v>
      </c>
      <c r="C95" s="96"/>
      <c r="D95" s="96"/>
      <c r="E95" s="96"/>
      <c r="F95" s="96"/>
      <c r="G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</row>
    <row r="96" spans="1:20" ht="15" customHeight="1" x14ac:dyDescent="0.45">
      <c r="B96" s="90" t="s">
        <v>121</v>
      </c>
      <c r="C96" s="96"/>
      <c r="D96" s="96"/>
      <c r="E96" s="96"/>
      <c r="F96" s="96"/>
      <c r="G96" s="96"/>
      <c r="I96" s="107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</row>
    <row r="97" spans="1:29" ht="15" customHeight="1" x14ac:dyDescent="0.45">
      <c r="B97" s="96" t="s">
        <v>258</v>
      </c>
      <c r="C97" s="96"/>
      <c r="D97" s="96"/>
      <c r="E97" s="96"/>
      <c r="F97" s="96"/>
      <c r="G97" s="96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</row>
    <row r="99" spans="1:29" ht="15" customHeight="1" x14ac:dyDescent="0.45">
      <c r="A99" s="14" t="s">
        <v>170</v>
      </c>
    </row>
    <row r="100" spans="1:29" ht="15" customHeight="1" x14ac:dyDescent="0.45">
      <c r="B100" s="90" t="s">
        <v>164</v>
      </c>
      <c r="G100" s="91" t="s">
        <v>122</v>
      </c>
      <c r="H100" s="91" t="s">
        <v>119</v>
      </c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</row>
    <row r="101" spans="1:29" ht="15" customHeight="1" x14ac:dyDescent="0.45">
      <c r="G101" s="92">
        <v>3.5</v>
      </c>
      <c r="H101" s="77">
        <v>0.5</v>
      </c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</row>
    <row r="102" spans="1:29" ht="15" customHeight="1" x14ac:dyDescent="0.45">
      <c r="G102" s="92">
        <v>2.5</v>
      </c>
      <c r="H102" s="77">
        <v>0.25</v>
      </c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</row>
    <row r="103" spans="1:29" ht="15" customHeight="1" x14ac:dyDescent="0.45">
      <c r="G103" s="92">
        <v>0</v>
      </c>
      <c r="H103" s="77">
        <v>0.2</v>
      </c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</row>
    <row r="104" spans="1:29" ht="15" customHeight="1" x14ac:dyDescent="0.45"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</row>
    <row r="105" spans="1:29" ht="15" customHeight="1" x14ac:dyDescent="0.45">
      <c r="B105" s="90" t="s">
        <v>152</v>
      </c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</row>
    <row r="106" spans="1:29" ht="15" customHeight="1" x14ac:dyDescent="0.45"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</row>
    <row r="107" spans="1:29" ht="15" customHeight="1" x14ac:dyDescent="0.45">
      <c r="B107" s="90" t="s">
        <v>175</v>
      </c>
    </row>
    <row r="108" spans="1:29" ht="15" customHeight="1" x14ac:dyDescent="0.45">
      <c r="B108" s="90" t="s">
        <v>173</v>
      </c>
      <c r="W108" s="86"/>
    </row>
    <row r="109" spans="1:29" ht="15" customHeight="1" x14ac:dyDescent="0.45">
      <c r="A109" s="98"/>
      <c r="B109" s="96"/>
      <c r="C109" s="96"/>
      <c r="D109" s="96"/>
      <c r="E109" s="96"/>
      <c r="F109" s="96"/>
      <c r="G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</row>
    <row r="110" spans="1:29" ht="15" customHeight="1" x14ac:dyDescent="0.45">
      <c r="A110" s="14" t="s">
        <v>35</v>
      </c>
      <c r="D110" s="96"/>
      <c r="E110" s="96"/>
      <c r="F110" s="96"/>
      <c r="G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</row>
    <row r="111" spans="1:29" ht="15" customHeight="1" x14ac:dyDescent="0.45">
      <c r="B111" s="90" t="s">
        <v>214</v>
      </c>
      <c r="I111" s="96"/>
    </row>
    <row r="112" spans="1:29" ht="15" customHeight="1" x14ac:dyDescent="0.45">
      <c r="B112" s="90" t="s">
        <v>178</v>
      </c>
      <c r="I112" s="96"/>
    </row>
    <row r="113" spans="1:20" ht="15" customHeight="1" x14ac:dyDescent="0.45">
      <c r="B113" s="90" t="s">
        <v>179</v>
      </c>
      <c r="I113" s="96"/>
      <c r="J113" s="96"/>
    </row>
    <row r="114" spans="1:20" ht="15" customHeight="1" x14ac:dyDescent="0.45">
      <c r="B114" s="90" t="s">
        <v>206</v>
      </c>
      <c r="I114" s="96"/>
    </row>
    <row r="115" spans="1:20" ht="15" customHeight="1" x14ac:dyDescent="0.45">
      <c r="I115" s="96"/>
    </row>
    <row r="116" spans="1:20" ht="15" customHeight="1" x14ac:dyDescent="0.45">
      <c r="B116" s="90" t="s">
        <v>208</v>
      </c>
      <c r="I116" s="96"/>
    </row>
    <row r="117" spans="1:20" ht="15" customHeight="1" x14ac:dyDescent="0.45">
      <c r="B117" s="90" t="s">
        <v>215</v>
      </c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</row>
    <row r="118" spans="1:20" ht="15" customHeight="1" x14ac:dyDescent="0.45">
      <c r="B118" s="90" t="s">
        <v>48</v>
      </c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</row>
    <row r="119" spans="1:20" ht="15" customHeight="1" x14ac:dyDescent="0.45">
      <c r="B119" s="90" t="s">
        <v>210</v>
      </c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</row>
    <row r="120" spans="1:20" ht="15" customHeight="1" x14ac:dyDescent="0.45">
      <c r="B120" s="90" t="s">
        <v>134</v>
      </c>
      <c r="I120" s="96"/>
    </row>
    <row r="121" spans="1:20" ht="15" customHeight="1" x14ac:dyDescent="0.45">
      <c r="I121" s="96"/>
    </row>
    <row r="122" spans="1:20" ht="15" customHeight="1" x14ac:dyDescent="0.45">
      <c r="B122" s="90" t="s">
        <v>174</v>
      </c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</row>
    <row r="123" spans="1:20" ht="15" customHeight="1" x14ac:dyDescent="0.45">
      <c r="I123" s="96"/>
    </row>
    <row r="124" spans="1:20" ht="15" customHeight="1" x14ac:dyDescent="0.45">
      <c r="A124" s="14" t="s">
        <v>36</v>
      </c>
      <c r="I124" s="96"/>
    </row>
    <row r="125" spans="1:20" ht="15" customHeight="1" x14ac:dyDescent="0.45">
      <c r="B125" s="90" t="s">
        <v>214</v>
      </c>
      <c r="I125" s="96"/>
    </row>
    <row r="126" spans="1:20" ht="15" customHeight="1" x14ac:dyDescent="0.45">
      <c r="B126" s="90" t="s">
        <v>178</v>
      </c>
      <c r="I126" s="96"/>
    </row>
    <row r="127" spans="1:20" ht="15" customHeight="1" x14ac:dyDescent="0.45">
      <c r="B127" s="90" t="s">
        <v>179</v>
      </c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</row>
    <row r="128" spans="1:20" ht="15" customHeight="1" x14ac:dyDescent="0.45">
      <c r="B128" s="90" t="s">
        <v>206</v>
      </c>
      <c r="I128" s="96"/>
    </row>
    <row r="129" spans="1:20" ht="15" customHeight="1" x14ac:dyDescent="0.45">
      <c r="I129" s="96"/>
    </row>
    <row r="130" spans="1:20" ht="15" customHeight="1" x14ac:dyDescent="0.45">
      <c r="B130" s="90" t="s">
        <v>208</v>
      </c>
      <c r="I130" s="96"/>
    </row>
    <row r="131" spans="1:20" ht="15" customHeight="1" x14ac:dyDescent="0.45">
      <c r="B131" s="90" t="s">
        <v>215</v>
      </c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</row>
    <row r="132" spans="1:20" ht="15" customHeight="1" x14ac:dyDescent="0.45">
      <c r="B132" s="90" t="s">
        <v>48</v>
      </c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</row>
    <row r="133" spans="1:20" ht="15" customHeight="1" x14ac:dyDescent="0.45">
      <c r="B133" s="90" t="s">
        <v>210</v>
      </c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</row>
    <row r="134" spans="1:20" ht="15" customHeight="1" x14ac:dyDescent="0.45">
      <c r="B134" s="90" t="s">
        <v>134</v>
      </c>
      <c r="I134" s="96"/>
    </row>
    <row r="135" spans="1:20" ht="15" customHeight="1" x14ac:dyDescent="0.45">
      <c r="I135" s="96"/>
    </row>
    <row r="136" spans="1:20" ht="15" customHeight="1" x14ac:dyDescent="0.45">
      <c r="A136" s="14" t="s">
        <v>37</v>
      </c>
      <c r="I136" s="96"/>
    </row>
    <row r="137" spans="1:20" ht="15" customHeight="1" x14ac:dyDescent="0.45">
      <c r="B137" s="90" t="s">
        <v>214</v>
      </c>
      <c r="I137" s="96"/>
    </row>
    <row r="138" spans="1:20" s="96" customFormat="1" ht="15" customHeight="1" x14ac:dyDescent="0.45">
      <c r="A138" s="98"/>
      <c r="B138" s="96" t="s">
        <v>153</v>
      </c>
    </row>
    <row r="139" spans="1:20" ht="15" customHeight="1" x14ac:dyDescent="0.45">
      <c r="B139" s="90" t="s">
        <v>206</v>
      </c>
      <c r="C139" s="96"/>
      <c r="D139" s="96"/>
      <c r="E139" s="96"/>
      <c r="F139" s="96"/>
      <c r="G139" s="96"/>
      <c r="I139" s="96"/>
    </row>
    <row r="140" spans="1:20" ht="15" customHeight="1" x14ac:dyDescent="0.45">
      <c r="I140" s="96"/>
    </row>
    <row r="141" spans="1:20" ht="15" customHeight="1" x14ac:dyDescent="0.45">
      <c r="B141" s="90" t="s">
        <v>208</v>
      </c>
      <c r="I141" s="96"/>
    </row>
    <row r="142" spans="1:20" ht="15" customHeight="1" x14ac:dyDescent="0.45">
      <c r="B142" s="90" t="s">
        <v>210</v>
      </c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</row>
    <row r="143" spans="1:20" ht="15" customHeight="1" x14ac:dyDescent="0.45">
      <c r="B143" s="90" t="s">
        <v>134</v>
      </c>
      <c r="I143" s="96"/>
    </row>
    <row r="144" spans="1:20" ht="15" customHeight="1" x14ac:dyDescent="0.45">
      <c r="I144" s="96"/>
    </row>
    <row r="145" spans="1:20" ht="15" customHeight="1" x14ac:dyDescent="0.45">
      <c r="A145" s="14" t="s">
        <v>38</v>
      </c>
      <c r="I145" s="96"/>
    </row>
    <row r="146" spans="1:20" ht="15" customHeight="1" x14ac:dyDescent="0.45">
      <c r="B146" s="90" t="s">
        <v>214</v>
      </c>
      <c r="I146" s="96"/>
    </row>
    <row r="147" spans="1:20" ht="15" customHeight="1" x14ac:dyDescent="0.45">
      <c r="B147" s="90" t="s">
        <v>177</v>
      </c>
      <c r="I147" s="96"/>
    </row>
    <row r="148" spans="1:20" ht="15" customHeight="1" x14ac:dyDescent="0.45">
      <c r="B148" s="90" t="s">
        <v>153</v>
      </c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</row>
    <row r="149" spans="1:20" ht="15" customHeight="1" x14ac:dyDescent="0.45">
      <c r="B149" s="90" t="s">
        <v>206</v>
      </c>
      <c r="I149" s="96"/>
    </row>
    <row r="150" spans="1:20" ht="15" customHeight="1" x14ac:dyDescent="0.45">
      <c r="I150" s="96"/>
    </row>
    <row r="151" spans="1:20" ht="15" customHeight="1" x14ac:dyDescent="0.45">
      <c r="B151" s="90" t="s">
        <v>217</v>
      </c>
      <c r="I151" s="96"/>
    </row>
    <row r="152" spans="1:20" ht="15" customHeight="1" x14ac:dyDescent="0.45">
      <c r="B152" s="90" t="s">
        <v>210</v>
      </c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</row>
    <row r="153" spans="1:20" ht="15" customHeight="1" x14ac:dyDescent="0.45">
      <c r="B153" s="90" t="s">
        <v>134</v>
      </c>
      <c r="I153" s="96"/>
    </row>
    <row r="154" spans="1:20" ht="15" customHeight="1" x14ac:dyDescent="0.45">
      <c r="I154" s="96"/>
    </row>
    <row r="155" spans="1:20" ht="15" customHeight="1" x14ac:dyDescent="0.45">
      <c r="A155" s="14" t="s">
        <v>34</v>
      </c>
      <c r="I155" s="96"/>
    </row>
    <row r="156" spans="1:20" ht="15" customHeight="1" x14ac:dyDescent="0.45">
      <c r="B156" s="90" t="s">
        <v>214</v>
      </c>
      <c r="I156" s="96"/>
    </row>
    <row r="157" spans="1:20" ht="15" customHeight="1" x14ac:dyDescent="0.45">
      <c r="B157" s="90" t="s">
        <v>144</v>
      </c>
      <c r="I157" s="96"/>
    </row>
    <row r="158" spans="1:20" ht="15" customHeight="1" x14ac:dyDescent="0.45">
      <c r="B158" s="90" t="s">
        <v>153</v>
      </c>
      <c r="I158" s="96"/>
    </row>
    <row r="159" spans="1:20" ht="15" customHeight="1" x14ac:dyDescent="0.45">
      <c r="B159" s="90" t="s">
        <v>206</v>
      </c>
      <c r="I159" s="96"/>
    </row>
    <row r="160" spans="1:20" s="96" customFormat="1" ht="15" customHeight="1" x14ac:dyDescent="0.45">
      <c r="A160" s="98"/>
      <c r="B160" s="96" t="s">
        <v>207</v>
      </c>
    </row>
    <row r="161" spans="1:22" ht="15" customHeight="1" x14ac:dyDescent="0.45">
      <c r="I161" s="96"/>
      <c r="V161" s="96"/>
    </row>
    <row r="162" spans="1:22" ht="15" customHeight="1" x14ac:dyDescent="0.45">
      <c r="A162" s="106"/>
      <c r="B162" s="90" t="s">
        <v>208</v>
      </c>
      <c r="I162" s="96"/>
      <c r="V162" s="96"/>
    </row>
    <row r="163" spans="1:22" s="96" customFormat="1" ht="15" customHeight="1" x14ac:dyDescent="0.45">
      <c r="A163" s="98"/>
      <c r="B163" s="96" t="s">
        <v>209</v>
      </c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</row>
    <row r="164" spans="1:22" s="96" customFormat="1" ht="15" customHeight="1" x14ac:dyDescent="0.45">
      <c r="A164" s="98"/>
      <c r="B164" s="96" t="s">
        <v>51</v>
      </c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</row>
    <row r="165" spans="1:22" s="96" customFormat="1" ht="15" customHeight="1" x14ac:dyDescent="0.45">
      <c r="A165" s="98"/>
      <c r="B165" s="96" t="s">
        <v>48</v>
      </c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</row>
    <row r="166" spans="1:22" s="96" customFormat="1" ht="15" customHeight="1" x14ac:dyDescent="0.45">
      <c r="A166" s="98"/>
      <c r="B166" s="96" t="s">
        <v>210</v>
      </c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</row>
    <row r="167" spans="1:22" ht="15" customHeight="1" x14ac:dyDescent="0.45">
      <c r="B167" s="90" t="s">
        <v>134</v>
      </c>
      <c r="I167" s="96"/>
    </row>
    <row r="168" spans="1:22" ht="15" customHeight="1" x14ac:dyDescent="0.45">
      <c r="B168" s="90" t="s">
        <v>211</v>
      </c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</row>
    <row r="169" spans="1:22" ht="15" customHeight="1" x14ac:dyDescent="0.45">
      <c r="B169" s="90" t="s">
        <v>212</v>
      </c>
      <c r="I169" s="96"/>
    </row>
    <row r="170" spans="1:22" ht="15" customHeight="1" x14ac:dyDescent="0.45">
      <c r="B170" s="90" t="s">
        <v>213</v>
      </c>
      <c r="I170" s="96"/>
    </row>
    <row r="171" spans="1:22" ht="15" customHeight="1" x14ac:dyDescent="0.45"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</row>
    <row r="172" spans="1:22" ht="15" customHeight="1" x14ac:dyDescent="0.45">
      <c r="A172" s="14" t="s">
        <v>161</v>
      </c>
      <c r="I172" s="96"/>
    </row>
    <row r="173" spans="1:22" ht="15" customHeight="1" x14ac:dyDescent="0.45">
      <c r="B173" s="90" t="s">
        <v>124</v>
      </c>
      <c r="I173" s="96"/>
    </row>
    <row r="174" spans="1:22" s="96" customFormat="1" ht="15" customHeight="1" x14ac:dyDescent="0.45">
      <c r="A174" s="98"/>
      <c r="B174" s="96" t="s">
        <v>59</v>
      </c>
    </row>
    <row r="175" spans="1:22" ht="15" customHeight="1" x14ac:dyDescent="0.45">
      <c r="B175" s="90" t="s">
        <v>222</v>
      </c>
      <c r="C175" s="96"/>
      <c r="D175" s="96"/>
      <c r="E175" s="96"/>
      <c r="F175" s="96"/>
      <c r="G175" s="96"/>
      <c r="I175" s="96"/>
    </row>
    <row r="176" spans="1:22" ht="15" customHeight="1" x14ac:dyDescent="0.45">
      <c r="I176" s="96"/>
    </row>
    <row r="177" spans="1:35" ht="15" customHeight="1" x14ac:dyDescent="0.45">
      <c r="A177" s="14" t="s">
        <v>162</v>
      </c>
      <c r="I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</row>
    <row r="178" spans="1:35" ht="15" customHeight="1" x14ac:dyDescent="0.45">
      <c r="B178" s="90" t="s">
        <v>115</v>
      </c>
      <c r="I178" s="96"/>
      <c r="X178" s="96"/>
    </row>
    <row r="179" spans="1:35" ht="15" customHeight="1" x14ac:dyDescent="0.45">
      <c r="B179" s="90" t="s">
        <v>33</v>
      </c>
      <c r="I179" s="96"/>
      <c r="X179" s="96"/>
    </row>
    <row r="180" spans="1:35" ht="15" customHeight="1" x14ac:dyDescent="0.45">
      <c r="B180" s="90" t="s">
        <v>160</v>
      </c>
      <c r="I180" s="96"/>
      <c r="X180" s="96"/>
    </row>
    <row r="181" spans="1:35" ht="15" customHeight="1" x14ac:dyDescent="0.45">
      <c r="B181" s="90" t="s">
        <v>220</v>
      </c>
      <c r="I181" s="96"/>
    </row>
    <row r="182" spans="1:35" ht="15" customHeight="1" x14ac:dyDescent="0.45">
      <c r="B182" s="90" t="s">
        <v>218</v>
      </c>
      <c r="I182" s="96"/>
    </row>
    <row r="183" spans="1:35" ht="15" customHeight="1" x14ac:dyDescent="0.45">
      <c r="B183" s="90" t="s">
        <v>219</v>
      </c>
      <c r="I183" s="96"/>
    </row>
    <row r="184" spans="1:35" ht="15" customHeight="1" x14ac:dyDescent="0.45">
      <c r="B184" s="90" t="s">
        <v>38</v>
      </c>
      <c r="I184" s="96"/>
    </row>
    <row r="185" spans="1:35" ht="15" customHeight="1" x14ac:dyDescent="0.45">
      <c r="B185" s="90" t="s">
        <v>163</v>
      </c>
      <c r="I185" s="96"/>
    </row>
    <row r="187" spans="1:35" ht="15" customHeight="1" x14ac:dyDescent="0.45">
      <c r="A187" s="14" t="s">
        <v>180</v>
      </c>
      <c r="I187" s="96"/>
    </row>
    <row r="188" spans="1:35" ht="15" customHeight="1" x14ac:dyDescent="0.45">
      <c r="B188" s="90" t="s">
        <v>168</v>
      </c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</row>
    <row r="189" spans="1:35" ht="15" customHeight="1" x14ac:dyDescent="0.45">
      <c r="B189" s="90" t="s">
        <v>169</v>
      </c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</row>
    <row r="190" spans="1:35" ht="15" customHeight="1" x14ac:dyDescent="0.45">
      <c r="B190" s="90" t="s">
        <v>221</v>
      </c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</row>
    <row r="191" spans="1:35" ht="15" customHeight="1" x14ac:dyDescent="0.45">
      <c r="B191" s="90" t="s">
        <v>181</v>
      </c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</row>
    <row r="192" spans="1:35" ht="15" customHeight="1" x14ac:dyDescent="0.45">
      <c r="B192" s="90" t="s">
        <v>182</v>
      </c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</row>
    <row r="193" spans="1:20" ht="15" customHeight="1" x14ac:dyDescent="0.45">
      <c r="B193" s="90" t="s">
        <v>183</v>
      </c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</row>
    <row r="194" spans="1:20" ht="15" customHeight="1" x14ac:dyDescent="0.45">
      <c r="B194" s="90" t="s">
        <v>184</v>
      </c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</row>
    <row r="195" spans="1:20" ht="15" customHeight="1" x14ac:dyDescent="0.45">
      <c r="B195" s="90" t="s">
        <v>185</v>
      </c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</row>
    <row r="196" spans="1:20" ht="15" customHeight="1" x14ac:dyDescent="0.45">
      <c r="B196" s="90" t="s">
        <v>96</v>
      </c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</row>
    <row r="197" spans="1:20" ht="15" customHeight="1" x14ac:dyDescent="0.45"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</row>
    <row r="198" spans="1:20" ht="15" customHeight="1" x14ac:dyDescent="0.45">
      <c r="B198" s="90" t="s">
        <v>95</v>
      </c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</row>
    <row r="199" spans="1:20" ht="15" customHeight="1" x14ac:dyDescent="0.45">
      <c r="B199" s="90" t="s">
        <v>96</v>
      </c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</row>
    <row r="200" spans="1:20" ht="15" customHeight="1" x14ac:dyDescent="0.45">
      <c r="B200" s="90" t="s">
        <v>186</v>
      </c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</row>
    <row r="202" spans="1:20" ht="15" customHeight="1" x14ac:dyDescent="0.45">
      <c r="A202" s="14" t="s">
        <v>261</v>
      </c>
    </row>
    <row r="204" spans="1:20" ht="15" customHeight="1" x14ac:dyDescent="0.45">
      <c r="B204" s="90" t="s">
        <v>95</v>
      </c>
      <c r="C204" s="96"/>
      <c r="D204" s="96"/>
      <c r="E204" s="96"/>
      <c r="F204" s="96"/>
    </row>
    <row r="205" spans="1:20" ht="15" customHeight="1" x14ac:dyDescent="0.45">
      <c r="B205" s="64" t="s">
        <v>248</v>
      </c>
      <c r="C205" s="96"/>
      <c r="D205" s="96"/>
      <c r="E205" s="96"/>
      <c r="F205" s="96"/>
    </row>
    <row r="206" spans="1:20" ht="15" customHeight="1" x14ac:dyDescent="0.45">
      <c r="B206" s="64" t="s">
        <v>249</v>
      </c>
      <c r="C206" s="96"/>
      <c r="D206" s="96"/>
      <c r="E206" s="96"/>
      <c r="F206" s="96"/>
    </row>
    <row r="207" spans="1:20" ht="15" customHeight="1" x14ac:dyDescent="0.45">
      <c r="B207" s="64" t="s">
        <v>250</v>
      </c>
      <c r="C207" s="96"/>
      <c r="D207" s="96"/>
      <c r="E207" s="96"/>
      <c r="F207" s="96"/>
    </row>
    <row r="208" spans="1:20" ht="15" customHeight="1" x14ac:dyDescent="0.45">
      <c r="B208" s="90" t="s">
        <v>186</v>
      </c>
      <c r="C208" s="96"/>
      <c r="D208" s="96"/>
      <c r="E208" s="96"/>
      <c r="F208" s="96"/>
    </row>
    <row r="209" spans="1:6" ht="15" customHeight="1" x14ac:dyDescent="0.45">
      <c r="C209" s="96"/>
      <c r="D209" s="96"/>
      <c r="E209" s="96"/>
      <c r="F209" s="96"/>
    </row>
    <row r="210" spans="1:6" ht="15" customHeight="1" x14ac:dyDescent="0.45">
      <c r="A210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846E1-96C8-4015-8630-80D4774433F0}">
  <sheetPr>
    <tabColor rgb="FFFFC000"/>
  </sheetPr>
  <dimension ref="A1:T19"/>
  <sheetViews>
    <sheetView zoomScaleNormal="100" workbookViewId="0">
      <pane xSplit="2" ySplit="2" topLeftCell="C3" activePane="bottomRight" state="frozen"/>
      <selection activeCell="N10" sqref="N10:Q10"/>
      <selection pane="topRight" activeCell="N10" sqref="N10:Q10"/>
      <selection pane="bottomLeft" activeCell="N10" sqref="N10:Q10"/>
      <selection pane="bottomRight"/>
    </sheetView>
  </sheetViews>
  <sheetFormatPr defaultColWidth="9.1328125" defaultRowHeight="15" customHeight="1" x14ac:dyDescent="0.45"/>
  <cols>
    <col min="1" max="1" width="1.46484375" style="14" customWidth="1"/>
    <col min="2" max="2" width="43.6640625" style="90" customWidth="1"/>
    <col min="3" max="30" width="10.6640625" style="90" customWidth="1"/>
    <col min="31" max="16384" width="9.1328125" style="90"/>
  </cols>
  <sheetData>
    <row r="1" spans="1:20" s="88" customFormat="1" ht="45" customHeight="1" x14ac:dyDescent="0.85">
      <c r="A1" s="5" t="str">
        <f>Welcome!A2</f>
        <v>Advanced LBO Modeling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89" customFormat="1" ht="30" customHeight="1" x14ac:dyDescent="0.65">
      <c r="A2" s="13" t="s">
        <v>154</v>
      </c>
      <c r="B2" s="10"/>
      <c r="C2" s="74">
        <v>42369</v>
      </c>
      <c r="D2" s="74">
        <f>EDATE(C2,12)</f>
        <v>42735</v>
      </c>
      <c r="E2" s="74">
        <f>EDATE(D2,12)</f>
        <v>43100</v>
      </c>
      <c r="F2" s="75" t="s">
        <v>107</v>
      </c>
      <c r="G2" s="75" t="s">
        <v>108</v>
      </c>
      <c r="H2" s="75" t="s">
        <v>109</v>
      </c>
      <c r="I2" s="74">
        <f>EDATE(E2,12)</f>
        <v>43465</v>
      </c>
      <c r="J2" s="74">
        <f>EDATE(I2,12)</f>
        <v>43830</v>
      </c>
      <c r="K2" s="74">
        <f t="shared" ref="K2:T2" si="0">EDATE(J2,12)</f>
        <v>44196</v>
      </c>
      <c r="L2" s="74">
        <f t="shared" si="0"/>
        <v>44561</v>
      </c>
      <c r="M2" s="74">
        <f t="shared" si="0"/>
        <v>44926</v>
      </c>
      <c r="N2" s="74">
        <f t="shared" si="0"/>
        <v>45291</v>
      </c>
      <c r="O2" s="74">
        <f t="shared" si="0"/>
        <v>45657</v>
      </c>
      <c r="P2" s="74">
        <f t="shared" si="0"/>
        <v>46022</v>
      </c>
      <c r="Q2" s="74">
        <f t="shared" si="0"/>
        <v>46387</v>
      </c>
      <c r="R2" s="74">
        <f t="shared" si="0"/>
        <v>46752</v>
      </c>
      <c r="S2" s="74">
        <f t="shared" si="0"/>
        <v>47118</v>
      </c>
      <c r="T2" s="74">
        <f t="shared" si="0"/>
        <v>47483</v>
      </c>
    </row>
    <row r="3" spans="1:20" ht="15" customHeight="1" x14ac:dyDescent="0.45">
      <c r="A3" s="90"/>
    </row>
    <row r="4" spans="1:20" ht="15" customHeight="1" x14ac:dyDescent="0.45">
      <c r="A4" s="90"/>
      <c r="B4" s="90" t="s">
        <v>39</v>
      </c>
    </row>
    <row r="5" spans="1:20" ht="15" customHeight="1" x14ac:dyDescent="0.45">
      <c r="A5" s="90"/>
      <c r="B5" s="90" t="s">
        <v>239</v>
      </c>
    </row>
    <row r="6" spans="1:20" ht="15" customHeight="1" x14ac:dyDescent="0.45">
      <c r="A6" s="90"/>
      <c r="B6" s="96" t="s">
        <v>63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s="96" customFormat="1" ht="15" customHeight="1" x14ac:dyDescent="0.45">
      <c r="B7" s="96" t="s">
        <v>163</v>
      </c>
    </row>
    <row r="8" spans="1:20" ht="15" customHeight="1" x14ac:dyDescent="0.45">
      <c r="A8" s="90"/>
      <c r="B8" s="90" t="s">
        <v>42</v>
      </c>
    </row>
    <row r="9" spans="1:20" ht="15" customHeight="1" x14ac:dyDescent="0.45">
      <c r="A9" s="90"/>
    </row>
    <row r="10" spans="1:20" ht="15" customHeight="1" x14ac:dyDescent="0.45">
      <c r="A10" s="90"/>
      <c r="B10" s="90" t="s">
        <v>26</v>
      </c>
      <c r="H10" s="65">
        <f>Input!C5</f>
        <v>43373</v>
      </c>
      <c r="I10" s="65">
        <f>I2</f>
        <v>43465</v>
      </c>
      <c r="J10" s="65">
        <f t="shared" ref="J10:T10" si="1">J2</f>
        <v>43830</v>
      </c>
      <c r="K10" s="65">
        <f t="shared" si="1"/>
        <v>44196</v>
      </c>
      <c r="L10" s="65">
        <f t="shared" si="1"/>
        <v>44561</v>
      </c>
      <c r="M10" s="65">
        <f t="shared" si="1"/>
        <v>44926</v>
      </c>
      <c r="N10" s="65">
        <f t="shared" si="1"/>
        <v>45291</v>
      </c>
      <c r="O10" s="65">
        <f t="shared" si="1"/>
        <v>45657</v>
      </c>
      <c r="P10" s="65">
        <f t="shared" si="1"/>
        <v>46022</v>
      </c>
      <c r="Q10" s="65">
        <f t="shared" si="1"/>
        <v>46387</v>
      </c>
      <c r="R10" s="65">
        <f t="shared" si="1"/>
        <v>46752</v>
      </c>
      <c r="S10" s="65">
        <f t="shared" si="1"/>
        <v>47118</v>
      </c>
      <c r="T10" s="65">
        <f t="shared" si="1"/>
        <v>47483</v>
      </c>
    </row>
    <row r="11" spans="1:20" ht="15" customHeight="1" x14ac:dyDescent="0.45">
      <c r="A11" s="90"/>
      <c r="B11" s="90" t="s">
        <v>30</v>
      </c>
      <c r="H11" s="65"/>
      <c r="I11" s="65"/>
    </row>
    <row r="12" spans="1:20" ht="15" customHeight="1" x14ac:dyDescent="0.45">
      <c r="A12" s="90"/>
      <c r="B12" s="90" t="s">
        <v>155</v>
      </c>
      <c r="I12" s="76">
        <v>0</v>
      </c>
    </row>
    <row r="13" spans="1:20" ht="15" customHeight="1" x14ac:dyDescent="0.45">
      <c r="A13" s="90"/>
      <c r="B13" s="90" t="s">
        <v>156</v>
      </c>
      <c r="H13" s="72"/>
    </row>
    <row r="14" spans="1:20" ht="15" customHeight="1" x14ac:dyDescent="0.45">
      <c r="A14" s="90"/>
    </row>
    <row r="15" spans="1:20" s="85" customFormat="1" ht="15" customHeight="1" x14ac:dyDescent="0.45">
      <c r="B15" s="85" t="s">
        <v>251</v>
      </c>
    </row>
    <row r="16" spans="1:20" ht="15" customHeight="1" x14ac:dyDescent="0.45">
      <c r="A16" s="90"/>
      <c r="B16" s="90" t="s">
        <v>157</v>
      </c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</row>
    <row r="17" spans="1:8" ht="15" customHeight="1" x14ac:dyDescent="0.45">
      <c r="A17" s="90"/>
      <c r="B17" s="90" t="s">
        <v>158</v>
      </c>
      <c r="H17" s="72"/>
    </row>
    <row r="18" spans="1:8" ht="15" customHeight="1" x14ac:dyDescent="0.45">
      <c r="A18" s="90"/>
    </row>
    <row r="19" spans="1:8" ht="15" customHeight="1" x14ac:dyDescent="0.45">
      <c r="A19" s="14" t="s">
        <v>165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Welcome</vt:lpstr>
      <vt:lpstr>Info</vt:lpstr>
      <vt:lpstr>Input</vt:lpstr>
      <vt:lpstr>Model</vt:lpstr>
      <vt:lpstr>Deal_Date</vt:lpstr>
      <vt:lpstr>Deal_Model</vt:lpstr>
      <vt:lpstr>Debt_Schedule</vt:lpstr>
      <vt:lpstr>Returns</vt:lpstr>
      <vt:lpstr>Postdeal_Percent</vt:lpstr>
      <vt:lpstr>Predeal_Percent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Edge</dc:creator>
  <cp:lastModifiedBy>Financial Edge</cp:lastModifiedBy>
  <cp:lastPrinted>2016-02-04T14:08:33Z</cp:lastPrinted>
  <dcterms:created xsi:type="dcterms:W3CDTF">2016-02-03T14:06:14Z</dcterms:created>
  <dcterms:modified xsi:type="dcterms:W3CDTF">2019-11-18T15:25:22Z</dcterms:modified>
</cp:coreProperties>
</file>