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hris\Google Drive\Credit Analysis for Lenders\Online\5. Debt Capacity\Models\"/>
    </mc:Choice>
  </mc:AlternateContent>
  <xr:revisionPtr revIDLastSave="0" documentId="13_ncr:1_{5E0D25BB-B7E1-496E-87EC-65E1189F7CAE}" xr6:coauthVersionLast="45" xr6:coauthVersionMax="45" xr10:uidLastSave="{00000000-0000-0000-0000-000000000000}"/>
  <bookViews>
    <workbookView xWindow="-10" yWindow="0" windowWidth="18070" windowHeight="10740" xr2:uid="{00000000-000D-0000-FFFF-FFFF00000000}"/>
  </bookViews>
  <sheets>
    <sheet name="Welcome" sheetId="1" r:id="rId1"/>
    <sheet name="Info" sheetId="6" r:id="rId2"/>
    <sheet name="3 Statement Model" sheetId="2" r:id="rId3"/>
    <sheet name="Ratios" sheetId="7" r:id="rId4"/>
    <sheet name="Debt capacity- TLA" sheetId="9" r:id="rId5"/>
    <sheet name="Debt capacity- TLA &amp; B" sheetId="10" state="hidden" r:id="rId6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7" l="1"/>
  <c r="A2" i="2"/>
  <c r="A2" i="9" s="1"/>
  <c r="F2" i="9" l="1"/>
  <c r="G2" i="9" s="1"/>
  <c r="H2" i="9" s="1"/>
  <c r="I2" i="9" s="1"/>
  <c r="J2" i="9" s="1"/>
  <c r="K2" i="9" s="1"/>
  <c r="L2" i="9" s="1"/>
  <c r="M2" i="9" s="1"/>
  <c r="N2" i="9" s="1"/>
  <c r="O2" i="9" s="1"/>
  <c r="F2" i="10"/>
  <c r="G2" i="10" s="1"/>
  <c r="H2" i="10" s="1"/>
  <c r="I2" i="10" s="1"/>
  <c r="J2" i="10" s="1"/>
  <c r="K2" i="10" s="1"/>
  <c r="L2" i="10" s="1"/>
  <c r="M2" i="10" s="1"/>
  <c r="N2" i="10" s="1"/>
  <c r="O2" i="10" s="1"/>
  <c r="B12" i="10" l="1"/>
  <c r="B11" i="10"/>
  <c r="B10" i="10"/>
  <c r="B4" i="10"/>
  <c r="B2" i="10" s="1"/>
  <c r="A1" i="10"/>
  <c r="B9" i="9"/>
  <c r="B10" i="9"/>
  <c r="B8" i="9"/>
  <c r="A1" i="9" l="1"/>
  <c r="A1" i="7"/>
  <c r="G23" i="2"/>
  <c r="H23" i="2"/>
  <c r="I23" i="2"/>
  <c r="J23" i="2"/>
  <c r="K23" i="2"/>
  <c r="L23" i="2"/>
  <c r="M23" i="2"/>
  <c r="N23" i="2"/>
  <c r="O23" i="2"/>
  <c r="F23" i="2"/>
  <c r="G17" i="2"/>
  <c r="H17" i="2"/>
  <c r="I17" i="2"/>
  <c r="J17" i="2"/>
  <c r="K17" i="2"/>
  <c r="L17" i="2"/>
  <c r="M17" i="2"/>
  <c r="N17" i="2"/>
  <c r="O17" i="2"/>
  <c r="F17" i="2"/>
  <c r="F11" i="2"/>
  <c r="G11" i="2"/>
  <c r="H11" i="2"/>
  <c r="I11" i="2"/>
  <c r="J11" i="2"/>
  <c r="K11" i="2"/>
  <c r="L11" i="2"/>
  <c r="M11" i="2"/>
  <c r="N11" i="2"/>
  <c r="O11" i="2"/>
  <c r="D227" i="2" l="1"/>
  <c r="D228" i="2"/>
  <c r="C228" i="2"/>
  <c r="C227" i="2"/>
  <c r="D255" i="2"/>
  <c r="D20" i="7" s="1"/>
  <c r="E255" i="2"/>
  <c r="E20" i="7" s="1"/>
  <c r="C255" i="2"/>
  <c r="C20" i="7" s="1"/>
  <c r="E240" i="2"/>
  <c r="E5" i="7" s="1"/>
  <c r="E241" i="2"/>
  <c r="E6" i="7" s="1"/>
  <c r="D241" i="2"/>
  <c r="D6" i="7" s="1"/>
  <c r="D240" i="2"/>
  <c r="D5" i="7" s="1"/>
  <c r="G206" i="2"/>
  <c r="H206" i="2"/>
  <c r="I206" i="2"/>
  <c r="J206" i="2"/>
  <c r="K206" i="2"/>
  <c r="L206" i="2"/>
  <c r="M206" i="2"/>
  <c r="N206" i="2"/>
  <c r="O206" i="2"/>
  <c r="G212" i="2"/>
  <c r="H212" i="2"/>
  <c r="I212" i="2"/>
  <c r="J212" i="2"/>
  <c r="K212" i="2"/>
  <c r="L212" i="2"/>
  <c r="M212" i="2"/>
  <c r="N212" i="2"/>
  <c r="O212" i="2"/>
  <c r="G216" i="2"/>
  <c r="H216" i="2"/>
  <c r="I216" i="2"/>
  <c r="J216" i="2"/>
  <c r="K216" i="2"/>
  <c r="L216" i="2"/>
  <c r="M216" i="2"/>
  <c r="N216" i="2"/>
  <c r="O216" i="2"/>
  <c r="G218" i="2"/>
  <c r="H218" i="2"/>
  <c r="I218" i="2"/>
  <c r="J218" i="2"/>
  <c r="K218" i="2"/>
  <c r="L218" i="2"/>
  <c r="M218" i="2"/>
  <c r="N218" i="2"/>
  <c r="O218" i="2"/>
  <c r="G222" i="2"/>
  <c r="H222" i="2"/>
  <c r="I222" i="2"/>
  <c r="J222" i="2"/>
  <c r="K222" i="2"/>
  <c r="L222" i="2"/>
  <c r="M222" i="2"/>
  <c r="N222" i="2"/>
  <c r="O222" i="2"/>
  <c r="G224" i="2"/>
  <c r="H224" i="2"/>
  <c r="I224" i="2"/>
  <c r="J224" i="2"/>
  <c r="K224" i="2"/>
  <c r="L224" i="2"/>
  <c r="M224" i="2"/>
  <c r="N224" i="2"/>
  <c r="O224" i="2"/>
  <c r="G234" i="2"/>
  <c r="H234" i="2"/>
  <c r="I234" i="2"/>
  <c r="J234" i="2"/>
  <c r="K234" i="2"/>
  <c r="L234" i="2"/>
  <c r="M234" i="2"/>
  <c r="N234" i="2"/>
  <c r="O234" i="2"/>
  <c r="G99" i="2"/>
  <c r="G174" i="2" s="1"/>
  <c r="H99" i="2"/>
  <c r="H174" i="2" s="1"/>
  <c r="I99" i="2"/>
  <c r="I174" i="2" s="1"/>
  <c r="J99" i="2"/>
  <c r="J174" i="2" s="1"/>
  <c r="K99" i="2"/>
  <c r="L99" i="2"/>
  <c r="L174" i="2" s="1"/>
  <c r="M99" i="2"/>
  <c r="M174" i="2" s="1"/>
  <c r="N99" i="2"/>
  <c r="N174" i="2" s="1"/>
  <c r="O99" i="2"/>
  <c r="O174" i="2" s="1"/>
  <c r="G100" i="2"/>
  <c r="H100" i="2"/>
  <c r="I100" i="2"/>
  <c r="J100" i="2"/>
  <c r="K100" i="2"/>
  <c r="L100" i="2"/>
  <c r="M100" i="2"/>
  <c r="N100" i="2"/>
  <c r="O100" i="2"/>
  <c r="G151" i="2"/>
  <c r="H151" i="2"/>
  <c r="I151" i="2"/>
  <c r="J151" i="2"/>
  <c r="K151" i="2"/>
  <c r="L151" i="2"/>
  <c r="M151" i="2"/>
  <c r="N151" i="2"/>
  <c r="O151" i="2"/>
  <c r="G153" i="2"/>
  <c r="H153" i="2"/>
  <c r="I153" i="2"/>
  <c r="J153" i="2"/>
  <c r="K153" i="2"/>
  <c r="L153" i="2"/>
  <c r="M153" i="2"/>
  <c r="N153" i="2"/>
  <c r="O153" i="2"/>
  <c r="K174" i="2"/>
  <c r="G52" i="2"/>
  <c r="G163" i="2" s="1"/>
  <c r="H52" i="2"/>
  <c r="H163" i="2" s="1"/>
  <c r="I52" i="2"/>
  <c r="I163" i="2" s="1"/>
  <c r="J52" i="2"/>
  <c r="J163" i="2" s="1"/>
  <c r="K52" i="2"/>
  <c r="K163" i="2" s="1"/>
  <c r="L52" i="2"/>
  <c r="L163" i="2" s="1"/>
  <c r="M52" i="2"/>
  <c r="M163" i="2" s="1"/>
  <c r="N52" i="2"/>
  <c r="N163" i="2" s="1"/>
  <c r="O52" i="2"/>
  <c r="O163" i="2" s="1"/>
  <c r="G56" i="2"/>
  <c r="H56" i="2"/>
  <c r="I56" i="2"/>
  <c r="J56" i="2"/>
  <c r="K56" i="2"/>
  <c r="L56" i="2"/>
  <c r="M56" i="2"/>
  <c r="N56" i="2"/>
  <c r="O56" i="2"/>
  <c r="G59" i="2"/>
  <c r="G164" i="2" s="1"/>
  <c r="H59" i="2"/>
  <c r="H164" i="2" s="1"/>
  <c r="I59" i="2"/>
  <c r="I164" i="2" s="1"/>
  <c r="J59" i="2"/>
  <c r="J164" i="2" s="1"/>
  <c r="K59" i="2"/>
  <c r="K164" i="2" s="1"/>
  <c r="L59" i="2"/>
  <c r="L164" i="2" s="1"/>
  <c r="M59" i="2"/>
  <c r="M164" i="2" s="1"/>
  <c r="N59" i="2"/>
  <c r="N164" i="2" s="1"/>
  <c r="O59" i="2"/>
  <c r="O164" i="2" s="1"/>
  <c r="G61" i="2"/>
  <c r="G165" i="2" s="1"/>
  <c r="H61" i="2"/>
  <c r="H165" i="2" s="1"/>
  <c r="I61" i="2"/>
  <c r="I165" i="2" s="1"/>
  <c r="J61" i="2"/>
  <c r="J165" i="2" s="1"/>
  <c r="K61" i="2"/>
  <c r="K165" i="2" s="1"/>
  <c r="L61" i="2"/>
  <c r="L165" i="2" s="1"/>
  <c r="M61" i="2"/>
  <c r="M165" i="2" s="1"/>
  <c r="N61" i="2"/>
  <c r="N165" i="2" s="1"/>
  <c r="O61" i="2"/>
  <c r="O165" i="2" s="1"/>
  <c r="G67" i="2"/>
  <c r="H67" i="2"/>
  <c r="I67" i="2"/>
  <c r="J67" i="2"/>
  <c r="K67" i="2"/>
  <c r="L67" i="2"/>
  <c r="M67" i="2"/>
  <c r="N67" i="2"/>
  <c r="O67" i="2"/>
  <c r="G68" i="2"/>
  <c r="H68" i="2"/>
  <c r="I68" i="2"/>
  <c r="J68" i="2"/>
  <c r="K68" i="2"/>
  <c r="L68" i="2"/>
  <c r="M68" i="2"/>
  <c r="N68" i="2"/>
  <c r="O68" i="2"/>
  <c r="F234" i="2"/>
  <c r="B241" i="2"/>
  <c r="B6" i="7" s="1"/>
  <c r="B242" i="2"/>
  <c r="B7" i="7" s="1"/>
  <c r="B240" i="2"/>
  <c r="B5" i="7" s="1"/>
  <c r="F222" i="2"/>
  <c r="E228" i="2"/>
  <c r="F224" i="2"/>
  <c r="F221" i="2"/>
  <c r="F218" i="2"/>
  <c r="F216" i="2"/>
  <c r="F215" i="2"/>
  <c r="F212" i="2"/>
  <c r="E211" i="2"/>
  <c r="E227" i="2" s="1"/>
  <c r="F206" i="2"/>
  <c r="D143" i="2"/>
  <c r="D149" i="2" s="1"/>
  <c r="E143" i="2"/>
  <c r="E149" i="2" s="1"/>
  <c r="C143" i="2"/>
  <c r="C149" i="2" s="1"/>
  <c r="E106" i="2"/>
  <c r="F146" i="2"/>
  <c r="F133" i="2"/>
  <c r="F175" i="2" s="1"/>
  <c r="B163" i="2"/>
  <c r="B162" i="2"/>
  <c r="B161" i="2"/>
  <c r="C114" i="2"/>
  <c r="D114" i="2"/>
  <c r="E114" i="2"/>
  <c r="C115" i="2"/>
  <c r="D115" i="2"/>
  <c r="E115" i="2"/>
  <c r="C116" i="2"/>
  <c r="D116" i="2"/>
  <c r="E116" i="2"/>
  <c r="C117" i="2"/>
  <c r="D117" i="2"/>
  <c r="E117" i="2"/>
  <c r="C118" i="2"/>
  <c r="D118" i="2"/>
  <c r="E118" i="2"/>
  <c r="C108" i="2"/>
  <c r="C109" i="2"/>
  <c r="D109" i="2"/>
  <c r="E109" i="2"/>
  <c r="C110" i="2"/>
  <c r="D110" i="2"/>
  <c r="E110" i="2"/>
  <c r="C111" i="2"/>
  <c r="D111" i="2"/>
  <c r="E111" i="2"/>
  <c r="B115" i="2"/>
  <c r="B116" i="2"/>
  <c r="B117" i="2"/>
  <c r="B118" i="2"/>
  <c r="B114" i="2"/>
  <c r="B109" i="2"/>
  <c r="B110" i="2"/>
  <c r="B111" i="2"/>
  <c r="B108" i="2"/>
  <c r="F70" i="2"/>
  <c r="G70" i="2" s="1"/>
  <c r="F153" i="2"/>
  <c r="F151" i="2"/>
  <c r="F131" i="2"/>
  <c r="G131" i="2" s="1"/>
  <c r="H131" i="2" s="1"/>
  <c r="I131" i="2" s="1"/>
  <c r="J131" i="2" s="1"/>
  <c r="K131" i="2" s="1"/>
  <c r="L131" i="2" s="1"/>
  <c r="M131" i="2" s="1"/>
  <c r="N131" i="2" s="1"/>
  <c r="O131" i="2" s="1"/>
  <c r="F134" i="2"/>
  <c r="G134" i="2" s="1"/>
  <c r="H134" i="2" s="1"/>
  <c r="I134" i="2" s="1"/>
  <c r="J134" i="2" s="1"/>
  <c r="K134" i="2" s="1"/>
  <c r="L134" i="2" s="1"/>
  <c r="M134" i="2" s="1"/>
  <c r="N134" i="2" s="1"/>
  <c r="O134" i="2" s="1"/>
  <c r="F100" i="2"/>
  <c r="F99" i="2"/>
  <c r="F174" i="2" s="1"/>
  <c r="E101" i="2"/>
  <c r="F98" i="2" s="1"/>
  <c r="E96" i="2"/>
  <c r="F93" i="2" s="1"/>
  <c r="D81" i="2"/>
  <c r="E81" i="2"/>
  <c r="C81" i="2"/>
  <c r="D74" i="2"/>
  <c r="E74" i="2"/>
  <c r="C74" i="2"/>
  <c r="E123" i="2"/>
  <c r="F200" i="2" s="1"/>
  <c r="D123" i="2"/>
  <c r="C123" i="2"/>
  <c r="C128" i="2" s="1"/>
  <c r="F52" i="2"/>
  <c r="F163" i="2" s="1"/>
  <c r="F68" i="2"/>
  <c r="F67" i="2"/>
  <c r="F61" i="2"/>
  <c r="F165" i="2" s="1"/>
  <c r="F59" i="2"/>
  <c r="F164" i="2" s="1"/>
  <c r="G32" i="2"/>
  <c r="H32" i="2"/>
  <c r="I32" i="2"/>
  <c r="J32" i="2"/>
  <c r="K32" i="2"/>
  <c r="L32" i="2"/>
  <c r="M32" i="2"/>
  <c r="N32" i="2"/>
  <c r="O32" i="2"/>
  <c r="F32" i="2"/>
  <c r="F56" i="2"/>
  <c r="F42" i="2"/>
  <c r="F241" i="2" s="1"/>
  <c r="F6" i="7" s="1"/>
  <c r="F41" i="2"/>
  <c r="F240" i="2" s="1"/>
  <c r="F5" i="7" s="1"/>
  <c r="G28" i="2"/>
  <c r="H28" i="2"/>
  <c r="I28" i="2"/>
  <c r="J28" i="2"/>
  <c r="K28" i="2"/>
  <c r="L28" i="2"/>
  <c r="M28" i="2"/>
  <c r="N28" i="2"/>
  <c r="O28" i="2"/>
  <c r="E35" i="2"/>
  <c r="D35" i="2"/>
  <c r="F28" i="2"/>
  <c r="E28" i="2"/>
  <c r="D28" i="2"/>
  <c r="D17" i="2"/>
  <c r="E17" i="2"/>
  <c r="E11" i="2"/>
  <c r="D11" i="2"/>
  <c r="E49" i="2"/>
  <c r="D49" i="2"/>
  <c r="C49" i="2"/>
  <c r="C154" i="2"/>
  <c r="C132" i="2"/>
  <c r="D124" i="2"/>
  <c r="D108" i="2" s="1"/>
  <c r="E154" i="2"/>
  <c r="D154" i="2"/>
  <c r="E124" i="2"/>
  <c r="D43" i="2"/>
  <c r="D23" i="2" s="1"/>
  <c r="E43" i="2"/>
  <c r="E25" i="2" s="1"/>
  <c r="C43" i="2"/>
  <c r="C25" i="2" s="1"/>
  <c r="N7" i="9" l="1"/>
  <c r="N9" i="10"/>
  <c r="G146" i="2"/>
  <c r="F181" i="2"/>
  <c r="O9" i="10"/>
  <c r="O7" i="9"/>
  <c r="G9" i="10"/>
  <c r="G7" i="9"/>
  <c r="L12" i="9"/>
  <c r="L14" i="10"/>
  <c r="M7" i="9"/>
  <c r="M9" i="10"/>
  <c r="J12" i="9"/>
  <c r="J14" i="10"/>
  <c r="F14" i="10"/>
  <c r="F12" i="9"/>
  <c r="L9" i="10"/>
  <c r="L7" i="9"/>
  <c r="I14" i="10"/>
  <c r="I12" i="9"/>
  <c r="K9" i="10"/>
  <c r="K7" i="9"/>
  <c r="H14" i="10"/>
  <c r="H12" i="9"/>
  <c r="J7" i="9"/>
  <c r="J9" i="10"/>
  <c r="O12" i="9"/>
  <c r="O14" i="10"/>
  <c r="G14" i="10"/>
  <c r="G12" i="9"/>
  <c r="K14" i="10"/>
  <c r="K12" i="9"/>
  <c r="I7" i="9"/>
  <c r="I9" i="10"/>
  <c r="N12" i="9"/>
  <c r="N14" i="10"/>
  <c r="F7" i="9"/>
  <c r="F9" i="10"/>
  <c r="F13" i="9"/>
  <c r="F15" i="10"/>
  <c r="H9" i="10"/>
  <c r="H7" i="9"/>
  <c r="M14" i="10"/>
  <c r="M12" i="9"/>
  <c r="C250" i="2"/>
  <c r="C15" i="7" s="1"/>
  <c r="E265" i="2"/>
  <c r="G133" i="2"/>
  <c r="H133" i="2" s="1"/>
  <c r="I133" i="2" s="1"/>
  <c r="J133" i="2" s="1"/>
  <c r="K133" i="2" s="1"/>
  <c r="G42" i="2"/>
  <c r="H42" i="2" s="1"/>
  <c r="I42" i="2" s="1"/>
  <c r="J42" i="2" s="1"/>
  <c r="K42" i="2" s="1"/>
  <c r="L42" i="2" s="1"/>
  <c r="M42" i="2" s="1"/>
  <c r="N42" i="2" s="1"/>
  <c r="O42" i="2" s="1"/>
  <c r="O241" i="2" s="1"/>
  <c r="O6" i="7" s="1"/>
  <c r="H70" i="2"/>
  <c r="G105" i="2"/>
  <c r="G182" i="2" s="1"/>
  <c r="G203" i="2" s="1"/>
  <c r="G41" i="2"/>
  <c r="D254" i="2"/>
  <c r="D19" i="7" s="1"/>
  <c r="D242" i="2"/>
  <c r="D7" i="7" s="1"/>
  <c r="C253" i="2"/>
  <c r="C18" i="7" s="1"/>
  <c r="E253" i="2"/>
  <c r="E18" i="7" s="1"/>
  <c r="C254" i="2"/>
  <c r="C19" i="7" s="1"/>
  <c r="D253" i="2"/>
  <c r="D18" i="7" s="1"/>
  <c r="E254" i="2"/>
  <c r="E19" i="7" s="1"/>
  <c r="E242" i="2"/>
  <c r="E7" i="7" s="1"/>
  <c r="C265" i="2"/>
  <c r="C30" i="7" s="1"/>
  <c r="D265" i="2"/>
  <c r="D30" i="7" s="1"/>
  <c r="F217" i="2"/>
  <c r="G215" i="2" s="1"/>
  <c r="G217" i="2" s="1"/>
  <c r="H215" i="2" s="1"/>
  <c r="H217" i="2" s="1"/>
  <c r="I215" i="2" s="1"/>
  <c r="I217" i="2" s="1"/>
  <c r="E73" i="2"/>
  <c r="F209" i="2"/>
  <c r="D112" i="2"/>
  <c r="E187" i="2"/>
  <c r="C119" i="2"/>
  <c r="E119" i="2"/>
  <c r="F223" i="2"/>
  <c r="G221" i="2" s="1"/>
  <c r="G223" i="2" s="1"/>
  <c r="F219" i="2"/>
  <c r="F103" i="2"/>
  <c r="D119" i="2"/>
  <c r="C112" i="2"/>
  <c r="E108" i="2"/>
  <c r="E112" i="2" s="1"/>
  <c r="E84" i="2"/>
  <c r="C76" i="2"/>
  <c r="C88" i="2"/>
  <c r="E76" i="2"/>
  <c r="E88" i="2"/>
  <c r="E78" i="2"/>
  <c r="F105" i="2"/>
  <c r="F182" i="2" s="1"/>
  <c r="F203" i="2" s="1"/>
  <c r="E85" i="2"/>
  <c r="F95" i="2"/>
  <c r="F51" i="2" s="1"/>
  <c r="F162" i="2" s="1"/>
  <c r="D76" i="2"/>
  <c r="D85" i="2"/>
  <c r="D88" i="2"/>
  <c r="C73" i="2"/>
  <c r="E75" i="2"/>
  <c r="C85" i="2"/>
  <c r="E87" i="2"/>
  <c r="D78" i="2"/>
  <c r="D84" i="2"/>
  <c r="D73" i="2"/>
  <c r="C83" i="2"/>
  <c r="F101" i="2"/>
  <c r="C75" i="2"/>
  <c r="C87" i="2"/>
  <c r="C82" i="2"/>
  <c r="C84" i="2"/>
  <c r="D75" i="2"/>
  <c r="E82" i="2"/>
  <c r="E83" i="2"/>
  <c r="D87" i="2"/>
  <c r="C78" i="2"/>
  <c r="D82" i="2"/>
  <c r="D83" i="2"/>
  <c r="C26" i="2"/>
  <c r="E128" i="2"/>
  <c r="C27" i="2"/>
  <c r="E27" i="2"/>
  <c r="E23" i="2"/>
  <c r="F43" i="2"/>
  <c r="E26" i="2"/>
  <c r="D155" i="2"/>
  <c r="C23" i="2"/>
  <c r="D26" i="2"/>
  <c r="D27" i="2"/>
  <c r="D25" i="2"/>
  <c r="D128" i="2"/>
  <c r="E155" i="2"/>
  <c r="C135" i="2"/>
  <c r="C155" i="2"/>
  <c r="E45" i="2"/>
  <c r="D45" i="2"/>
  <c r="C45" i="2"/>
  <c r="E267" i="2" l="1"/>
  <c r="E32" i="7" s="1"/>
  <c r="E30" i="7"/>
  <c r="H146" i="2"/>
  <c r="G181" i="2"/>
  <c r="F8" i="10"/>
  <c r="F6" i="9"/>
  <c r="K241" i="2"/>
  <c r="K6" i="7" s="1"/>
  <c r="H241" i="2"/>
  <c r="H6" i="7" s="1"/>
  <c r="G43" i="2"/>
  <c r="G147" i="2" s="1"/>
  <c r="I241" i="2"/>
  <c r="I6" i="7" s="1"/>
  <c r="L241" i="2"/>
  <c r="L6" i="7" s="1"/>
  <c r="G241" i="2"/>
  <c r="G6" i="7" s="1"/>
  <c r="G228" i="2"/>
  <c r="G145" i="2" s="1"/>
  <c r="M241" i="2"/>
  <c r="M6" i="7" s="1"/>
  <c r="J241" i="2"/>
  <c r="J6" i="7" s="1"/>
  <c r="N241" i="2"/>
  <c r="N6" i="7" s="1"/>
  <c r="H175" i="2"/>
  <c r="I175" i="2"/>
  <c r="K175" i="2"/>
  <c r="H221" i="2"/>
  <c r="H223" i="2" s="1"/>
  <c r="H228" i="2" s="1"/>
  <c r="H145" i="2" s="1"/>
  <c r="G175" i="2"/>
  <c r="J175" i="2"/>
  <c r="F47" i="2"/>
  <c r="F46" i="2"/>
  <c r="F242" i="2"/>
  <c r="F7" i="7" s="1"/>
  <c r="F48" i="2"/>
  <c r="G225" i="2"/>
  <c r="F132" i="2"/>
  <c r="G98" i="2"/>
  <c r="G101" i="2" s="1"/>
  <c r="H41" i="2"/>
  <c r="G240" i="2"/>
  <c r="G5" i="7" s="1"/>
  <c r="E50" i="2"/>
  <c r="E243" i="2"/>
  <c r="E8" i="7" s="1"/>
  <c r="D135" i="2"/>
  <c r="D157" i="2" s="1"/>
  <c r="D250" i="2"/>
  <c r="D15" i="7" s="1"/>
  <c r="G219" i="2"/>
  <c r="C50" i="2"/>
  <c r="C243" i="2"/>
  <c r="C8" i="7" s="1"/>
  <c r="D267" i="2"/>
  <c r="D32" i="7" s="1"/>
  <c r="I70" i="2"/>
  <c r="H105" i="2"/>
  <c r="H182" i="2" s="1"/>
  <c r="H203" i="2" s="1"/>
  <c r="D50" i="2"/>
  <c r="D266" i="2" s="1"/>
  <c r="D31" i="7" s="1"/>
  <c r="D243" i="2"/>
  <c r="D8" i="7" s="1"/>
  <c r="E135" i="2"/>
  <c r="E157" i="2" s="1"/>
  <c r="E250" i="2"/>
  <c r="E15" i="7" s="1"/>
  <c r="C267" i="2"/>
  <c r="C32" i="7" s="1"/>
  <c r="J215" i="2"/>
  <c r="J217" i="2" s="1"/>
  <c r="J219" i="2" s="1"/>
  <c r="I219" i="2"/>
  <c r="H219" i="2"/>
  <c r="L133" i="2"/>
  <c r="L175" i="2" s="1"/>
  <c r="F185" i="2"/>
  <c r="E233" i="2"/>
  <c r="E120" i="2"/>
  <c r="E251" i="2" s="1"/>
  <c r="D120" i="2"/>
  <c r="D251" i="2" s="1"/>
  <c r="F225" i="2"/>
  <c r="F228" i="2"/>
  <c r="F145" i="2" s="1"/>
  <c r="F180" i="2" s="1"/>
  <c r="C120" i="2"/>
  <c r="C251" i="2" s="1"/>
  <c r="F148" i="2"/>
  <c r="F167" i="2" s="1"/>
  <c r="F127" i="2"/>
  <c r="F111" i="2" s="1"/>
  <c r="F147" i="2"/>
  <c r="F166" i="2" s="1"/>
  <c r="F126" i="2"/>
  <c r="F110" i="2" s="1"/>
  <c r="F140" i="2"/>
  <c r="F116" i="2" s="1"/>
  <c r="F141" i="2"/>
  <c r="F117" i="2" s="1"/>
  <c r="F124" i="2"/>
  <c r="F108" i="2" s="1"/>
  <c r="F142" i="2"/>
  <c r="F118" i="2" s="1"/>
  <c r="F139" i="2"/>
  <c r="F115" i="2" s="1"/>
  <c r="F94" i="2"/>
  <c r="F44" i="2"/>
  <c r="C157" i="2"/>
  <c r="E269" i="2" l="1"/>
  <c r="E34" i="7" s="1"/>
  <c r="E266" i="2"/>
  <c r="E31" i="7" s="1"/>
  <c r="J13" i="9"/>
  <c r="J15" i="10"/>
  <c r="C268" i="2"/>
  <c r="C33" i="7" s="1"/>
  <c r="C266" i="2"/>
  <c r="C31" i="7" s="1"/>
  <c r="G13" i="9"/>
  <c r="G15" i="10"/>
  <c r="F8" i="9"/>
  <c r="F10" i="10"/>
  <c r="F9" i="9"/>
  <c r="F11" i="10"/>
  <c r="L15" i="10"/>
  <c r="L13" i="9"/>
  <c r="K15" i="10"/>
  <c r="K13" i="9"/>
  <c r="H181" i="2"/>
  <c r="I146" i="2"/>
  <c r="I15" i="10"/>
  <c r="I13" i="9"/>
  <c r="H13" i="9"/>
  <c r="H15" i="10"/>
  <c r="E252" i="2"/>
  <c r="E17" i="7" s="1"/>
  <c r="E16" i="7"/>
  <c r="C252" i="2"/>
  <c r="C17" i="7" s="1"/>
  <c r="C16" i="7"/>
  <c r="D252" i="2"/>
  <c r="D17" i="7" s="1"/>
  <c r="D16" i="7"/>
  <c r="G47" i="2"/>
  <c r="G242" i="2"/>
  <c r="G7" i="7" s="1"/>
  <c r="G46" i="2"/>
  <c r="G142" i="2"/>
  <c r="G118" i="2" s="1"/>
  <c r="G141" i="2"/>
  <c r="G117" i="2" s="1"/>
  <c r="G127" i="2"/>
  <c r="G111" i="2" s="1"/>
  <c r="G148" i="2"/>
  <c r="G167" i="2" s="1"/>
  <c r="G140" i="2"/>
  <c r="G116" i="2" s="1"/>
  <c r="G126" i="2"/>
  <c r="G110" i="2" s="1"/>
  <c r="G48" i="2"/>
  <c r="G94" i="2"/>
  <c r="G254" i="2" s="1"/>
  <c r="G19" i="7" s="1"/>
  <c r="G124" i="2"/>
  <c r="G108" i="2" s="1"/>
  <c r="G44" i="2"/>
  <c r="G125" i="2" s="1"/>
  <c r="G109" i="2" s="1"/>
  <c r="G139" i="2"/>
  <c r="G115" i="2" s="1"/>
  <c r="C269" i="2"/>
  <c r="C34" i="7" s="1"/>
  <c r="H180" i="2"/>
  <c r="G166" i="2"/>
  <c r="H225" i="2"/>
  <c r="I221" i="2"/>
  <c r="I223" i="2" s="1"/>
  <c r="I225" i="2" s="1"/>
  <c r="G180" i="2"/>
  <c r="J70" i="2"/>
  <c r="I105" i="2"/>
  <c r="I182" i="2" s="1"/>
  <c r="I203" i="2" s="1"/>
  <c r="D271" i="2"/>
  <c r="D36" i="7" s="1"/>
  <c r="D244" i="2"/>
  <c r="D9" i="7" s="1"/>
  <c r="D269" i="2"/>
  <c r="D34" i="7" s="1"/>
  <c r="E271" i="2"/>
  <c r="E36" i="7" s="1"/>
  <c r="E244" i="2"/>
  <c r="E9" i="7" s="1"/>
  <c r="E268" i="2"/>
  <c r="E33" i="7" s="1"/>
  <c r="E53" i="2"/>
  <c r="D268" i="2"/>
  <c r="D33" i="7" s="1"/>
  <c r="G132" i="2"/>
  <c r="H98" i="2"/>
  <c r="H101" i="2" s="1"/>
  <c r="F254" i="2"/>
  <c r="F19" i="7" s="1"/>
  <c r="F255" i="2"/>
  <c r="F20" i="7" s="1"/>
  <c r="D53" i="2"/>
  <c r="C244" i="2"/>
  <c r="C9" i="7" s="1"/>
  <c r="C271" i="2"/>
  <c r="C36" i="7" s="1"/>
  <c r="H240" i="2"/>
  <c r="H5" i="7" s="1"/>
  <c r="H43" i="2"/>
  <c r="I41" i="2"/>
  <c r="C53" i="2"/>
  <c r="K215" i="2"/>
  <c r="K217" i="2" s="1"/>
  <c r="K219" i="2" s="1"/>
  <c r="M133" i="2"/>
  <c r="M175" i="2" s="1"/>
  <c r="F231" i="2"/>
  <c r="F96" i="2"/>
  <c r="F173" i="2"/>
  <c r="F13" i="10" s="1"/>
  <c r="F45" i="2"/>
  <c r="F243" i="2" s="1"/>
  <c r="F8" i="7" s="1"/>
  <c r="F125" i="2"/>
  <c r="F138" i="2"/>
  <c r="F49" i="2"/>
  <c r="G8" i="9" l="1"/>
  <c r="G10" i="10"/>
  <c r="M15" i="10"/>
  <c r="M13" i="9"/>
  <c r="G9" i="9"/>
  <c r="G11" i="10"/>
  <c r="I181" i="2"/>
  <c r="J146" i="2"/>
  <c r="F176" i="2"/>
  <c r="F202" i="2" s="1"/>
  <c r="F11" i="9"/>
  <c r="G49" i="2"/>
  <c r="I228" i="2"/>
  <c r="I145" i="2" s="1"/>
  <c r="I180" i="2" s="1"/>
  <c r="G173" i="2"/>
  <c r="G13" i="10" s="1"/>
  <c r="G112" i="2"/>
  <c r="G45" i="2"/>
  <c r="G138" i="2"/>
  <c r="G114" i="2" s="1"/>
  <c r="G119" i="2" s="1"/>
  <c r="J221" i="2"/>
  <c r="J223" i="2" s="1"/>
  <c r="J225" i="2" s="1"/>
  <c r="D57" i="2"/>
  <c r="D270" i="2"/>
  <c r="D35" i="7" s="1"/>
  <c r="D245" i="2"/>
  <c r="D10" i="7" s="1"/>
  <c r="E57" i="2"/>
  <c r="E245" i="2"/>
  <c r="E10" i="7" s="1"/>
  <c r="E270" i="2"/>
  <c r="E35" i="7" s="1"/>
  <c r="F130" i="2"/>
  <c r="F253" i="2" s="1"/>
  <c r="F18" i="7" s="1"/>
  <c r="G93" i="2"/>
  <c r="G95" i="2"/>
  <c r="G51" i="2" s="1"/>
  <c r="I240" i="2"/>
  <c r="I5" i="7" s="1"/>
  <c r="J41" i="2"/>
  <c r="I43" i="2"/>
  <c r="H132" i="2"/>
  <c r="I98" i="2"/>
  <c r="I101" i="2" s="1"/>
  <c r="K70" i="2"/>
  <c r="J105" i="2"/>
  <c r="J182" i="2" s="1"/>
  <c r="J203" i="2" s="1"/>
  <c r="C57" i="2"/>
  <c r="C245" i="2"/>
  <c r="C10" i="7" s="1"/>
  <c r="C270" i="2"/>
  <c r="C35" i="7" s="1"/>
  <c r="H141" i="2"/>
  <c r="H117" i="2" s="1"/>
  <c r="H142" i="2"/>
  <c r="H118" i="2" s="1"/>
  <c r="H140" i="2"/>
  <c r="H116" i="2" s="1"/>
  <c r="H124" i="2"/>
  <c r="H108" i="2" s="1"/>
  <c r="H242" i="2"/>
  <c r="H7" i="7" s="1"/>
  <c r="H147" i="2"/>
  <c r="H166" i="2" s="1"/>
  <c r="H48" i="2"/>
  <c r="H94" i="2"/>
  <c r="H126" i="2"/>
  <c r="H110" i="2" s="1"/>
  <c r="H148" i="2"/>
  <c r="H167" i="2" s="1"/>
  <c r="H46" i="2"/>
  <c r="H127" i="2"/>
  <c r="H111" i="2" s="1"/>
  <c r="H47" i="2"/>
  <c r="H139" i="2"/>
  <c r="H115" i="2" s="1"/>
  <c r="H44" i="2"/>
  <c r="H45" i="2" s="1"/>
  <c r="L215" i="2"/>
  <c r="L217" i="2" s="1"/>
  <c r="L219" i="2" s="1"/>
  <c r="N133" i="2"/>
  <c r="F109" i="2"/>
  <c r="F112" i="2" s="1"/>
  <c r="F114" i="2"/>
  <c r="F119" i="2" s="1"/>
  <c r="F50" i="2"/>
  <c r="F266" i="2" s="1"/>
  <c r="F31" i="7" s="1"/>
  <c r="J181" i="2" l="1"/>
  <c r="K146" i="2"/>
  <c r="H8" i="9"/>
  <c r="H10" i="10"/>
  <c r="H9" i="9"/>
  <c r="H11" i="10"/>
  <c r="G176" i="2"/>
  <c r="G202" i="2" s="1"/>
  <c r="G11" i="9"/>
  <c r="G50" i="2"/>
  <c r="G120" i="2"/>
  <c r="G251" i="2" s="1"/>
  <c r="G243" i="2"/>
  <c r="G8" i="7" s="1"/>
  <c r="K221" i="2"/>
  <c r="K223" i="2" s="1"/>
  <c r="K225" i="2" s="1"/>
  <c r="J228" i="2"/>
  <c r="J145" i="2" s="1"/>
  <c r="J180" i="2" s="1"/>
  <c r="G96" i="2"/>
  <c r="H95" i="2" s="1"/>
  <c r="H51" i="2" s="1"/>
  <c r="H162" i="2" s="1"/>
  <c r="H125" i="2"/>
  <c r="H109" i="2" s="1"/>
  <c r="H112" i="2" s="1"/>
  <c r="H138" i="2"/>
  <c r="H114" i="2" s="1"/>
  <c r="H119" i="2" s="1"/>
  <c r="H173" i="2"/>
  <c r="H13" i="10" s="1"/>
  <c r="H254" i="2"/>
  <c r="H19" i="7" s="1"/>
  <c r="I48" i="2"/>
  <c r="I140" i="2"/>
  <c r="I116" i="2" s="1"/>
  <c r="I141" i="2"/>
  <c r="I117" i="2" s="1"/>
  <c r="I142" i="2"/>
  <c r="I118" i="2" s="1"/>
  <c r="I139" i="2"/>
  <c r="I115" i="2" s="1"/>
  <c r="I124" i="2"/>
  <c r="I108" i="2" s="1"/>
  <c r="I47" i="2"/>
  <c r="I242" i="2"/>
  <c r="I7" i="7" s="1"/>
  <c r="I147" i="2"/>
  <c r="I166" i="2" s="1"/>
  <c r="I94" i="2"/>
  <c r="I126" i="2"/>
  <c r="I110" i="2" s="1"/>
  <c r="I148" i="2"/>
  <c r="I167" i="2" s="1"/>
  <c r="I46" i="2"/>
  <c r="I127" i="2"/>
  <c r="I111" i="2" s="1"/>
  <c r="I44" i="2"/>
  <c r="E60" i="2"/>
  <c r="E62" i="2" s="1"/>
  <c r="E31" i="2"/>
  <c r="E32" i="2"/>
  <c r="J240" i="2"/>
  <c r="J5" i="7" s="1"/>
  <c r="J43" i="2"/>
  <c r="K41" i="2"/>
  <c r="H243" i="2"/>
  <c r="H8" i="7" s="1"/>
  <c r="C31" i="2"/>
  <c r="C60" i="2"/>
  <c r="C62" i="2" s="1"/>
  <c r="C32" i="2"/>
  <c r="G162" i="2"/>
  <c r="G255" i="2"/>
  <c r="G20" i="7" s="1"/>
  <c r="I132" i="2"/>
  <c r="J98" i="2"/>
  <c r="J101" i="2" s="1"/>
  <c r="H49" i="2"/>
  <c r="H50" i="2" s="1"/>
  <c r="H266" i="2" s="1"/>
  <c r="H31" i="7" s="1"/>
  <c r="L70" i="2"/>
  <c r="K105" i="2"/>
  <c r="K182" i="2" s="1"/>
  <c r="K203" i="2" s="1"/>
  <c r="D60" i="2"/>
  <c r="D62" i="2" s="1"/>
  <c r="D32" i="2"/>
  <c r="D31" i="2"/>
  <c r="F53" i="2"/>
  <c r="F244" i="2"/>
  <c r="F9" i="7" s="1"/>
  <c r="M215" i="2"/>
  <c r="M217" i="2" s="1"/>
  <c r="M219" i="2" s="1"/>
  <c r="O133" i="2"/>
  <c r="O175" i="2" s="1"/>
  <c r="N175" i="2"/>
  <c r="F120" i="2"/>
  <c r="I9" i="9" l="1"/>
  <c r="I11" i="10"/>
  <c r="H6" i="9"/>
  <c r="H8" i="10"/>
  <c r="N15" i="10"/>
  <c r="N13" i="9"/>
  <c r="I8" i="9"/>
  <c r="I10" i="10"/>
  <c r="K181" i="2"/>
  <c r="L146" i="2"/>
  <c r="F4" i="9"/>
  <c r="F28" i="9" s="1"/>
  <c r="F6" i="10"/>
  <c r="G6" i="9"/>
  <c r="G8" i="10"/>
  <c r="O13" i="9"/>
  <c r="O15" i="10"/>
  <c r="H176" i="2"/>
  <c r="H202" i="2" s="1"/>
  <c r="H11" i="9"/>
  <c r="F5" i="9"/>
  <c r="G252" i="2"/>
  <c r="G17" i="7" s="1"/>
  <c r="G16" i="7"/>
  <c r="G244" i="2"/>
  <c r="G9" i="7" s="1"/>
  <c r="G266" i="2"/>
  <c r="G31" i="7" s="1"/>
  <c r="G53" i="2"/>
  <c r="G6" i="10" s="1"/>
  <c r="L221" i="2"/>
  <c r="L223" i="2" s="1"/>
  <c r="L225" i="2" s="1"/>
  <c r="K228" i="2"/>
  <c r="K145" i="2" s="1"/>
  <c r="K180" i="2" s="1"/>
  <c r="G130" i="2"/>
  <c r="G253" i="2" s="1"/>
  <c r="G18" i="7" s="1"/>
  <c r="H93" i="2"/>
  <c r="H96" i="2" s="1"/>
  <c r="H120" i="2"/>
  <c r="H169" i="2" s="1"/>
  <c r="J47" i="2"/>
  <c r="J139" i="2"/>
  <c r="J115" i="2" s="1"/>
  <c r="J48" i="2"/>
  <c r="J140" i="2"/>
  <c r="J116" i="2" s="1"/>
  <c r="J127" i="2"/>
  <c r="J111" i="2" s="1"/>
  <c r="J141" i="2"/>
  <c r="J117" i="2" s="1"/>
  <c r="J142" i="2"/>
  <c r="J118" i="2" s="1"/>
  <c r="J46" i="2"/>
  <c r="J124" i="2"/>
  <c r="J108" i="2" s="1"/>
  <c r="J242" i="2"/>
  <c r="J7" i="7" s="1"/>
  <c r="J147" i="2"/>
  <c r="J166" i="2" s="1"/>
  <c r="J94" i="2"/>
  <c r="J126" i="2"/>
  <c r="J110" i="2" s="1"/>
  <c r="J148" i="2"/>
  <c r="J167" i="2" s="1"/>
  <c r="J44" i="2"/>
  <c r="C246" i="2"/>
  <c r="C11" i="7" s="1"/>
  <c r="C247" i="2"/>
  <c r="C12" i="7" s="1"/>
  <c r="I173" i="2"/>
  <c r="I13" i="10" s="1"/>
  <c r="I254" i="2"/>
  <c r="I19" i="7" s="1"/>
  <c r="K98" i="2"/>
  <c r="K101" i="2" s="1"/>
  <c r="J132" i="2"/>
  <c r="E246" i="2"/>
  <c r="E11" i="7" s="1"/>
  <c r="E247" i="2"/>
  <c r="E12" i="7" s="1"/>
  <c r="F169" i="2"/>
  <c r="F251" i="2"/>
  <c r="G169" i="2"/>
  <c r="I45" i="2"/>
  <c r="I125" i="2"/>
  <c r="I109" i="2" s="1"/>
  <c r="I112" i="2" s="1"/>
  <c r="I138" i="2"/>
  <c r="I114" i="2" s="1"/>
  <c r="I119" i="2" s="1"/>
  <c r="H255" i="2"/>
  <c r="H20" i="7" s="1"/>
  <c r="D246" i="2"/>
  <c r="D11" i="7" s="1"/>
  <c r="D247" i="2"/>
  <c r="D12" i="7" s="1"/>
  <c r="M70" i="2"/>
  <c r="L105" i="2"/>
  <c r="L182" i="2" s="1"/>
  <c r="L203" i="2" s="1"/>
  <c r="H53" i="2"/>
  <c r="H6" i="10" s="1"/>
  <c r="H244" i="2"/>
  <c r="H9" i="7" s="1"/>
  <c r="K240" i="2"/>
  <c r="K5" i="7" s="1"/>
  <c r="L41" i="2"/>
  <c r="K43" i="2"/>
  <c r="I49" i="2"/>
  <c r="F245" i="2"/>
  <c r="F10" i="7" s="1"/>
  <c r="N215" i="2"/>
  <c r="N217" i="2" s="1"/>
  <c r="J8" i="9" l="1"/>
  <c r="J10" i="10"/>
  <c r="G43" i="10"/>
  <c r="G7" i="10"/>
  <c r="H43" i="10"/>
  <c r="H7" i="10"/>
  <c r="H16" i="10" s="1"/>
  <c r="H10" i="9"/>
  <c r="H12" i="10"/>
  <c r="F43" i="10"/>
  <c r="F7" i="10"/>
  <c r="J9" i="9"/>
  <c r="J11" i="10"/>
  <c r="L181" i="2"/>
  <c r="M146" i="2"/>
  <c r="F10" i="9"/>
  <c r="F14" i="9" s="1"/>
  <c r="F12" i="10"/>
  <c r="G10" i="9"/>
  <c r="G12" i="10"/>
  <c r="H245" i="2"/>
  <c r="H10" i="7" s="1"/>
  <c r="H4" i="9"/>
  <c r="G245" i="2"/>
  <c r="G10" i="7" s="1"/>
  <c r="G4" i="9"/>
  <c r="G28" i="9" s="1"/>
  <c r="I176" i="2"/>
  <c r="I202" i="2" s="1"/>
  <c r="I11" i="9"/>
  <c r="F252" i="2"/>
  <c r="F17" i="7" s="1"/>
  <c r="F16" i="7"/>
  <c r="M221" i="2"/>
  <c r="M223" i="2" s="1"/>
  <c r="M225" i="2" s="1"/>
  <c r="L228" i="2"/>
  <c r="L145" i="2" s="1"/>
  <c r="L180" i="2" s="1"/>
  <c r="H251" i="2"/>
  <c r="I120" i="2"/>
  <c r="I251" i="2" s="1"/>
  <c r="J49" i="2"/>
  <c r="J173" i="2"/>
  <c r="J13" i="10" s="1"/>
  <c r="J254" i="2"/>
  <c r="J19" i="7" s="1"/>
  <c r="K46" i="2"/>
  <c r="K127" i="2"/>
  <c r="K111" i="2" s="1"/>
  <c r="K47" i="2"/>
  <c r="K139" i="2"/>
  <c r="K115" i="2" s="1"/>
  <c r="K94" i="2"/>
  <c r="K148" i="2"/>
  <c r="K167" i="2" s="1"/>
  <c r="K48" i="2"/>
  <c r="K140" i="2"/>
  <c r="K116" i="2" s="1"/>
  <c r="K141" i="2"/>
  <c r="K117" i="2" s="1"/>
  <c r="K142" i="2"/>
  <c r="K118" i="2" s="1"/>
  <c r="K126" i="2"/>
  <c r="K110" i="2" s="1"/>
  <c r="K124" i="2"/>
  <c r="K108" i="2" s="1"/>
  <c r="K242" i="2"/>
  <c r="K7" i="7" s="1"/>
  <c r="K147" i="2"/>
  <c r="K166" i="2" s="1"/>
  <c r="K44" i="2"/>
  <c r="N70" i="2"/>
  <c r="M105" i="2"/>
  <c r="M182" i="2" s="1"/>
  <c r="M203" i="2" s="1"/>
  <c r="L240" i="2"/>
  <c r="L5" i="7" s="1"/>
  <c r="L43" i="2"/>
  <c r="M41" i="2"/>
  <c r="I93" i="2"/>
  <c r="I95" i="2"/>
  <c r="I51" i="2" s="1"/>
  <c r="H130" i="2"/>
  <c r="H253" i="2" s="1"/>
  <c r="H18" i="7" s="1"/>
  <c r="I50" i="2"/>
  <c r="I266" i="2" s="1"/>
  <c r="I31" i="7" s="1"/>
  <c r="I243" i="2"/>
  <c r="I8" i="7" s="1"/>
  <c r="K132" i="2"/>
  <c r="L98" i="2"/>
  <c r="L101" i="2" s="1"/>
  <c r="J45" i="2"/>
  <c r="J138" i="2"/>
  <c r="J114" i="2" s="1"/>
  <c r="J119" i="2" s="1"/>
  <c r="J125" i="2"/>
  <c r="J109" i="2" s="1"/>
  <c r="J112" i="2" s="1"/>
  <c r="O215" i="2"/>
  <c r="O217" i="2" s="1"/>
  <c r="O219" i="2" s="1"/>
  <c r="N219" i="2"/>
  <c r="K9" i="9" l="1"/>
  <c r="K11" i="10"/>
  <c r="M181" i="2"/>
  <c r="N146" i="2"/>
  <c r="G16" i="10"/>
  <c r="K8" i="9"/>
  <c r="K10" i="10"/>
  <c r="F16" i="10"/>
  <c r="H5" i="9"/>
  <c r="H14" i="9" s="1"/>
  <c r="H28" i="9"/>
  <c r="G5" i="9"/>
  <c r="G14" i="9" s="1"/>
  <c r="J176" i="2"/>
  <c r="J202" i="2" s="1"/>
  <c r="J11" i="9"/>
  <c r="I252" i="2"/>
  <c r="I17" i="7" s="1"/>
  <c r="I16" i="7"/>
  <c r="H252" i="2"/>
  <c r="H17" i="7" s="1"/>
  <c r="H16" i="7"/>
  <c r="M228" i="2"/>
  <c r="M145" i="2" s="1"/>
  <c r="M180" i="2" s="1"/>
  <c r="N221" i="2"/>
  <c r="N223" i="2" s="1"/>
  <c r="N225" i="2" s="1"/>
  <c r="I169" i="2"/>
  <c r="J120" i="2"/>
  <c r="J251" i="2" s="1"/>
  <c r="I96" i="2"/>
  <c r="I130" i="2" s="1"/>
  <c r="I253" i="2" s="1"/>
  <c r="I18" i="7" s="1"/>
  <c r="L94" i="2"/>
  <c r="L126" i="2"/>
  <c r="L110" i="2" s="1"/>
  <c r="L148" i="2"/>
  <c r="L167" i="2" s="1"/>
  <c r="L46" i="2"/>
  <c r="L127" i="2"/>
  <c r="L111" i="2" s="1"/>
  <c r="L47" i="2"/>
  <c r="L139" i="2"/>
  <c r="L115" i="2" s="1"/>
  <c r="L48" i="2"/>
  <c r="L140" i="2"/>
  <c r="L116" i="2" s="1"/>
  <c r="L242" i="2"/>
  <c r="L7" i="7" s="1"/>
  <c r="L147" i="2"/>
  <c r="L166" i="2" s="1"/>
  <c r="L141" i="2"/>
  <c r="L117" i="2" s="1"/>
  <c r="L142" i="2"/>
  <c r="L118" i="2" s="1"/>
  <c r="L124" i="2"/>
  <c r="L108" i="2" s="1"/>
  <c r="L44" i="2"/>
  <c r="I53" i="2"/>
  <c r="I6" i="10" s="1"/>
  <c r="I244" i="2"/>
  <c r="I9" i="7" s="1"/>
  <c r="O70" i="2"/>
  <c r="O105" i="2" s="1"/>
  <c r="O182" i="2" s="1"/>
  <c r="O203" i="2" s="1"/>
  <c r="N105" i="2"/>
  <c r="N182" i="2" s="1"/>
  <c r="N203" i="2" s="1"/>
  <c r="I162" i="2"/>
  <c r="I255" i="2"/>
  <c r="I20" i="7" s="1"/>
  <c r="K45" i="2"/>
  <c r="K138" i="2"/>
  <c r="K114" i="2" s="1"/>
  <c r="K119" i="2" s="1"/>
  <c r="K125" i="2"/>
  <c r="K109" i="2" s="1"/>
  <c r="K112" i="2" s="1"/>
  <c r="K49" i="2"/>
  <c r="J50" i="2"/>
  <c r="J266" i="2" s="1"/>
  <c r="J31" i="7" s="1"/>
  <c r="J243" i="2"/>
  <c r="J8" i="7" s="1"/>
  <c r="L132" i="2"/>
  <c r="M98" i="2"/>
  <c r="M101" i="2" s="1"/>
  <c r="M240" i="2"/>
  <c r="M5" i="7" s="1"/>
  <c r="N41" i="2"/>
  <c r="M43" i="2"/>
  <c r="K173" i="2"/>
  <c r="K13" i="10" s="1"/>
  <c r="K254" i="2"/>
  <c r="K19" i="7" s="1"/>
  <c r="I10" i="9" l="1"/>
  <c r="I12" i="10"/>
  <c r="I43" i="10"/>
  <c r="I7" i="10"/>
  <c r="I16" i="10" s="1"/>
  <c r="N181" i="2"/>
  <c r="O146" i="2"/>
  <c r="O181" i="2" s="1"/>
  <c r="I6" i="9"/>
  <c r="I8" i="10"/>
  <c r="L8" i="9"/>
  <c r="L10" i="10"/>
  <c r="L9" i="9"/>
  <c r="L11" i="10"/>
  <c r="K176" i="2"/>
  <c r="K202" i="2" s="1"/>
  <c r="K11" i="9"/>
  <c r="I245" i="2"/>
  <c r="I10" i="7" s="1"/>
  <c r="I4" i="9"/>
  <c r="J252" i="2"/>
  <c r="J17" i="7" s="1"/>
  <c r="J16" i="7"/>
  <c r="N228" i="2"/>
  <c r="N145" i="2" s="1"/>
  <c r="N180" i="2" s="1"/>
  <c r="O221" i="2"/>
  <c r="O223" i="2" s="1"/>
  <c r="O228" i="2" s="1"/>
  <c r="O145" i="2" s="1"/>
  <c r="K120" i="2"/>
  <c r="K251" i="2" s="1"/>
  <c r="J95" i="2"/>
  <c r="J51" i="2" s="1"/>
  <c r="J53" i="2" s="1"/>
  <c r="J6" i="10" s="1"/>
  <c r="J93" i="2"/>
  <c r="J169" i="2"/>
  <c r="L138" i="2"/>
  <c r="L114" i="2" s="1"/>
  <c r="L119" i="2" s="1"/>
  <c r="L125" i="2"/>
  <c r="L109" i="2" s="1"/>
  <c r="L112" i="2" s="1"/>
  <c r="L173" i="2"/>
  <c r="L13" i="10" s="1"/>
  <c r="L254" i="2"/>
  <c r="L19" i="7" s="1"/>
  <c r="N240" i="2"/>
  <c r="N5" i="7" s="1"/>
  <c r="O41" i="2"/>
  <c r="N43" i="2"/>
  <c r="L45" i="2"/>
  <c r="L49" i="2"/>
  <c r="J244" i="2"/>
  <c r="J9" i="7" s="1"/>
  <c r="N98" i="2"/>
  <c r="N101" i="2" s="1"/>
  <c r="M132" i="2"/>
  <c r="K50" i="2"/>
  <c r="K266" i="2" s="1"/>
  <c r="K31" i="7" s="1"/>
  <c r="K243" i="2"/>
  <c r="K8" i="7" s="1"/>
  <c r="M242" i="2"/>
  <c r="M7" i="7" s="1"/>
  <c r="M147" i="2"/>
  <c r="M166" i="2" s="1"/>
  <c r="M124" i="2"/>
  <c r="M108" i="2" s="1"/>
  <c r="M94" i="2"/>
  <c r="M126" i="2"/>
  <c r="M110" i="2" s="1"/>
  <c r="M148" i="2"/>
  <c r="M167" i="2" s="1"/>
  <c r="M46" i="2"/>
  <c r="M127" i="2"/>
  <c r="M111" i="2" s="1"/>
  <c r="M47" i="2"/>
  <c r="M139" i="2"/>
  <c r="M115" i="2" s="1"/>
  <c r="M48" i="2"/>
  <c r="M140" i="2"/>
  <c r="M116" i="2" s="1"/>
  <c r="M141" i="2"/>
  <c r="M117" i="2" s="1"/>
  <c r="M142" i="2"/>
  <c r="M118" i="2" s="1"/>
  <c r="M44" i="2"/>
  <c r="M45" i="2" s="1"/>
  <c r="J10" i="9" l="1"/>
  <c r="J12" i="10"/>
  <c r="M8" i="9"/>
  <c r="M10" i="10"/>
  <c r="J7" i="10"/>
  <c r="M9" i="9"/>
  <c r="M11" i="10"/>
  <c r="I5" i="9"/>
  <c r="I14" i="9" s="1"/>
  <c r="I28" i="9"/>
  <c r="L176" i="2"/>
  <c r="L202" i="2" s="1"/>
  <c r="L11" i="9"/>
  <c r="J245" i="2"/>
  <c r="J10" i="7" s="1"/>
  <c r="J4" i="9"/>
  <c r="K252" i="2"/>
  <c r="K17" i="7" s="1"/>
  <c r="K16" i="7"/>
  <c r="O225" i="2"/>
  <c r="K169" i="2"/>
  <c r="O180" i="2"/>
  <c r="J96" i="2"/>
  <c r="K93" i="2" s="1"/>
  <c r="J255" i="2"/>
  <c r="J20" i="7" s="1"/>
  <c r="J162" i="2"/>
  <c r="L120" i="2"/>
  <c r="L169" i="2" s="1"/>
  <c r="M49" i="2"/>
  <c r="M50" i="2" s="1"/>
  <c r="M243" i="2"/>
  <c r="M8" i="7" s="1"/>
  <c r="M125" i="2"/>
  <c r="M109" i="2" s="1"/>
  <c r="M112" i="2" s="1"/>
  <c r="M138" i="2"/>
  <c r="M114" i="2" s="1"/>
  <c r="M119" i="2" s="1"/>
  <c r="O43" i="2"/>
  <c r="O240" i="2"/>
  <c r="O5" i="7" s="1"/>
  <c r="K244" i="2"/>
  <c r="K9" i="7" s="1"/>
  <c r="M173" i="2"/>
  <c r="M13" i="10" s="1"/>
  <c r="M254" i="2"/>
  <c r="M19" i="7" s="1"/>
  <c r="N132" i="2"/>
  <c r="O98" i="2"/>
  <c r="O101" i="2" s="1"/>
  <c r="O132" i="2" s="1"/>
  <c r="N124" i="2"/>
  <c r="N108" i="2" s="1"/>
  <c r="N242" i="2"/>
  <c r="N7" i="7" s="1"/>
  <c r="N147" i="2"/>
  <c r="N166" i="2" s="1"/>
  <c r="N142" i="2"/>
  <c r="N118" i="2" s="1"/>
  <c r="N94" i="2"/>
  <c r="N126" i="2"/>
  <c r="N110" i="2" s="1"/>
  <c r="N148" i="2"/>
  <c r="N167" i="2" s="1"/>
  <c r="N46" i="2"/>
  <c r="N127" i="2"/>
  <c r="N111" i="2" s="1"/>
  <c r="N47" i="2"/>
  <c r="N139" i="2"/>
  <c r="N115" i="2" s="1"/>
  <c r="N48" i="2"/>
  <c r="N140" i="2"/>
  <c r="N116" i="2" s="1"/>
  <c r="N141" i="2"/>
  <c r="N117" i="2" s="1"/>
  <c r="N44" i="2"/>
  <c r="L50" i="2"/>
  <c r="L266" i="2" s="1"/>
  <c r="L31" i="7" s="1"/>
  <c r="L243" i="2"/>
  <c r="L8" i="7" s="1"/>
  <c r="J6" i="9" l="1"/>
  <c r="J28" i="9" s="1"/>
  <c r="J8" i="10"/>
  <c r="J43" i="10" s="1"/>
  <c r="N8" i="9"/>
  <c r="N10" i="10"/>
  <c r="K10" i="9"/>
  <c r="K12" i="10"/>
  <c r="N9" i="9"/>
  <c r="N11" i="10"/>
  <c r="L10" i="9"/>
  <c r="L12" i="10"/>
  <c r="J5" i="9"/>
  <c r="M176" i="2"/>
  <c r="M202" i="2" s="1"/>
  <c r="M11" i="9"/>
  <c r="M244" i="2"/>
  <c r="M9" i="7" s="1"/>
  <c r="M266" i="2"/>
  <c r="M31" i="7" s="1"/>
  <c r="J130" i="2"/>
  <c r="J253" i="2" s="1"/>
  <c r="J18" i="7" s="1"/>
  <c r="K95" i="2"/>
  <c r="K51" i="2" s="1"/>
  <c r="K162" i="2" s="1"/>
  <c r="L251" i="2"/>
  <c r="M120" i="2"/>
  <c r="M169" i="2" s="1"/>
  <c r="L244" i="2"/>
  <c r="L9" i="7" s="1"/>
  <c r="O142" i="2"/>
  <c r="O118" i="2" s="1"/>
  <c r="O124" i="2"/>
  <c r="O108" i="2" s="1"/>
  <c r="O141" i="2"/>
  <c r="O117" i="2" s="1"/>
  <c r="O242" i="2"/>
  <c r="O7" i="7" s="1"/>
  <c r="O147" i="2"/>
  <c r="O166" i="2" s="1"/>
  <c r="O94" i="2"/>
  <c r="O126" i="2"/>
  <c r="O110" i="2" s="1"/>
  <c r="O148" i="2"/>
  <c r="O167" i="2" s="1"/>
  <c r="O46" i="2"/>
  <c r="O127" i="2"/>
  <c r="O111" i="2" s="1"/>
  <c r="O47" i="2"/>
  <c r="O139" i="2"/>
  <c r="O115" i="2" s="1"/>
  <c r="O48" i="2"/>
  <c r="O140" i="2"/>
  <c r="O116" i="2" s="1"/>
  <c r="O44" i="2"/>
  <c r="O45" i="2" s="1"/>
  <c r="N254" i="2"/>
  <c r="N19" i="7" s="1"/>
  <c r="N173" i="2"/>
  <c r="N13" i="10" s="1"/>
  <c r="N49" i="2"/>
  <c r="N45" i="2"/>
  <c r="N125" i="2"/>
  <c r="N109" i="2" s="1"/>
  <c r="N112" i="2" s="1"/>
  <c r="N138" i="2"/>
  <c r="N114" i="2" s="1"/>
  <c r="N119" i="2" s="1"/>
  <c r="J14" i="9" l="1"/>
  <c r="J16" i="10"/>
  <c r="K6" i="9"/>
  <c r="K8" i="10"/>
  <c r="M10" i="9"/>
  <c r="M12" i="10"/>
  <c r="O8" i="9"/>
  <c r="O10" i="10"/>
  <c r="O9" i="9"/>
  <c r="O11" i="10"/>
  <c r="N176" i="2"/>
  <c r="N202" i="2" s="1"/>
  <c r="N11" i="9"/>
  <c r="L252" i="2"/>
  <c r="L17" i="7" s="1"/>
  <c r="L16" i="7"/>
  <c r="M251" i="2"/>
  <c r="K53" i="2"/>
  <c r="K6" i="10" s="1"/>
  <c r="K255" i="2"/>
  <c r="K20" i="7" s="1"/>
  <c r="K96" i="2"/>
  <c r="L95" i="2" s="1"/>
  <c r="L51" i="2" s="1"/>
  <c r="N120" i="2"/>
  <c r="N251" i="2" s="1"/>
  <c r="N50" i="2"/>
  <c r="N266" i="2" s="1"/>
  <c r="N31" i="7" s="1"/>
  <c r="N243" i="2"/>
  <c r="N8" i="7" s="1"/>
  <c r="O243" i="2"/>
  <c r="O8" i="7" s="1"/>
  <c r="O49" i="2"/>
  <c r="O50" i="2" s="1"/>
  <c r="O125" i="2"/>
  <c r="O109" i="2" s="1"/>
  <c r="O112" i="2" s="1"/>
  <c r="O138" i="2"/>
  <c r="O114" i="2" s="1"/>
  <c r="O119" i="2" s="1"/>
  <c r="O254" i="2"/>
  <c r="O19" i="7" s="1"/>
  <c r="O173" i="2"/>
  <c r="O13" i="10" s="1"/>
  <c r="K43" i="10" l="1"/>
  <c r="K7" i="10"/>
  <c r="K16" i="10" s="1"/>
  <c r="O176" i="2"/>
  <c r="O202" i="2" s="1"/>
  <c r="O11" i="9"/>
  <c r="K245" i="2"/>
  <c r="K10" i="7" s="1"/>
  <c r="K4" i="9"/>
  <c r="N252" i="2"/>
  <c r="N17" i="7" s="1"/>
  <c r="N16" i="7"/>
  <c r="M252" i="2"/>
  <c r="M17" i="7" s="1"/>
  <c r="M16" i="7"/>
  <c r="O244" i="2"/>
  <c r="O9" i="7" s="1"/>
  <c r="O266" i="2"/>
  <c r="O31" i="7" s="1"/>
  <c r="L93" i="2"/>
  <c r="L96" i="2" s="1"/>
  <c r="K130" i="2"/>
  <c r="K253" i="2" s="1"/>
  <c r="K18" i="7" s="1"/>
  <c r="N169" i="2"/>
  <c r="L255" i="2"/>
  <c r="L20" i="7" s="1"/>
  <c r="L162" i="2"/>
  <c r="L53" i="2"/>
  <c r="L6" i="10" s="1"/>
  <c r="N244" i="2"/>
  <c r="N9" i="7" s="1"/>
  <c r="O120" i="2"/>
  <c r="L7" i="10" l="1"/>
  <c r="L6" i="9"/>
  <c r="L8" i="10"/>
  <c r="L16" i="10" s="1"/>
  <c r="N10" i="9"/>
  <c r="N12" i="10"/>
  <c r="K5" i="9"/>
  <c r="K14" i="9" s="1"/>
  <c r="E18" i="9" s="1"/>
  <c r="E25" i="9" s="1"/>
  <c r="E27" i="9" s="1"/>
  <c r="E29" i="9" s="1"/>
  <c r="K28" i="9"/>
  <c r="L245" i="2"/>
  <c r="L10" i="7" s="1"/>
  <c r="L4" i="9"/>
  <c r="M95" i="2"/>
  <c r="M51" i="2" s="1"/>
  <c r="M93" i="2"/>
  <c r="L130" i="2"/>
  <c r="L253" i="2" s="1"/>
  <c r="L18" i="7" s="1"/>
  <c r="O251" i="2"/>
  <c r="O169" i="2"/>
  <c r="L28" i="9" l="1"/>
  <c r="O10" i="9"/>
  <c r="O12" i="10"/>
  <c r="F21" i="9"/>
  <c r="F22" i="9" s="1"/>
  <c r="L5" i="9"/>
  <c r="L14" i="9" s="1"/>
  <c r="O252" i="2"/>
  <c r="O17" i="7" s="1"/>
  <c r="O16" i="7"/>
  <c r="M96" i="2"/>
  <c r="M130" i="2" s="1"/>
  <c r="M253" i="2" s="1"/>
  <c r="M18" i="7" s="1"/>
  <c r="M162" i="2"/>
  <c r="M255" i="2"/>
  <c r="M20" i="7" s="1"/>
  <c r="M53" i="2"/>
  <c r="M6" i="10" s="1"/>
  <c r="M7" i="10" s="1"/>
  <c r="A1" i="2"/>
  <c r="M6" i="9" l="1"/>
  <c r="M8" i="10"/>
  <c r="M16" i="10" s="1"/>
  <c r="F23" i="9"/>
  <c r="F24" i="9"/>
  <c r="F31" i="9"/>
  <c r="F30" i="9"/>
  <c r="M245" i="2"/>
  <c r="M10" i="7" s="1"/>
  <c r="M4" i="9"/>
  <c r="N95" i="2"/>
  <c r="N51" i="2" s="1"/>
  <c r="N255" i="2" s="1"/>
  <c r="N20" i="7" s="1"/>
  <c r="N93" i="2"/>
  <c r="A7" i="1"/>
  <c r="M28" i="9" l="1"/>
  <c r="F25" i="9"/>
  <c r="F27" i="9" s="1"/>
  <c r="F29" i="9" s="1"/>
  <c r="M5" i="9"/>
  <c r="M14" i="9" s="1"/>
  <c r="N96" i="2"/>
  <c r="O93" i="2" s="1"/>
  <c r="N53" i="2"/>
  <c r="N6" i="10" s="1"/>
  <c r="N7" i="10" s="1"/>
  <c r="N162" i="2"/>
  <c r="A1" i="6"/>
  <c r="G21" i="9" l="1"/>
  <c r="G22" i="9" s="1"/>
  <c r="N6" i="9"/>
  <c r="N8" i="10"/>
  <c r="N16" i="10" s="1"/>
  <c r="N245" i="2"/>
  <c r="N10" i="7" s="1"/>
  <c r="N4" i="9"/>
  <c r="N28" i="9" s="1"/>
  <c r="O95" i="2"/>
  <c r="O51" i="2" s="1"/>
  <c r="O255" i="2" s="1"/>
  <c r="O20" i="7" s="1"/>
  <c r="N130" i="2"/>
  <c r="N253" i="2" s="1"/>
  <c r="N18" i="7" s="1"/>
  <c r="G23" i="9" l="1"/>
  <c r="G24" i="9"/>
  <c r="G25" i="9" s="1"/>
  <c r="G31" i="9"/>
  <c r="G30" i="9"/>
  <c r="N5" i="9"/>
  <c r="N14" i="9" s="1"/>
  <c r="O96" i="2"/>
  <c r="O130" i="2" s="1"/>
  <c r="O253" i="2" s="1"/>
  <c r="O18" i="7" s="1"/>
  <c r="O53" i="2"/>
  <c r="O162" i="2"/>
  <c r="O4" i="9" l="1"/>
  <c r="O6" i="10"/>
  <c r="O6" i="9"/>
  <c r="O8" i="10"/>
  <c r="G27" i="9"/>
  <c r="G29" i="9" s="1"/>
  <c r="H21" i="9"/>
  <c r="O5" i="9"/>
  <c r="O14" i="9" s="1"/>
  <c r="O28" i="9"/>
  <c r="O245" i="2"/>
  <c r="O10" i="7" s="1"/>
  <c r="F54" i="2"/>
  <c r="F271" i="2" s="1"/>
  <c r="G54" i="2"/>
  <c r="G270" i="2" s="1"/>
  <c r="H54" i="2"/>
  <c r="H271" i="2" s="1"/>
  <c r="I54" i="2"/>
  <c r="I270" i="2" s="1"/>
  <c r="J54" i="2"/>
  <c r="J271" i="2" s="1"/>
  <c r="K54" i="2"/>
  <c r="L54" i="2"/>
  <c r="M54" i="2"/>
  <c r="M270" i="2" s="1"/>
  <c r="N54" i="2"/>
  <c r="N270" i="2" s="1"/>
  <c r="O54" i="2"/>
  <c r="O271" i="2" s="1"/>
  <c r="F55" i="2"/>
  <c r="G55" i="2"/>
  <c r="H55" i="2"/>
  <c r="I55" i="2"/>
  <c r="J55" i="2"/>
  <c r="K55" i="2"/>
  <c r="L55" i="2"/>
  <c r="M55" i="2"/>
  <c r="N55" i="2"/>
  <c r="O55" i="2"/>
  <c r="O7" i="10" l="1"/>
  <c r="O16" i="10" s="1"/>
  <c r="H22" i="9"/>
  <c r="H23" i="9"/>
  <c r="J36" i="7"/>
  <c r="I35" i="7"/>
  <c r="H36" i="7"/>
  <c r="O36" i="7"/>
  <c r="G35" i="7"/>
  <c r="N35" i="7"/>
  <c r="F36" i="7"/>
  <c r="M35" i="7"/>
  <c r="M271" i="2"/>
  <c r="I271" i="2"/>
  <c r="H57" i="2"/>
  <c r="H58" i="2" s="1"/>
  <c r="H60" i="2" s="1"/>
  <c r="H62" i="2" s="1"/>
  <c r="G271" i="2"/>
  <c r="M57" i="2"/>
  <c r="M58" i="2" s="1"/>
  <c r="M60" i="2" s="1"/>
  <c r="M62" i="2" s="1"/>
  <c r="M104" i="2" s="1"/>
  <c r="J57" i="2"/>
  <c r="J58" i="2" s="1"/>
  <c r="J60" i="2" s="1"/>
  <c r="J62" i="2" s="1"/>
  <c r="I57" i="2"/>
  <c r="I58" i="2" s="1"/>
  <c r="I60" i="2" s="1"/>
  <c r="I62" i="2" s="1"/>
  <c r="K57" i="2"/>
  <c r="K58" i="2" s="1"/>
  <c r="K60" i="2" s="1"/>
  <c r="K62" i="2" s="1"/>
  <c r="O57" i="2"/>
  <c r="O58" i="2" s="1"/>
  <c r="J270" i="2"/>
  <c r="G57" i="2"/>
  <c r="G58" i="2" s="1"/>
  <c r="H270" i="2"/>
  <c r="N57" i="2"/>
  <c r="N58" i="2" s="1"/>
  <c r="N60" i="2" s="1"/>
  <c r="N62" i="2" s="1"/>
  <c r="F57" i="2"/>
  <c r="F58" i="2" s="1"/>
  <c r="N271" i="2"/>
  <c r="O270" i="2"/>
  <c r="F270" i="2"/>
  <c r="K271" i="2"/>
  <c r="K270" i="2"/>
  <c r="L270" i="2"/>
  <c r="L271" i="2"/>
  <c r="L57" i="2"/>
  <c r="H24" i="9" l="1"/>
  <c r="H25" i="9" s="1"/>
  <c r="H30" i="9"/>
  <c r="H31" i="9"/>
  <c r="L36" i="7"/>
  <c r="L35" i="7"/>
  <c r="H35" i="7"/>
  <c r="G36" i="7"/>
  <c r="N36" i="7"/>
  <c r="K35" i="7"/>
  <c r="J35" i="7"/>
  <c r="I36" i="7"/>
  <c r="O35" i="7"/>
  <c r="K36" i="7"/>
  <c r="F35" i="7"/>
  <c r="M36" i="7"/>
  <c r="O60" i="2"/>
  <c r="O62" i="2" s="1"/>
  <c r="O104" i="2" s="1"/>
  <c r="M246" i="2"/>
  <c r="M161" i="2"/>
  <c r="G60" i="2"/>
  <c r="G62" i="2" s="1"/>
  <c r="G161" i="2" s="1"/>
  <c r="G168" i="2" s="1"/>
  <c r="F60" i="2"/>
  <c r="F62" i="2" s="1"/>
  <c r="F104" i="2" s="1"/>
  <c r="F106" i="2" s="1"/>
  <c r="N104" i="2"/>
  <c r="N161" i="2"/>
  <c r="N168" i="2" s="1"/>
  <c r="N246" i="2"/>
  <c r="I104" i="2"/>
  <c r="I161" i="2"/>
  <c r="I168" i="2" s="1"/>
  <c r="I246" i="2"/>
  <c r="J246" i="2"/>
  <c r="J161" i="2"/>
  <c r="J168" i="2" s="1"/>
  <c r="J104" i="2"/>
  <c r="K246" i="2"/>
  <c r="K104" i="2"/>
  <c r="K161" i="2"/>
  <c r="K168" i="2" s="1"/>
  <c r="H104" i="2"/>
  <c r="H161" i="2"/>
  <c r="H168" i="2" s="1"/>
  <c r="H246" i="2"/>
  <c r="L58" i="2"/>
  <c r="L60" i="2" s="1"/>
  <c r="L62" i="2" s="1"/>
  <c r="M258" i="2" l="1"/>
  <c r="M168" i="2"/>
  <c r="E42" i="10"/>
  <c r="I21" i="9"/>
  <c r="H27" i="9"/>
  <c r="H29" i="9" s="1"/>
  <c r="N11" i="7"/>
  <c r="J11" i="7"/>
  <c r="M11" i="7"/>
  <c r="K11" i="7"/>
  <c r="H11" i="7"/>
  <c r="I11" i="7"/>
  <c r="M23" i="7"/>
  <c r="O246" i="2"/>
  <c r="O161" i="2"/>
  <c r="M170" i="2"/>
  <c r="M201" i="2" s="1"/>
  <c r="G246" i="2"/>
  <c r="G104" i="2"/>
  <c r="H64" i="2"/>
  <c r="K65" i="2"/>
  <c r="H65" i="2"/>
  <c r="F64" i="2"/>
  <c r="I65" i="2"/>
  <c r="F246" i="2"/>
  <c r="M65" i="2"/>
  <c r="M64" i="2"/>
  <c r="J64" i="2"/>
  <c r="F65" i="2"/>
  <c r="N65" i="2"/>
  <c r="O65" i="2"/>
  <c r="L64" i="2"/>
  <c r="K64" i="2"/>
  <c r="O64" i="2"/>
  <c r="J65" i="2"/>
  <c r="G64" i="2"/>
  <c r="G65" i="2"/>
  <c r="L65" i="2"/>
  <c r="F161" i="2"/>
  <c r="I64" i="2"/>
  <c r="N64" i="2"/>
  <c r="I170" i="2"/>
  <c r="I258" i="2"/>
  <c r="G258" i="2"/>
  <c r="G170" i="2"/>
  <c r="L104" i="2"/>
  <c r="L161" i="2"/>
  <c r="L168" i="2" s="1"/>
  <c r="L246" i="2"/>
  <c r="G103" i="2"/>
  <c r="F152" i="2"/>
  <c r="F154" i="2" s="1"/>
  <c r="K170" i="2"/>
  <c r="K258" i="2"/>
  <c r="J170" i="2"/>
  <c r="J258" i="2"/>
  <c r="H170" i="2"/>
  <c r="H258" i="2"/>
  <c r="N258" i="2"/>
  <c r="N170" i="2"/>
  <c r="O168" i="2" l="1"/>
  <c r="O258" i="2" s="1"/>
  <c r="O23" i="7" s="1"/>
  <c r="F168" i="2"/>
  <c r="F170" i="2" s="1"/>
  <c r="I23" i="9"/>
  <c r="I22" i="9"/>
  <c r="M259" i="2"/>
  <c r="M24" i="7" s="1"/>
  <c r="M260" i="2"/>
  <c r="M25" i="7" s="1"/>
  <c r="H23" i="7"/>
  <c r="O11" i="7"/>
  <c r="G11" i="7"/>
  <c r="L11" i="7"/>
  <c r="J23" i="7"/>
  <c r="K23" i="7"/>
  <c r="G23" i="7"/>
  <c r="N23" i="7"/>
  <c r="I23" i="7"/>
  <c r="F11" i="7"/>
  <c r="F258" i="2"/>
  <c r="G106" i="2"/>
  <c r="G152" i="2" s="1"/>
  <c r="G154" i="2" s="1"/>
  <c r="O170" i="2"/>
  <c r="O201" i="2" s="1"/>
  <c r="I260" i="2"/>
  <c r="I201" i="2"/>
  <c r="I259" i="2"/>
  <c r="L258" i="2"/>
  <c r="L170" i="2"/>
  <c r="J259" i="2"/>
  <c r="J260" i="2"/>
  <c r="J201" i="2"/>
  <c r="G201" i="2"/>
  <c r="G259" i="2"/>
  <c r="G260" i="2"/>
  <c r="N201" i="2"/>
  <c r="N259" i="2"/>
  <c r="N260" i="2"/>
  <c r="K259" i="2"/>
  <c r="K260" i="2"/>
  <c r="K201" i="2"/>
  <c r="F247" i="2"/>
  <c r="H260" i="2"/>
  <c r="H201" i="2"/>
  <c r="H259" i="2"/>
  <c r="F201" i="2" l="1"/>
  <c r="F259" i="2"/>
  <c r="F260" i="2"/>
  <c r="F47" i="10"/>
  <c r="F46" i="10"/>
  <c r="I24" i="9"/>
  <c r="I25" i="9" s="1"/>
  <c r="I31" i="9"/>
  <c r="I30" i="9"/>
  <c r="M262" i="2"/>
  <c r="M27" i="7" s="1"/>
  <c r="F25" i="7"/>
  <c r="G24" i="7"/>
  <c r="F24" i="7"/>
  <c r="H24" i="7"/>
  <c r="K24" i="7"/>
  <c r="H25" i="7"/>
  <c r="J25" i="7"/>
  <c r="N24" i="7"/>
  <c r="F23" i="7"/>
  <c r="I24" i="7"/>
  <c r="F12" i="7"/>
  <c r="J24" i="7"/>
  <c r="I25" i="7"/>
  <c r="N25" i="7"/>
  <c r="K25" i="7"/>
  <c r="G25" i="7"/>
  <c r="L23" i="7"/>
  <c r="H103" i="2"/>
  <c r="H106" i="2" s="1"/>
  <c r="I103" i="2" s="1"/>
  <c r="I106" i="2" s="1"/>
  <c r="O260" i="2"/>
  <c r="O259" i="2"/>
  <c r="K262" i="2"/>
  <c r="G247" i="2"/>
  <c r="G262" i="2"/>
  <c r="H262" i="2"/>
  <c r="J262" i="2"/>
  <c r="L201" i="2"/>
  <c r="L259" i="2"/>
  <c r="L260" i="2"/>
  <c r="F262" i="2"/>
  <c r="F204" i="2"/>
  <c r="F207" i="2" s="1"/>
  <c r="F210" i="2" s="1"/>
  <c r="F211" i="2" s="1"/>
  <c r="N262" i="2"/>
  <c r="I262" i="2"/>
  <c r="F42" i="10" l="1"/>
  <c r="F44" i="10" s="1"/>
  <c r="F45" i="10"/>
  <c r="I27" i="9"/>
  <c r="I29" i="9" s="1"/>
  <c r="J21" i="9"/>
  <c r="L24" i="7"/>
  <c r="O24" i="7"/>
  <c r="K27" i="7"/>
  <c r="H152" i="2"/>
  <c r="H154" i="2" s="1"/>
  <c r="H247" i="2" s="1"/>
  <c r="I27" i="7"/>
  <c r="N27" i="7"/>
  <c r="H27" i="7"/>
  <c r="F27" i="7"/>
  <c r="J27" i="7"/>
  <c r="G27" i="7"/>
  <c r="L25" i="7"/>
  <c r="G12" i="7"/>
  <c r="O262" i="2"/>
  <c r="O25" i="7"/>
  <c r="F261" i="2"/>
  <c r="L262" i="2"/>
  <c r="F232" i="2"/>
  <c r="F233" i="2" s="1"/>
  <c r="G209" i="2"/>
  <c r="F137" i="2"/>
  <c r="F213" i="2"/>
  <c r="F229" i="2" s="1"/>
  <c r="F227" i="2"/>
  <c r="F265" i="2" s="1"/>
  <c r="J103" i="2"/>
  <c r="J106" i="2" s="1"/>
  <c r="I152" i="2"/>
  <c r="I154" i="2" s="1"/>
  <c r="J23" i="9" l="1"/>
  <c r="J22" i="9"/>
  <c r="H12" i="7"/>
  <c r="F30" i="7"/>
  <c r="L27" i="7"/>
  <c r="F26" i="7"/>
  <c r="O27" i="7"/>
  <c r="F179" i="2"/>
  <c r="F183" i="2" s="1"/>
  <c r="F186" i="2" s="1"/>
  <c r="F187" i="2" s="1"/>
  <c r="F143" i="2"/>
  <c r="F149" i="2" s="1"/>
  <c r="F155" i="2" s="1"/>
  <c r="I247" i="2"/>
  <c r="K103" i="2"/>
  <c r="K106" i="2" s="1"/>
  <c r="J152" i="2"/>
  <c r="J154" i="2" s="1"/>
  <c r="F235" i="2"/>
  <c r="G231" i="2"/>
  <c r="F268" i="2"/>
  <c r="F267" i="2"/>
  <c r="G47" i="10" l="1"/>
  <c r="G46" i="10"/>
  <c r="J24" i="9"/>
  <c r="J25" i="9" s="1"/>
  <c r="J30" i="9"/>
  <c r="J31" i="9"/>
  <c r="I12" i="7"/>
  <c r="F33" i="7"/>
  <c r="F269" i="2"/>
  <c r="F32" i="7"/>
  <c r="J247" i="2"/>
  <c r="L103" i="2"/>
  <c r="L106" i="2" s="1"/>
  <c r="K152" i="2"/>
  <c r="K154" i="2" s="1"/>
  <c r="G185" i="2"/>
  <c r="F123" i="2"/>
  <c r="G42" i="10" l="1"/>
  <c r="G44" i="10" s="1"/>
  <c r="G45" i="10"/>
  <c r="J27" i="9"/>
  <c r="J29" i="9" s="1"/>
  <c r="K21" i="9"/>
  <c r="F34" i="7"/>
  <c r="J12" i="7"/>
  <c r="K247" i="2"/>
  <c r="F128" i="2"/>
  <c r="G200" i="2"/>
  <c r="G204" i="2" s="1"/>
  <c r="G207" i="2" s="1"/>
  <c r="G210" i="2" s="1"/>
  <c r="F237" i="2"/>
  <c r="L152" i="2"/>
  <c r="L154" i="2" s="1"/>
  <c r="M103" i="2"/>
  <c r="M106" i="2" s="1"/>
  <c r="K22" i="9" l="1"/>
  <c r="K23" i="9"/>
  <c r="K12" i="7"/>
  <c r="N103" i="2"/>
  <c r="N106" i="2" s="1"/>
  <c r="M152" i="2"/>
  <c r="M154" i="2" s="1"/>
  <c r="L247" i="2"/>
  <c r="G261" i="2"/>
  <c r="G232" i="2"/>
  <c r="G233" i="2" s="1"/>
  <c r="G211" i="2"/>
  <c r="F250" i="2"/>
  <c r="F135" i="2"/>
  <c r="F157" i="2" s="1"/>
  <c r="H46" i="10" l="1"/>
  <c r="H47" i="10"/>
  <c r="K24" i="9"/>
  <c r="K25" i="9" s="1"/>
  <c r="K30" i="9"/>
  <c r="K31" i="9"/>
  <c r="G26" i="7"/>
  <c r="L12" i="7"/>
  <c r="F15" i="7"/>
  <c r="G227" i="2"/>
  <c r="G265" i="2" s="1"/>
  <c r="H209" i="2"/>
  <c r="G137" i="2"/>
  <c r="G213" i="2"/>
  <c r="G229" i="2" s="1"/>
  <c r="H231" i="2"/>
  <c r="G235" i="2"/>
  <c r="M247" i="2"/>
  <c r="O103" i="2"/>
  <c r="O106" i="2" s="1"/>
  <c r="O152" i="2" s="1"/>
  <c r="O154" i="2" s="1"/>
  <c r="N152" i="2"/>
  <c r="N154" i="2" s="1"/>
  <c r="H45" i="10" l="1"/>
  <c r="H42" i="10"/>
  <c r="H44" i="10" s="1"/>
  <c r="K27" i="9"/>
  <c r="K29" i="9" s="1"/>
  <c r="L21" i="9"/>
  <c r="M12" i="7"/>
  <c r="G30" i="7"/>
  <c r="N247" i="2"/>
  <c r="G179" i="2"/>
  <c r="G183" i="2" s="1"/>
  <c r="G186" i="2" s="1"/>
  <c r="G187" i="2" s="1"/>
  <c r="G143" i="2"/>
  <c r="G149" i="2" s="1"/>
  <c r="G155" i="2" s="1"/>
  <c r="O247" i="2"/>
  <c r="G268" i="2"/>
  <c r="G267" i="2"/>
  <c r="L22" i="9" l="1"/>
  <c r="L23" i="9"/>
  <c r="O12" i="7"/>
  <c r="N12" i="7"/>
  <c r="G33" i="7"/>
  <c r="G269" i="2"/>
  <c r="G32" i="7"/>
  <c r="H185" i="2"/>
  <c r="G123" i="2"/>
  <c r="I46" i="10" l="1"/>
  <c r="I47" i="10"/>
  <c r="L24" i="9"/>
  <c r="L25" i="9" s="1"/>
  <c r="L31" i="9"/>
  <c r="L30" i="9"/>
  <c r="G34" i="7"/>
  <c r="G128" i="2"/>
  <c r="H200" i="2"/>
  <c r="H204" i="2" s="1"/>
  <c r="H207" i="2" s="1"/>
  <c r="H210" i="2" s="1"/>
  <c r="G237" i="2"/>
  <c r="I45" i="10" l="1"/>
  <c r="I42" i="10"/>
  <c r="I44" i="10" s="1"/>
  <c r="L27" i="9"/>
  <c r="L29" i="9" s="1"/>
  <c r="M21" i="9"/>
  <c r="H232" i="2"/>
  <c r="H233" i="2" s="1"/>
  <c r="H261" i="2"/>
  <c r="H211" i="2"/>
  <c r="G250" i="2"/>
  <c r="G135" i="2"/>
  <c r="G157" i="2" s="1"/>
  <c r="M22" i="9" l="1"/>
  <c r="M23" i="9"/>
  <c r="G15" i="7"/>
  <c r="H26" i="7"/>
  <c r="H227" i="2"/>
  <c r="H265" i="2" s="1"/>
  <c r="I209" i="2"/>
  <c r="H137" i="2"/>
  <c r="H213" i="2"/>
  <c r="H229" i="2" s="1"/>
  <c r="I231" i="2"/>
  <c r="H235" i="2"/>
  <c r="J46" i="10" l="1"/>
  <c r="J47" i="10"/>
  <c r="M24" i="9"/>
  <c r="M25" i="9" s="1"/>
  <c r="M30" i="9"/>
  <c r="M31" i="9"/>
  <c r="H30" i="7"/>
  <c r="H143" i="2"/>
  <c r="H149" i="2" s="1"/>
  <c r="H155" i="2" s="1"/>
  <c r="H179" i="2"/>
  <c r="H183" i="2" s="1"/>
  <c r="H186" i="2" s="1"/>
  <c r="H187" i="2" s="1"/>
  <c r="H267" i="2"/>
  <c r="H268" i="2"/>
  <c r="J42" i="10" l="1"/>
  <c r="J44" i="10" s="1"/>
  <c r="J45" i="10"/>
  <c r="N21" i="9"/>
  <c r="M27" i="9"/>
  <c r="M29" i="9" s="1"/>
  <c r="H33" i="7"/>
  <c r="H269" i="2"/>
  <c r="H32" i="7"/>
  <c r="H123" i="2"/>
  <c r="I185" i="2"/>
  <c r="N23" i="9" l="1"/>
  <c r="N22" i="9"/>
  <c r="H34" i="7"/>
  <c r="H128" i="2"/>
  <c r="I200" i="2"/>
  <c r="I204" i="2" s="1"/>
  <c r="I207" i="2" s="1"/>
  <c r="I210" i="2" s="1"/>
  <c r="H237" i="2"/>
  <c r="K47" i="10" l="1"/>
  <c r="K46" i="10"/>
  <c r="N24" i="9"/>
  <c r="N25" i="9" s="1"/>
  <c r="N31" i="9"/>
  <c r="N30" i="9"/>
  <c r="I232" i="2"/>
  <c r="I233" i="2" s="1"/>
  <c r="I261" i="2"/>
  <c r="I211" i="2"/>
  <c r="H250" i="2"/>
  <c r="H135" i="2"/>
  <c r="H157" i="2" s="1"/>
  <c r="K42" i="10" l="1"/>
  <c r="K44" i="10" s="1"/>
  <c r="K45" i="10"/>
  <c r="O21" i="9"/>
  <c r="N27" i="9"/>
  <c r="N29" i="9" s="1"/>
  <c r="I26" i="7"/>
  <c r="H15" i="7"/>
  <c r="I227" i="2"/>
  <c r="I265" i="2" s="1"/>
  <c r="J209" i="2"/>
  <c r="I137" i="2"/>
  <c r="I213" i="2"/>
  <c r="I229" i="2" s="1"/>
  <c r="J231" i="2"/>
  <c r="I235" i="2"/>
  <c r="O22" i="9" l="1"/>
  <c r="O23" i="9"/>
  <c r="I30" i="7"/>
  <c r="I267" i="2"/>
  <c r="I268" i="2"/>
  <c r="I143" i="2"/>
  <c r="I149" i="2" s="1"/>
  <c r="I155" i="2" s="1"/>
  <c r="I179" i="2"/>
  <c r="I183" i="2" s="1"/>
  <c r="I186" i="2" s="1"/>
  <c r="I187" i="2" s="1"/>
  <c r="O24" i="9" l="1"/>
  <c r="O25" i="9" s="1"/>
  <c r="O27" i="9" s="1"/>
  <c r="O29" i="9" s="1"/>
  <c r="O30" i="9"/>
  <c r="O31" i="9"/>
  <c r="I33" i="7"/>
  <c r="I269" i="2"/>
  <c r="I32" i="7"/>
  <c r="I123" i="2"/>
  <c r="J185" i="2"/>
  <c r="I34" i="7" l="1"/>
  <c r="I128" i="2"/>
  <c r="J200" i="2"/>
  <c r="J204" i="2" s="1"/>
  <c r="J207" i="2" s="1"/>
  <c r="J210" i="2" s="1"/>
  <c r="I237" i="2"/>
  <c r="J232" i="2" l="1"/>
  <c r="J233" i="2" s="1"/>
  <c r="J261" i="2"/>
  <c r="J211" i="2"/>
  <c r="I250" i="2"/>
  <c r="I135" i="2"/>
  <c r="I157" i="2" s="1"/>
  <c r="J26" i="7" l="1"/>
  <c r="I15" i="7"/>
  <c r="J137" i="2"/>
  <c r="J227" i="2"/>
  <c r="J265" i="2" s="1"/>
  <c r="K209" i="2"/>
  <c r="J213" i="2"/>
  <c r="J229" i="2" s="1"/>
  <c r="K231" i="2"/>
  <c r="J235" i="2"/>
  <c r="J30" i="7" l="1"/>
  <c r="J267" i="2"/>
  <c r="J268" i="2"/>
  <c r="J143" i="2"/>
  <c r="J149" i="2" s="1"/>
  <c r="J155" i="2" s="1"/>
  <c r="J179" i="2"/>
  <c r="J183" i="2" s="1"/>
  <c r="J186" i="2" s="1"/>
  <c r="J187" i="2" s="1"/>
  <c r="J33" i="7" l="1"/>
  <c r="J269" i="2"/>
  <c r="J32" i="7"/>
  <c r="K185" i="2"/>
  <c r="J123" i="2"/>
  <c r="J34" i="7" l="1"/>
  <c r="J128" i="2"/>
  <c r="K200" i="2"/>
  <c r="K204" i="2" s="1"/>
  <c r="K207" i="2" s="1"/>
  <c r="K210" i="2" s="1"/>
  <c r="J237" i="2"/>
  <c r="K232" i="2" l="1"/>
  <c r="K233" i="2" s="1"/>
  <c r="K261" i="2"/>
  <c r="K211" i="2"/>
  <c r="J250" i="2"/>
  <c r="J135" i="2"/>
  <c r="J157" i="2" s="1"/>
  <c r="K26" i="7" l="1"/>
  <c r="J15" i="7"/>
  <c r="K137" i="2"/>
  <c r="K227" i="2"/>
  <c r="K265" i="2" s="1"/>
  <c r="L209" i="2"/>
  <c r="K213" i="2"/>
  <c r="K229" i="2" s="1"/>
  <c r="L231" i="2"/>
  <c r="K235" i="2"/>
  <c r="K30" i="7" l="1"/>
  <c r="K267" i="2"/>
  <c r="K268" i="2"/>
  <c r="K143" i="2"/>
  <c r="K149" i="2" s="1"/>
  <c r="K155" i="2" s="1"/>
  <c r="K179" i="2"/>
  <c r="K183" i="2" s="1"/>
  <c r="K186" i="2" s="1"/>
  <c r="K187" i="2" s="1"/>
  <c r="K33" i="7" l="1"/>
  <c r="K269" i="2"/>
  <c r="K32" i="7"/>
  <c r="L185" i="2"/>
  <c r="K123" i="2"/>
  <c r="K34" i="7" l="1"/>
  <c r="K128" i="2"/>
  <c r="L200" i="2"/>
  <c r="L204" i="2" s="1"/>
  <c r="L207" i="2" s="1"/>
  <c r="L210" i="2" s="1"/>
  <c r="K237" i="2"/>
  <c r="L232" i="2" l="1"/>
  <c r="L233" i="2" s="1"/>
  <c r="L261" i="2"/>
  <c r="L211" i="2"/>
  <c r="K250" i="2"/>
  <c r="K135" i="2"/>
  <c r="K157" i="2" s="1"/>
  <c r="L26" i="7" l="1"/>
  <c r="K15" i="7"/>
  <c r="L137" i="2"/>
  <c r="M209" i="2"/>
  <c r="L227" i="2"/>
  <c r="L265" i="2" s="1"/>
  <c r="L213" i="2"/>
  <c r="L229" i="2" s="1"/>
  <c r="M231" i="2"/>
  <c r="L235" i="2"/>
  <c r="L30" i="7" l="1"/>
  <c r="L267" i="2"/>
  <c r="L268" i="2"/>
  <c r="L143" i="2"/>
  <c r="L149" i="2" s="1"/>
  <c r="L155" i="2" s="1"/>
  <c r="L179" i="2"/>
  <c r="L183" i="2" s="1"/>
  <c r="L186" i="2" s="1"/>
  <c r="L187" i="2" s="1"/>
  <c r="L33" i="7" l="1"/>
  <c r="L269" i="2"/>
  <c r="L32" i="7"/>
  <c r="M185" i="2"/>
  <c r="L123" i="2"/>
  <c r="L34" i="7" l="1"/>
  <c r="L128" i="2"/>
  <c r="M200" i="2"/>
  <c r="M204" i="2" s="1"/>
  <c r="M207" i="2" s="1"/>
  <c r="M210" i="2" s="1"/>
  <c r="L237" i="2"/>
  <c r="M232" i="2" l="1"/>
  <c r="M233" i="2" s="1"/>
  <c r="M261" i="2"/>
  <c r="M211" i="2"/>
  <c r="L135" i="2"/>
  <c r="L157" i="2" s="1"/>
  <c r="L250" i="2"/>
  <c r="L15" i="7" l="1"/>
  <c r="M26" i="7"/>
  <c r="M227" i="2"/>
  <c r="M265" i="2" s="1"/>
  <c r="M137" i="2"/>
  <c r="N209" i="2"/>
  <c r="M213" i="2"/>
  <c r="M229" i="2" s="1"/>
  <c r="N231" i="2"/>
  <c r="M235" i="2"/>
  <c r="M30" i="7" l="1"/>
  <c r="M143" i="2"/>
  <c r="M149" i="2" s="1"/>
  <c r="M155" i="2" s="1"/>
  <c r="M179" i="2"/>
  <c r="M183" i="2" s="1"/>
  <c r="M186" i="2" s="1"/>
  <c r="M187" i="2" s="1"/>
  <c r="M267" i="2"/>
  <c r="M268" i="2"/>
  <c r="M33" i="7" l="1"/>
  <c r="M269" i="2"/>
  <c r="M32" i="7"/>
  <c r="N185" i="2"/>
  <c r="M123" i="2"/>
  <c r="M34" i="7" l="1"/>
  <c r="N200" i="2"/>
  <c r="N204" i="2" s="1"/>
  <c r="N207" i="2" s="1"/>
  <c r="N210" i="2" s="1"/>
  <c r="M128" i="2"/>
  <c r="M237" i="2"/>
  <c r="M135" i="2" l="1"/>
  <c r="M157" i="2" s="1"/>
  <c r="M250" i="2"/>
  <c r="N232" i="2"/>
  <c r="N233" i="2" s="1"/>
  <c r="N261" i="2"/>
  <c r="N211" i="2"/>
  <c r="N26" i="7" l="1"/>
  <c r="M15" i="7"/>
  <c r="O209" i="2"/>
  <c r="N137" i="2"/>
  <c r="N227" i="2"/>
  <c r="N265" i="2" s="1"/>
  <c r="N213" i="2"/>
  <c r="N229" i="2" s="1"/>
  <c r="O231" i="2"/>
  <c r="N235" i="2"/>
  <c r="N30" i="7" l="1"/>
  <c r="N268" i="2"/>
  <c r="N267" i="2"/>
  <c r="N179" i="2"/>
  <c r="N183" i="2" s="1"/>
  <c r="N186" i="2" s="1"/>
  <c r="N187" i="2" s="1"/>
  <c r="N143" i="2"/>
  <c r="N149" i="2" s="1"/>
  <c r="N155" i="2" s="1"/>
  <c r="N33" i="7" l="1"/>
  <c r="N269" i="2"/>
  <c r="N32" i="7"/>
  <c r="O185" i="2"/>
  <c r="N123" i="2"/>
  <c r="N34" i="7" l="1"/>
  <c r="N128" i="2"/>
  <c r="O200" i="2"/>
  <c r="O204" i="2" s="1"/>
  <c r="O207" i="2" s="1"/>
  <c r="O210" i="2" s="1"/>
  <c r="N237" i="2"/>
  <c r="N250" i="2" l="1"/>
  <c r="N135" i="2"/>
  <c r="N157" i="2" s="1"/>
  <c r="O232" i="2"/>
  <c r="O233" i="2" s="1"/>
  <c r="O261" i="2"/>
  <c r="O211" i="2"/>
  <c r="O26" i="7" l="1"/>
  <c r="N15" i="7"/>
  <c r="O235" i="2"/>
  <c r="O227" i="2"/>
  <c r="O265" i="2" s="1"/>
  <c r="O137" i="2"/>
  <c r="O213" i="2"/>
  <c r="O229" i="2" s="1"/>
  <c r="O30" i="7" l="1"/>
  <c r="O268" i="2"/>
  <c r="O267" i="2"/>
  <c r="O179" i="2"/>
  <c r="O183" i="2" s="1"/>
  <c r="O186" i="2" s="1"/>
  <c r="O187" i="2" s="1"/>
  <c r="O123" i="2" s="1"/>
  <c r="O143" i="2"/>
  <c r="O149" i="2" s="1"/>
  <c r="O155" i="2" s="1"/>
  <c r="O33" i="7" l="1"/>
  <c r="O269" i="2"/>
  <c r="O32" i="7"/>
  <c r="O128" i="2"/>
  <c r="O237" i="2"/>
  <c r="O34" i="7" l="1"/>
  <c r="O250" i="2"/>
  <c r="O135" i="2"/>
  <c r="O157" i="2" s="1"/>
  <c r="O15" i="7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E29" authorId="0" shapeId="0" xr:uid="{3B6EF274-434E-4562-8107-F40F9535B788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In a leveraged deal, the full debt amount at the start of the deal is often compared to the first full year of EBITDA (or the LTM EBITDA).</t>
        </r>
      </text>
    </comment>
  </commentList>
</comments>
</file>

<file path=xl/sharedStrings.xml><?xml version="1.0" encoding="utf-8"?>
<sst xmlns="http://schemas.openxmlformats.org/spreadsheetml/2006/main" count="414" uniqueCount="247">
  <si>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</si>
  <si>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</si>
  <si>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</si>
  <si>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</si>
  <si>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</si>
  <si>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</si>
  <si>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</si>
  <si>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</si>
  <si>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</si>
  <si>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</si>
  <si>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</si>
  <si>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</si>
  <si>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</si>
  <si>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</si>
  <si>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</si>
  <si>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</si>
  <si>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</si>
  <si>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</si>
  <si>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</si>
  <si>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www.fe.training</t>
  </si>
  <si>
    <t>Hist.</t>
  </si>
  <si>
    <t>Proj.</t>
  </si>
  <si>
    <t>Year -2</t>
  </si>
  <si>
    <t>Year -1</t>
  </si>
  <si>
    <t>Year 0</t>
  </si>
  <si>
    <t>Year 1</t>
  </si>
  <si>
    <t>Year 2</t>
  </si>
  <si>
    <t>Year 3</t>
  </si>
  <si>
    <t>Year 4</t>
  </si>
  <si>
    <t>Year 5</t>
  </si>
  <si>
    <t>Year 6</t>
  </si>
  <si>
    <t>Year 7</t>
  </si>
  <si>
    <t>Year 8</t>
  </si>
  <si>
    <t>Year 9</t>
  </si>
  <si>
    <t>Year 10</t>
  </si>
  <si>
    <t>3 statement model</t>
  </si>
  <si>
    <t>Assumptions, income statement, balance sheet, cash flow statement</t>
  </si>
  <si>
    <t>Scenarios</t>
  </si>
  <si>
    <t>Credit ratios</t>
  </si>
  <si>
    <t>Mid Mod Furniture, Inc.</t>
  </si>
  <si>
    <t>Income Statement</t>
  </si>
  <si>
    <t>Balance Sheet Assumptions</t>
  </si>
  <si>
    <t>Balance Sheet Calculations</t>
  </si>
  <si>
    <t>Balance Sheet</t>
  </si>
  <si>
    <t>Cash Flow Statement</t>
  </si>
  <si>
    <t>Net Debt and Interest Assumptions</t>
  </si>
  <si>
    <t>Net Debt and Interest Calculations</t>
  </si>
  <si>
    <t>Income Statement Operating Statistics</t>
  </si>
  <si>
    <t>Net Debt and Interest Statistics</t>
  </si>
  <si>
    <t>End</t>
  </si>
  <si>
    <t>International</t>
  </si>
  <si>
    <t>US</t>
  </si>
  <si>
    <t>Total revenues</t>
  </si>
  <si>
    <t>Gross margin</t>
  </si>
  <si>
    <t>Restructuring and impairment expenses</t>
  </si>
  <si>
    <t>Design and research</t>
  </si>
  <si>
    <t>Interest expense</t>
  </si>
  <si>
    <t>Interest and other investment income</t>
  </si>
  <si>
    <t>Earnings before income taxes</t>
  </si>
  <si>
    <t>Income tax expense</t>
  </si>
  <si>
    <t>Net earnings</t>
  </si>
  <si>
    <t/>
  </si>
  <si>
    <t>Earnings per share - basic</t>
  </si>
  <si>
    <t>Earnings per share - diluted</t>
  </si>
  <si>
    <t>Other non-operating</t>
  </si>
  <si>
    <t>Equity earnings from affiliates, net of tax</t>
  </si>
  <si>
    <t>Net earnings attributable to NCI</t>
  </si>
  <si>
    <t>Shares outstanding, basic</t>
  </si>
  <si>
    <t>Shares outstanding, diluted</t>
  </si>
  <si>
    <t>Inventories, net</t>
  </si>
  <si>
    <t>Prepaid taxes</t>
  </si>
  <si>
    <t>Accounts reveivable</t>
  </si>
  <si>
    <t>Net Property and Equipment</t>
  </si>
  <si>
    <t>Goodwill</t>
  </si>
  <si>
    <t>Total current assets</t>
  </si>
  <si>
    <t>Total assets</t>
  </si>
  <si>
    <t>Accounts payable</t>
  </si>
  <si>
    <t>Accrued compensation and benefits</t>
  </si>
  <si>
    <t>Accrued warranty</t>
  </si>
  <si>
    <t>Customer deposits</t>
  </si>
  <si>
    <t>Other accrued liabilities</t>
  </si>
  <si>
    <t>Total current liabilities</t>
  </si>
  <si>
    <t>Pension and post-retirement benefits</t>
  </si>
  <si>
    <t>Other liabilities</t>
  </si>
  <si>
    <t>Total Liabilities</t>
  </si>
  <si>
    <t>Redeemable noncontrolling interests</t>
  </si>
  <si>
    <t>Noncontrolling interests</t>
  </si>
  <si>
    <t>Stockholders equity</t>
  </si>
  <si>
    <t>Total Stockholders' Equity</t>
  </si>
  <si>
    <t>Total Liabilities, Redeemable Noncontrolling</t>
  </si>
  <si>
    <t>Intangibles</t>
  </si>
  <si>
    <t>Balance check</t>
  </si>
  <si>
    <t>EBITDA</t>
  </si>
  <si>
    <t>Depreciation</t>
  </si>
  <si>
    <t>Amortization</t>
  </si>
  <si>
    <t>EBIT</t>
  </si>
  <si>
    <t>Cost of sales (excluding depreciation)</t>
  </si>
  <si>
    <t>Income Statement Assumptions</t>
  </si>
  <si>
    <t>US Sales % growth</t>
  </si>
  <si>
    <t>International % growth</t>
  </si>
  <si>
    <t>Cost of sales (excl. depreciation) % sales</t>
  </si>
  <si>
    <t>SG&amp;A (excl. amortization) % sales</t>
  </si>
  <si>
    <t>Restructuring and impairment expenses % sales</t>
  </si>
  <si>
    <t>Design and research % sales</t>
  </si>
  <si>
    <t>SG&amp;A (excl. amortization)</t>
  </si>
  <si>
    <t>Depreciation % of prev. year net PPE</t>
  </si>
  <si>
    <t>Dividends per share growth %</t>
  </si>
  <si>
    <t>DPS</t>
  </si>
  <si>
    <t>Total operating expenses (excl. D&amp;A)</t>
  </si>
  <si>
    <t>MTR</t>
  </si>
  <si>
    <t>ETR</t>
  </si>
  <si>
    <t>Cash and marketable securities</t>
  </si>
  <si>
    <t>Capital expenditures</t>
  </si>
  <si>
    <t>Intangibles purchases</t>
  </si>
  <si>
    <t>Capital expenditures % sales</t>
  </si>
  <si>
    <t>Other % sales</t>
  </si>
  <si>
    <t>Prepaid taxes % sales</t>
  </si>
  <si>
    <t>Inventories days</t>
  </si>
  <si>
    <t>Accounts reveivable days</t>
  </si>
  <si>
    <t>Accounts payable days</t>
  </si>
  <si>
    <t>Accrued compensation and benefits % sales</t>
  </si>
  <si>
    <t>Accrued warranty % sales</t>
  </si>
  <si>
    <t>Customer deposits % sales</t>
  </si>
  <si>
    <t>Other accrued liabilities % sales</t>
  </si>
  <si>
    <t>Other liabilities % sales</t>
  </si>
  <si>
    <t>Pension and post-retirement benefits % sales</t>
  </si>
  <si>
    <t>Beginning PPE</t>
  </si>
  <si>
    <t>Capex</t>
  </si>
  <si>
    <t>Ending PPE</t>
  </si>
  <si>
    <t>Purchases</t>
  </si>
  <si>
    <t>Ending intangibles</t>
  </si>
  <si>
    <t>Beginning intangibles</t>
  </si>
  <si>
    <t>Other assets (including equity affiliates)</t>
  </si>
  <si>
    <t>Goodwill changes</t>
  </si>
  <si>
    <t>Net income to common</t>
  </si>
  <si>
    <t>Net earnings attributable to common</t>
  </si>
  <si>
    <t>Dividends</t>
  </si>
  <si>
    <t xml:space="preserve">Ending stockholders' equity </t>
  </si>
  <si>
    <t xml:space="preserve">Beginning stockholders' equity </t>
  </si>
  <si>
    <t>Long term debt</t>
  </si>
  <si>
    <t>Interest on cash and equivalents</t>
  </si>
  <si>
    <t>Operating lease assets</t>
  </si>
  <si>
    <t>Operating lease liabilities</t>
  </si>
  <si>
    <t>Operating lease assets growth</t>
  </si>
  <si>
    <t>Operating lease liabilities % growth</t>
  </si>
  <si>
    <t>Other current operating assets</t>
  </si>
  <si>
    <t>Net operating working assets</t>
  </si>
  <si>
    <t>Total operating working liabilities</t>
  </si>
  <si>
    <t>Total operating working assets</t>
  </si>
  <si>
    <t>Cash flow from operations</t>
  </si>
  <si>
    <t>Changes in pension and post-retirement liabilities</t>
  </si>
  <si>
    <t>Changes in other LT liabilities</t>
  </si>
  <si>
    <t>Changes in OWC</t>
  </si>
  <si>
    <t>Operating cash flow</t>
  </si>
  <si>
    <t>Funds from operations</t>
  </si>
  <si>
    <t>Cash flow from investing activities</t>
  </si>
  <si>
    <t>Increases to operating leases</t>
  </si>
  <si>
    <t>Purchase of intangibles</t>
  </si>
  <si>
    <t>Earnings in equity affiliates</t>
  </si>
  <si>
    <t>Net income attributable to NCI</t>
  </si>
  <si>
    <t>Cash flow from investing</t>
  </si>
  <si>
    <t>Cash flow from financing</t>
  </si>
  <si>
    <t>Change in LT debt</t>
  </si>
  <si>
    <t>Dividends paid to common shareholders</t>
  </si>
  <si>
    <t>Total cash flow from financing</t>
  </si>
  <si>
    <t>Beginning cash</t>
  </si>
  <si>
    <t>Ending cash</t>
  </si>
  <si>
    <t>Net cash flow</t>
  </si>
  <si>
    <t>Interest on Notes</t>
  </si>
  <si>
    <t>ST Revolver</t>
  </si>
  <si>
    <t>Interest on syndicated bank loan</t>
  </si>
  <si>
    <t>Cash availiable for debt</t>
  </si>
  <si>
    <t>Cash avail for debt</t>
  </si>
  <si>
    <t>Syndicated bank loan repayment</t>
  </si>
  <si>
    <t>Senior Notes repayment</t>
  </si>
  <si>
    <t>Surplus cash / (revolver requirement)</t>
  </si>
  <si>
    <t>LT debt maturities/issuance</t>
  </si>
  <si>
    <t>Short term debt issuance (repayment)</t>
  </si>
  <si>
    <t>Interest rate</t>
  </si>
  <si>
    <t>Issuance / (repayment)</t>
  </si>
  <si>
    <t>Interest on revolver</t>
  </si>
  <si>
    <t>Beginning syndicated bank loan</t>
  </si>
  <si>
    <t xml:space="preserve">Beginning revolver </t>
  </si>
  <si>
    <t>Ending revolver</t>
  </si>
  <si>
    <t>Ending syndicated bank loan</t>
  </si>
  <si>
    <t>Beginning senior notes</t>
  </si>
  <si>
    <t>Ending senior notes</t>
  </si>
  <si>
    <t>Total short term debt (revolver)</t>
  </si>
  <si>
    <t>Total long term debt</t>
  </si>
  <si>
    <t>Total interest expense</t>
  </si>
  <si>
    <t>Change in ST debt</t>
  </si>
  <si>
    <t>EBITDA margin</t>
  </si>
  <si>
    <t>EBIT margin</t>
  </si>
  <si>
    <t>NI margin</t>
  </si>
  <si>
    <t>OWC</t>
  </si>
  <si>
    <t>OWC % revenues</t>
  </si>
  <si>
    <t>Total debt</t>
  </si>
  <si>
    <t>Net debt</t>
  </si>
  <si>
    <t>Total debt / EBITDA</t>
  </si>
  <si>
    <t>Net debt / EBITDA</t>
  </si>
  <si>
    <t>ROI</t>
  </si>
  <si>
    <t>Fixed asset turnover</t>
  </si>
  <si>
    <t>Current ratio</t>
  </si>
  <si>
    <t>Balance Sheet Statistics</t>
  </si>
  <si>
    <t>Capex ratio</t>
  </si>
  <si>
    <t>Reinvestment rate</t>
  </si>
  <si>
    <t>Cash flow metrics</t>
  </si>
  <si>
    <t>FFO</t>
  </si>
  <si>
    <t>Free cash flow</t>
  </si>
  <si>
    <t>Levered cash flow</t>
  </si>
  <si>
    <t>Discretionary cash flow</t>
  </si>
  <si>
    <t>EBIT/Interest</t>
  </si>
  <si>
    <t>EBITDA-capex/interest</t>
  </si>
  <si>
    <t>Beginning cash and cash equivalents</t>
  </si>
  <si>
    <t>Ending cash and cash equivalents</t>
  </si>
  <si>
    <t>Interest income</t>
  </si>
  <si>
    <t>Check?</t>
  </si>
  <si>
    <t>Company case</t>
  </si>
  <si>
    <t>Bank case</t>
  </si>
  <si>
    <t>Downside case</t>
  </si>
  <si>
    <t>US Sales growth assumptions</t>
  </si>
  <si>
    <t>International Sales growth assumptions</t>
  </si>
  <si>
    <t>COGS assumptions</t>
  </si>
  <si>
    <t>Taxes</t>
  </si>
  <si>
    <t>Purchases of intangibles</t>
  </si>
  <si>
    <t>Increases to operating lease assets</t>
  </si>
  <si>
    <t>Change in Operating Lease liabilities</t>
  </si>
  <si>
    <t>Term</t>
  </si>
  <si>
    <t>After-tax cost of debt</t>
  </si>
  <si>
    <t>PV of future bank case cash flows</t>
  </si>
  <si>
    <t>Debt amortization schedule</t>
  </si>
  <si>
    <t>Beginning balance</t>
  </si>
  <si>
    <t>Accrued interest</t>
  </si>
  <si>
    <t>Interest paid</t>
  </si>
  <si>
    <t>Debt repayment</t>
  </si>
  <si>
    <t>Ending balance</t>
  </si>
  <si>
    <t>Loan amoount (PV of future cash flows)</t>
  </si>
  <si>
    <t>Loan amoount</t>
  </si>
  <si>
    <t>Cash flows available for Term A</t>
  </si>
  <si>
    <t>Total debt to EBITDA</t>
  </si>
  <si>
    <t>TLA/EBITDA</t>
  </si>
  <si>
    <t>EBITDA/Interest</t>
  </si>
  <si>
    <t>EBITDA-capex/Interest</t>
  </si>
  <si>
    <t xml:space="preserve">Debt capacity TLA </t>
  </si>
  <si>
    <t>Ratios</t>
  </si>
  <si>
    <t>Debt Capacity Tla</t>
  </si>
  <si>
    <t>Debt Capacity Term Loan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</si>
</sst>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  <numFmt numFmtId="172" formatCode="#,##0.0_);\(#,##0.0\)"/>
    <numFmt numFmtId="173" formatCode="0.00%_);\(0.00%\)"/>
    <numFmt numFmtId="174" formatCode="&quot;Year &quot;0"/>
  </numFmts>
  <fonts count="36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2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  <xf numFmtId="167" fontId="27" fillId="2" borderId="0">
      <alignment horizontal="center"/>
    </xf>
    <xf numFmtId="167" fontId="3" fillId="0" borderId="0">
      <alignment vertical="top"/>
    </xf>
  </cellStyleXfs>
  <cellXfs count="109">
    <xf numFmtId="170" fontId="0" fillId="0" borderId="0" xfId="0"/>
    <xf numFmtId="170" fontId="2" fillId="5" borderId="0" xfId="51" applyNumberFormat="1" applyFont="1" applyAlignment="1"/>
    <xf numFmtId="170" fontId="2" fillId="5" borderId="0" xfId="51" applyNumberFormat="1" applyFont="1" applyAlignment="1">
      <alignment horizontal="left" vertical="top"/>
    </xf>
    <xf numFmtId="170" fontId="2" fillId="4" borderId="0" xfId="0" applyFont="1" applyFill="1" applyBorder="1"/>
    <xf numFmtId="167" fontId="31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25" fillId="2" borderId="0" xfId="0" applyFont="1" applyFill="1" applyBorder="1" applyAlignment="1">
      <alignment vertical="center"/>
    </xf>
    <xf numFmtId="166" fontId="28" fillId="3" borderId="0" xfId="52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4" fillId="0" borderId="0" xfId="50" applyNumberFormat="1">
      <alignment horizontal="left" vertical="center"/>
    </xf>
    <xf numFmtId="170" fontId="0" fillId="0" borderId="0" xfId="0"/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center" vertical="top"/>
    </xf>
    <xf numFmtId="170" fontId="0" fillId="0" borderId="0" xfId="0" applyFill="1"/>
    <xf numFmtId="170" fontId="0" fillId="0" borderId="0" xfId="0" applyFill="1" applyBorder="1"/>
    <xf numFmtId="170" fontId="25" fillId="0" borderId="0" xfId="0" applyFont="1" applyFill="1" applyBorder="1" applyAlignment="1"/>
    <xf numFmtId="167" fontId="30" fillId="0" borderId="0" xfId="57" applyFill="1" applyBorder="1" applyAlignment="1">
      <alignment vertical="top"/>
    </xf>
    <xf numFmtId="167" fontId="2" fillId="5" borderId="0" xfId="51" applyNumberFormat="1" applyFont="1" applyBorder="1" applyAlignment="1">
      <alignment horizontal="left" vertical="top"/>
    </xf>
    <xf numFmtId="167" fontId="3" fillId="5" borderId="0" xfId="51" applyNumberFormat="1" applyFont="1" applyBorder="1" applyAlignment="1">
      <alignment horizontal="center" vertical="top"/>
    </xf>
    <xf numFmtId="167" fontId="2" fillId="5" borderId="0" xfId="51" applyNumberFormat="1" applyFont="1" applyBorder="1" applyAlignment="1"/>
    <xf numFmtId="167" fontId="5" fillId="5" borderId="0" xfId="51" applyNumberFormat="1" applyFont="1" applyBorder="1" applyAlignment="1">
      <alignment vertical="center" wrapText="1"/>
    </xf>
    <xf numFmtId="167" fontId="2" fillId="5" borderId="0" xfId="51" applyNumberFormat="1" applyFont="1" applyAlignment="1">
      <alignment vertical="top"/>
    </xf>
    <xf numFmtId="167" fontId="3" fillId="5" borderId="0" xfId="51" applyNumberFormat="1" applyFont="1" applyAlignment="1">
      <alignment horizontal="center" vertical="top"/>
    </xf>
    <xf numFmtId="167" fontId="2" fillId="5" borderId="0" xfId="51" applyNumberFormat="1" applyFont="1" applyAlignment="1"/>
    <xf numFmtId="167" fontId="5" fillId="5" borderId="0" xfId="51" applyNumberFormat="1" applyFont="1" applyAlignment="1">
      <alignment vertical="center" wrapText="1"/>
    </xf>
    <xf numFmtId="167" fontId="7" fillId="5" borderId="0" xfId="51" applyNumberFormat="1" applyFont="1" applyAlignment="1">
      <alignment vertical="center" wrapText="1"/>
    </xf>
    <xf numFmtId="167" fontId="30" fillId="37" borderId="10" xfId="59" applyNumberFormat="1">
      <protection locked="0"/>
    </xf>
    <xf numFmtId="167" fontId="2" fillId="0" borderId="0" xfId="51" applyNumberFormat="1" applyFont="1" applyFill="1" applyAlignment="1"/>
    <xf numFmtId="170" fontId="2" fillId="0" borderId="0" xfId="0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170" fontId="4" fillId="5" borderId="0" xfId="51" applyNumberFormat="1" applyFont="1" applyAlignment="1">
      <alignment vertical="center"/>
    </xf>
    <xf numFmtId="170" fontId="0" fillId="0" borderId="0" xfId="0" quotePrefix="1"/>
    <xf numFmtId="170" fontId="0" fillId="5" borderId="0" xfId="51" applyNumberFormat="1" applyFont="1" applyAlignment="1"/>
    <xf numFmtId="170" fontId="3" fillId="5" borderId="0" xfId="51" applyNumberFormat="1" applyFont="1" applyAlignment="1">
      <alignment horizontal="center" vertical="top"/>
    </xf>
    <xf numFmtId="170" fontId="2" fillId="5" borderId="11" xfId="51" applyNumberFormat="1" applyFont="1" applyBorder="1" applyAlignment="1">
      <alignment vertical="top"/>
    </xf>
    <xf numFmtId="170" fontId="3" fillId="5" borderId="11" xfId="51" applyNumberFormat="1" applyFont="1" applyBorder="1" applyAlignment="1">
      <alignment horizontal="center" vertical="top"/>
    </xf>
    <xf numFmtId="170" fontId="2" fillId="5" borderId="11" xfId="51" applyNumberFormat="1" applyFont="1" applyBorder="1" applyAlignment="1"/>
    <xf numFmtId="170" fontId="5" fillId="5" borderId="11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 wrapText="1"/>
    </xf>
    <xf numFmtId="170" fontId="3" fillId="5" borderId="0" xfId="51" applyNumberFormat="1" applyFont="1" applyAlignment="1">
      <alignment vertical="top"/>
    </xf>
    <xf numFmtId="170" fontId="0" fillId="0" borderId="0" xfId="0"/>
    <xf numFmtId="170" fontId="0" fillId="0" borderId="0" xfId="0"/>
    <xf numFmtId="170" fontId="0" fillId="0" borderId="0" xfId="0"/>
    <xf numFmtId="167" fontId="27" fillId="2" borderId="0" xfId="60">
      <alignment horizontal="center"/>
    </xf>
    <xf numFmtId="170" fontId="0" fillId="0" borderId="12" xfId="0" applyBorder="1"/>
    <xf numFmtId="170" fontId="0" fillId="0" borderId="12" xfId="0" applyBorder="1" applyAlignment="1">
      <alignment horizontal="left" indent="1"/>
    </xf>
    <xf numFmtId="170" fontId="0" fillId="0" borderId="0" xfId="0" applyAlignment="1">
      <alignment horizontal="left" indent="1"/>
    </xf>
    <xf numFmtId="170" fontId="0" fillId="0" borderId="0" xfId="0" applyBorder="1"/>
    <xf numFmtId="170" fontId="0" fillId="0" borderId="13" xfId="0" applyBorder="1"/>
    <xf numFmtId="170" fontId="0" fillId="0" borderId="13" xfId="0" applyBorder="1" applyAlignment="1">
      <alignment horizontal="left" indent="1"/>
    </xf>
    <xf numFmtId="44" fontId="0" fillId="0" borderId="0" xfId="0" applyNumberFormat="1"/>
    <xf numFmtId="170" fontId="0" fillId="0" borderId="0" xfId="0" applyBorder="1" applyAlignment="1">
      <alignment horizontal="left"/>
    </xf>
    <xf numFmtId="169" fontId="0" fillId="0" borderId="0" xfId="56" applyFont="1" applyFill="1"/>
    <xf numFmtId="169" fontId="30" fillId="37" borderId="10" xfId="59" applyNumberFormat="1">
      <protection locked="0"/>
    </xf>
    <xf numFmtId="172" fontId="30" fillId="37" borderId="10" xfId="59" applyNumberFormat="1">
      <protection locked="0"/>
    </xf>
    <xf numFmtId="169" fontId="30" fillId="37" borderId="10" xfId="56" applyFont="1" applyFill="1" applyBorder="1" applyProtection="1">
      <protection locked="0"/>
    </xf>
    <xf numFmtId="170" fontId="0" fillId="0" borderId="0" xfId="0" applyFill="1" applyBorder="1" applyAlignment="1">
      <alignment horizontal="left" indent="1"/>
    </xf>
    <xf numFmtId="170" fontId="0" fillId="0" borderId="0" xfId="0" applyFill="1" applyBorder="1" applyAlignment="1">
      <alignment horizontal="left" indent="2"/>
    </xf>
    <xf numFmtId="170" fontId="0" fillId="0" borderId="12" xfId="0" applyFill="1" applyBorder="1" applyAlignment="1">
      <alignment horizontal="left" indent="1"/>
    </xf>
    <xf numFmtId="167" fontId="3" fillId="0" borderId="0" xfId="61">
      <alignment vertical="top"/>
    </xf>
    <xf numFmtId="170" fontId="30" fillId="0" borderId="0" xfId="57" applyNumberFormat="1" applyFill="1"/>
    <xf numFmtId="167" fontId="3" fillId="0" borderId="0" xfId="61" applyFill="1">
      <alignment vertical="top"/>
    </xf>
    <xf numFmtId="171" fontId="0" fillId="0" borderId="0" xfId="55" applyFont="1"/>
    <xf numFmtId="171" fontId="0" fillId="0" borderId="0" xfId="55" applyFont="1" applyAlignment="1">
      <alignment horizontal="right"/>
    </xf>
    <xf numFmtId="169" fontId="30" fillId="0" borderId="10" xfId="59" applyNumberFormat="1" applyFill="1">
      <protection locked="0"/>
    </xf>
    <xf numFmtId="169" fontId="29" fillId="0" borderId="10" xfId="59" applyNumberFormat="1" applyFont="1" applyFill="1">
      <protection locked="0"/>
    </xf>
    <xf numFmtId="169" fontId="30" fillId="37" borderId="14" xfId="59" applyNumberFormat="1" applyBorder="1">
      <protection locked="0"/>
    </xf>
    <xf numFmtId="169" fontId="30" fillId="0" borderId="14" xfId="59" applyNumberFormat="1" applyFill="1" applyBorder="1">
      <protection locked="0"/>
    </xf>
    <xf numFmtId="169" fontId="0" fillId="0" borderId="15" xfId="56" applyFont="1" applyFill="1" applyBorder="1"/>
    <xf numFmtId="169" fontId="0" fillId="0" borderId="12" xfId="56" applyFont="1" applyFill="1" applyBorder="1"/>
    <xf numFmtId="169" fontId="0" fillId="0" borderId="16" xfId="56" applyFont="1" applyFill="1" applyBorder="1"/>
    <xf numFmtId="169" fontId="0" fillId="0" borderId="17" xfId="56" applyFont="1" applyFill="1" applyBorder="1"/>
    <xf numFmtId="169" fontId="0" fillId="0" borderId="0" xfId="56" applyFont="1" applyFill="1" applyBorder="1"/>
    <xf numFmtId="169" fontId="0" fillId="0" borderId="18" xfId="56" applyFont="1" applyFill="1" applyBorder="1"/>
    <xf numFmtId="170" fontId="0" fillId="0" borderId="17" xfId="0" applyBorder="1"/>
    <xf numFmtId="170" fontId="0" fillId="0" borderId="18" xfId="0" applyBorder="1"/>
    <xf numFmtId="171" fontId="0" fillId="0" borderId="17" xfId="55" applyFont="1" applyBorder="1"/>
    <xf numFmtId="171" fontId="0" fillId="0" borderId="0" xfId="55" applyFont="1" applyBorder="1"/>
    <xf numFmtId="171" fontId="0" fillId="0" borderId="18" xfId="55" applyFont="1" applyBorder="1"/>
    <xf numFmtId="171" fontId="0" fillId="0" borderId="17" xfId="55" applyFont="1" applyBorder="1" applyAlignment="1">
      <alignment horizontal="right"/>
    </xf>
    <xf numFmtId="171" fontId="0" fillId="0" borderId="0" xfId="55" applyFont="1" applyBorder="1" applyAlignment="1">
      <alignment horizontal="right"/>
    </xf>
    <xf numFmtId="171" fontId="0" fillId="0" borderId="18" xfId="55" applyFont="1" applyBorder="1" applyAlignment="1">
      <alignment horizontal="right"/>
    </xf>
    <xf numFmtId="171" fontId="0" fillId="0" borderId="19" xfId="55" applyFont="1" applyBorder="1" applyAlignment="1">
      <alignment horizontal="right"/>
    </xf>
    <xf numFmtId="171" fontId="0" fillId="0" borderId="20" xfId="55" applyFont="1" applyBorder="1" applyAlignment="1">
      <alignment horizontal="right"/>
    </xf>
    <xf numFmtId="171" fontId="0" fillId="0" borderId="21" xfId="55" applyFont="1" applyBorder="1" applyAlignment="1">
      <alignment horizontal="right"/>
    </xf>
    <xf numFmtId="167" fontId="29" fillId="0" borderId="0" xfId="61" applyFont="1">
      <alignment vertical="top"/>
    </xf>
    <xf numFmtId="167" fontId="3" fillId="0" borderId="12" xfId="61" applyFill="1" applyBorder="1">
      <alignment vertical="top"/>
    </xf>
    <xf numFmtId="169" fontId="30" fillId="0" borderId="0" xfId="57" applyNumberFormat="1" applyFill="1"/>
    <xf numFmtId="170" fontId="33" fillId="0" borderId="0" xfId="0" applyFont="1"/>
    <xf numFmtId="173" fontId="30" fillId="0" borderId="0" xfId="57" applyNumberFormat="1" applyFill="1"/>
    <xf numFmtId="174" fontId="28" fillId="3" borderId="0" xfId="52" applyNumberFormat="1">
      <alignment horizontal="center"/>
    </xf>
    <xf numFmtId="0" fontId="28" fillId="3" borderId="0" xfId="52" applyNumberFormat="1">
      <alignment horizontal="center"/>
    </xf>
    <xf numFmtId="171" fontId="33" fillId="0" borderId="14" xfId="55" applyFont="1" applyBorder="1"/>
    <xf numFmtId="167" fontId="31" fillId="2" borderId="0" xfId="48" applyNumberFormat="1" applyFill="1" applyAlignment="1">
      <alignment horizontal="center"/>
    </xf>
    <xf numFmtId="170" fontId="0" fillId="0" borderId="0" xfId="0"/>
    <xf numFmtId="167" fontId="2" fillId="5" borderId="0" xfId="51" applyNumberFormat="1" applyFont="1" applyBorder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Border="1" applyAlignment="1">
      <alignment horizontal="center" vertical="center" wrapText="1"/>
    </xf>
    <xf numFmtId="167" fontId="32" fillId="5" borderId="0" xfId="58" applyNumberForma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51" applyNumberFormat="1" applyFont="1" applyAlignment="1">
      <alignment horizontal="left" vertical="center"/>
    </xf>
    <xf numFmtId="170" fontId="0" fillId="5" borderId="0" xfId="51" applyNumberFormat="1" applyFont="1" applyAlignment="1"/>
    <xf numFmtId="166" fontId="0" fillId="5" borderId="0" xfId="51" applyNumberFormat="1" applyFont="1" applyAlignment="1">
      <alignment horizontal="left"/>
    </xf>
  </cellXfs>
  <cellStyles count="62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st Proj Title" xfId="60" xr:uid="{22A879E9-0858-48C3-B180-5D210518A136}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Row Label" xfId="61" xr:uid="{D407AC7B-D11C-4492-A9F4-33EFBC9C94CC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17</xdr:col>
      <xdr:colOff>700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tabSelected="1" zoomScaleNormal="100" workbookViewId="0">
      <selection activeCell="A2" sqref="A2:N2"/>
    </sheetView>
  </sheetViews>
  <sheetFormatPr defaultColWidth="9.08984375" defaultRowHeight="14.5" x14ac:dyDescent="0.35"/>
  <cols>
    <col min="1" max="1" width="9.81640625" style="18" customWidth="1"/>
    <col min="2" max="13" width="9.26953125" style="18" customWidth="1"/>
    <col min="14" max="14" width="9.81640625" style="18" customWidth="1"/>
    <col min="15" max="26" width="9.08984375" style="18" customWidth="1"/>
    <col min="27" max="16384" width="9.08984375" style="18"/>
  </cols>
  <sheetData>
    <row r="1" spans="1:21" s="20" customFormat="1" ht="189.75" customHeight="1" x14ac:dyDescent="0.65">
      <c r="A1" s="99"/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12"/>
      <c r="P1" s="12"/>
      <c r="Q1" s="12"/>
      <c r="R1" s="12"/>
      <c r="S1" s="12"/>
      <c r="T1" s="12"/>
      <c r="U1" s="12"/>
    </row>
    <row r="2" spans="1:21" s="13" customFormat="1" ht="75" customHeight="1" x14ac:dyDescent="0.35">
      <c r="A2" s="102" t="s">
        <v>246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2"/>
      <c r="P2" s="12"/>
      <c r="Q2" s="12"/>
      <c r="R2" s="12"/>
      <c r="S2" s="12"/>
      <c r="T2" s="12"/>
      <c r="U2" s="12"/>
    </row>
    <row r="3" spans="1:21" s="14" customFormat="1" ht="7.5" customHeight="1" x14ac:dyDescent="0.35">
      <c r="B3" s="15"/>
      <c r="C3" s="15"/>
      <c r="F3" s="16"/>
      <c r="G3" s="16"/>
      <c r="H3" s="16"/>
      <c r="I3" s="16"/>
      <c r="J3" s="16"/>
      <c r="K3" s="16"/>
      <c r="O3" s="12"/>
      <c r="P3" s="12"/>
      <c r="Q3" s="12"/>
      <c r="R3" s="12"/>
      <c r="S3" s="12"/>
      <c r="T3" s="12"/>
      <c r="U3" s="12"/>
    </row>
    <row r="4" spans="1:21" s="14" customFormat="1" ht="15" customHeight="1" x14ac:dyDescent="0.35">
      <c r="A4" s="22"/>
      <c r="B4" s="23"/>
      <c r="C4" s="101"/>
      <c r="D4" s="101"/>
      <c r="E4" s="24"/>
      <c r="F4" s="25"/>
      <c r="G4" s="25"/>
      <c r="H4" s="25"/>
      <c r="I4" s="25"/>
      <c r="J4" s="25"/>
      <c r="K4" s="25"/>
      <c r="L4" s="24"/>
      <c r="M4" s="24"/>
      <c r="N4" s="24"/>
      <c r="O4" s="12"/>
      <c r="P4" s="12"/>
      <c r="Q4" s="12"/>
      <c r="R4" s="12"/>
      <c r="S4" s="12"/>
      <c r="T4" s="12"/>
      <c r="U4" s="12"/>
    </row>
    <row r="5" spans="1:21" s="14" customFormat="1" ht="15" customHeight="1" x14ac:dyDescent="0.35">
      <c r="A5" s="103" t="s">
        <v>12</v>
      </c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2"/>
      <c r="P5" s="12"/>
      <c r="Q5" s="12"/>
      <c r="R5" s="12"/>
      <c r="S5" s="12"/>
      <c r="T5" s="12"/>
      <c r="U5" s="12"/>
    </row>
    <row r="6" spans="1:21" s="14" customFormat="1" ht="15" customHeight="1" x14ac:dyDescent="0.35">
      <c r="A6" s="103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2"/>
      <c r="P6" s="12"/>
      <c r="Q6" s="12"/>
      <c r="R6" s="12"/>
      <c r="S6" s="12"/>
      <c r="T6" s="12"/>
      <c r="U6" s="12"/>
    </row>
    <row r="7" spans="1:21" s="14" customFormat="1" ht="15" customHeight="1" x14ac:dyDescent="0.35">
      <c r="A7" s="103" t="str">
        <f ca="1">"© "&amp;YEAR(TODAY())&amp;" Financial Edge Training"</f>
        <v>© 2020 Financial Edge Training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2"/>
      <c r="P7" s="12"/>
      <c r="Q7" s="12"/>
      <c r="R7" s="12"/>
      <c r="S7" s="12"/>
      <c r="T7" s="12"/>
      <c r="U7" s="12"/>
    </row>
    <row r="8" spans="1:21" s="14" customFormat="1" ht="15" customHeight="1" x14ac:dyDescent="0.35">
      <c r="A8" s="104" t="s">
        <v>19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46"/>
      <c r="P8" s="46"/>
      <c r="Q8" s="46"/>
      <c r="R8" s="46"/>
      <c r="S8" s="46"/>
      <c r="T8" s="46"/>
      <c r="U8" s="46"/>
    </row>
    <row r="9" spans="1:21" s="14" customFormat="1" ht="15" customHeight="1" thickBot="1" x14ac:dyDescent="0.4">
      <c r="A9" s="40"/>
      <c r="B9" s="41"/>
      <c r="C9" s="40"/>
      <c r="D9" s="40"/>
      <c r="E9" s="42"/>
      <c r="F9" s="43"/>
      <c r="G9" s="43"/>
      <c r="H9" s="43"/>
      <c r="I9" s="43"/>
      <c r="J9" s="43"/>
      <c r="K9" s="43"/>
      <c r="L9" s="42"/>
      <c r="M9" s="42"/>
      <c r="N9" s="42"/>
      <c r="O9" s="12"/>
      <c r="P9" s="12"/>
      <c r="Q9" s="12"/>
      <c r="R9" s="12"/>
      <c r="S9" s="12"/>
      <c r="T9" s="12"/>
      <c r="U9" s="12"/>
    </row>
    <row r="10" spans="1:21" s="14" customFormat="1" ht="15" customHeight="1" x14ac:dyDescent="0.35">
      <c r="A10" s="12"/>
      <c r="B10" s="12"/>
      <c r="C10" s="12"/>
      <c r="D10" s="12"/>
      <c r="E10" s="12"/>
      <c r="F10" s="12"/>
      <c r="G10" s="100"/>
      <c r="H10" s="100"/>
      <c r="I10" s="100"/>
      <c r="J10" s="100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 s="14" customFormat="1" ht="15" customHeight="1" x14ac:dyDescent="0.35">
      <c r="A11" s="12"/>
      <c r="B11" s="12"/>
      <c r="C11" s="12"/>
      <c r="D11" s="12"/>
      <c r="E11" s="12"/>
      <c r="F11" s="12"/>
      <c r="G11" s="100"/>
      <c r="H11" s="100"/>
      <c r="I11" s="100"/>
      <c r="J11" s="100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s="14" customFormat="1" ht="15" customHeight="1" x14ac:dyDescent="0.3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 s="14" customFormat="1" ht="15" customHeight="1" x14ac:dyDescent="0.35">
      <c r="A13" s="12"/>
      <c r="B13" s="12"/>
      <c r="C13" s="12"/>
      <c r="D13" s="12"/>
      <c r="E13" s="12"/>
      <c r="F13" s="12"/>
      <c r="G13" s="100"/>
      <c r="H13" s="100"/>
      <c r="I13" s="100"/>
      <c r="J13" s="100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s="14" customFormat="1" ht="15" customHeight="1" x14ac:dyDescent="0.35">
      <c r="A14" s="12"/>
      <c r="B14" s="12"/>
      <c r="C14" s="12"/>
      <c r="D14" s="12"/>
      <c r="E14" s="12"/>
      <c r="F14" s="12"/>
      <c r="G14" s="100"/>
      <c r="H14" s="100"/>
      <c r="I14" s="100"/>
      <c r="J14" s="100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spans="1:21" s="14" customFormat="1" ht="15" customHeight="1" x14ac:dyDescent="0.35">
      <c r="A15" s="12"/>
      <c r="B15" s="12"/>
      <c r="C15" s="12"/>
      <c r="D15" s="12"/>
      <c r="E15" s="12"/>
      <c r="F15" s="12"/>
      <c r="G15" s="100"/>
      <c r="H15" s="100"/>
      <c r="I15" s="100"/>
      <c r="J15" s="100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  <row r="16" spans="1:21" s="14" customFormat="1" ht="15" customHeight="1" x14ac:dyDescent="0.3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</row>
    <row r="17" spans="1:21" s="14" customFormat="1" ht="15" customHeight="1" x14ac:dyDescent="0.35">
      <c r="A17" s="12"/>
      <c r="B17" s="12"/>
      <c r="C17" s="12"/>
      <c r="D17" s="12"/>
      <c r="E17" s="12"/>
      <c r="F17" s="12"/>
      <c r="G17" s="100"/>
      <c r="H17" s="100"/>
      <c r="I17" s="100"/>
      <c r="J17" s="100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  <row r="18" spans="1:21" s="14" customFormat="1" ht="15" customHeight="1" x14ac:dyDescent="0.3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</row>
    <row r="19" spans="1:21" ht="15" customHeight="1" x14ac:dyDescent="0.3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</row>
    <row r="20" spans="1:21" x14ac:dyDescent="0.3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</row>
    <row r="21" spans="1:21" x14ac:dyDescent="0.3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spans="1:21" x14ac:dyDescent="0.3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spans="1:21" x14ac:dyDescent="0.3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zoomScaleNormal="100" workbookViewId="0">
      <selection activeCell="C7" sqref="C7"/>
    </sheetView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26953125" customWidth="1"/>
    <col min="4" max="4" width="2.81640625" customWidth="1"/>
    <col min="5" max="7" width="1.36328125" customWidth="1"/>
    <col min="8" max="8" width="2.81640625" customWidth="1"/>
    <col min="9" max="9" width="42.7265625" customWidth="1"/>
    <col min="10" max="11" width="1.36328125" customWidth="1"/>
    <col min="12" max="12" width="15.6328125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9.08984375" customWidth="1"/>
  </cols>
  <sheetData>
    <row r="1" spans="1:24" s="12" customFormat="1" ht="45" customHeight="1" x14ac:dyDescent="0.65">
      <c r="A1" s="9" t="str">
        <f>Welcome!A2</f>
        <v>Debt Capacity Term Loan A</v>
      </c>
      <c r="B1" s="9"/>
      <c r="C1" s="9"/>
      <c r="D1" s="9"/>
      <c r="E1" s="9"/>
      <c r="F1" s="9"/>
      <c r="G1" s="9"/>
      <c r="H1" s="9"/>
      <c r="I1" s="9"/>
      <c r="J1" s="5"/>
      <c r="K1" s="5"/>
      <c r="L1" s="5"/>
      <c r="M1" s="5"/>
      <c r="N1" s="5"/>
      <c r="O1" s="5"/>
      <c r="P1" s="5"/>
      <c r="Q1" s="5"/>
      <c r="R1" s="5"/>
    </row>
    <row r="2" spans="1:24" s="12" customFormat="1" ht="30" customHeight="1" x14ac:dyDescent="0.5">
      <c r="A2" s="10" t="s">
        <v>17</v>
      </c>
      <c r="B2" s="10"/>
      <c r="C2" s="10"/>
      <c r="D2" s="10"/>
      <c r="E2" s="10"/>
      <c r="F2" s="10"/>
      <c r="G2" s="10"/>
      <c r="H2" s="10"/>
      <c r="I2" s="10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35">
      <c r="S3" s="12"/>
      <c r="T3" s="12"/>
      <c r="U3" s="12"/>
      <c r="V3" s="12"/>
      <c r="W3" s="12"/>
      <c r="X3" s="12"/>
    </row>
    <row r="4" spans="1:24" s="3" customFormat="1" ht="22.5" customHeight="1" x14ac:dyDescent="0.35">
      <c r="A4" s="1"/>
      <c r="B4" s="106" t="s">
        <v>0</v>
      </c>
      <c r="C4" s="106"/>
      <c r="D4" s="106"/>
      <c r="E4" s="106"/>
      <c r="F4" s="106"/>
      <c r="G4" s="106"/>
      <c r="H4" s="106"/>
      <c r="I4" s="106"/>
      <c r="K4" s="1"/>
      <c r="L4" s="106" t="s">
        <v>2</v>
      </c>
      <c r="M4" s="106"/>
      <c r="N4" s="106"/>
      <c r="O4" s="106"/>
      <c r="P4" s="106"/>
      <c r="Q4" s="29"/>
      <c r="R4" s="29"/>
      <c r="S4" s="12"/>
      <c r="T4" s="12"/>
      <c r="U4" s="12"/>
      <c r="V4" s="12"/>
      <c r="W4" s="12"/>
      <c r="X4" s="12"/>
    </row>
    <row r="5" spans="1:24" s="3" customFormat="1" ht="15" customHeight="1" x14ac:dyDescent="0.35">
      <c r="A5" s="2"/>
      <c r="B5" s="39" t="s">
        <v>1</v>
      </c>
      <c r="C5" s="38" t="s">
        <v>37</v>
      </c>
      <c r="D5" s="35"/>
      <c r="E5" s="35"/>
      <c r="F5" s="35"/>
      <c r="G5" s="35"/>
      <c r="H5" s="35"/>
      <c r="I5" s="35"/>
      <c r="K5" s="1"/>
      <c r="L5" s="45" t="s">
        <v>3</v>
      </c>
      <c r="M5" s="45"/>
      <c r="N5" s="107" t="s">
        <v>39</v>
      </c>
      <c r="O5" s="107"/>
      <c r="P5" s="107"/>
      <c r="Q5" s="107"/>
      <c r="R5" s="29"/>
      <c r="S5" s="12"/>
      <c r="T5" s="12"/>
      <c r="U5" s="12"/>
      <c r="V5" s="12"/>
      <c r="W5" s="12"/>
      <c r="X5" s="12"/>
    </row>
    <row r="6" spans="1:24" s="3" customFormat="1" ht="15" customHeight="1" x14ac:dyDescent="0.35">
      <c r="A6" s="44"/>
      <c r="B6" s="39" t="s">
        <v>1</v>
      </c>
      <c r="C6" s="38" t="s">
        <v>38</v>
      </c>
      <c r="D6" s="35"/>
      <c r="E6" s="35"/>
      <c r="F6" s="35"/>
      <c r="G6" s="35"/>
      <c r="H6" s="35"/>
      <c r="I6" s="35"/>
      <c r="K6" s="2"/>
      <c r="L6" s="45" t="s">
        <v>4</v>
      </c>
      <c r="M6" s="45"/>
      <c r="N6" s="108">
        <v>43830</v>
      </c>
      <c r="O6" s="108"/>
      <c r="P6" s="108"/>
      <c r="Q6" s="108"/>
      <c r="R6" s="29"/>
      <c r="S6" s="12"/>
      <c r="T6" s="12"/>
      <c r="U6" s="12"/>
      <c r="V6" s="12"/>
      <c r="W6" s="12"/>
      <c r="X6" s="12"/>
    </row>
    <row r="7" spans="1:24" s="3" customFormat="1" ht="15" customHeight="1" x14ac:dyDescent="0.35">
      <c r="A7" s="35"/>
      <c r="B7" s="39" t="s">
        <v>1</v>
      </c>
      <c r="C7" s="38" t="s">
        <v>243</v>
      </c>
      <c r="D7" s="35"/>
      <c r="E7" s="35"/>
      <c r="F7" s="35"/>
      <c r="G7" s="35"/>
      <c r="H7" s="35"/>
      <c r="I7" s="35"/>
      <c r="K7" s="44"/>
      <c r="L7" s="45" t="s">
        <v>5</v>
      </c>
      <c r="M7" s="45"/>
      <c r="N7" s="107" t="s">
        <v>9</v>
      </c>
      <c r="O7" s="107"/>
      <c r="P7" s="107"/>
      <c r="Q7" s="107"/>
      <c r="R7" s="29"/>
      <c r="S7" s="12"/>
      <c r="T7" s="12"/>
      <c r="U7" s="12"/>
      <c r="V7" s="12"/>
      <c r="W7" s="12"/>
      <c r="X7" s="12"/>
    </row>
    <row r="8" spans="1:24" s="3" customFormat="1" ht="15" customHeight="1" x14ac:dyDescent="0.35">
      <c r="A8" s="35"/>
      <c r="B8" s="39"/>
      <c r="C8" s="35"/>
      <c r="D8" s="35"/>
      <c r="E8" s="35"/>
      <c r="F8" s="35"/>
      <c r="G8" s="35"/>
      <c r="H8" s="35"/>
      <c r="I8" s="35"/>
      <c r="K8" s="35"/>
      <c r="L8" s="45" t="s">
        <v>6</v>
      </c>
      <c r="M8" s="45"/>
      <c r="N8" s="107" t="s">
        <v>10</v>
      </c>
      <c r="O8" s="107"/>
      <c r="P8" s="107"/>
      <c r="Q8" s="107"/>
      <c r="R8" s="29"/>
      <c r="S8" s="12"/>
      <c r="T8" s="12"/>
      <c r="U8" s="12"/>
      <c r="V8" s="12"/>
      <c r="W8" s="12"/>
      <c r="X8" s="12"/>
    </row>
    <row r="9" spans="1:24" s="3" customFormat="1" ht="15" customHeight="1" x14ac:dyDescent="0.35">
      <c r="A9" s="26"/>
      <c r="B9" s="27"/>
      <c r="C9" s="26"/>
      <c r="D9" s="26"/>
      <c r="E9" s="26"/>
      <c r="F9" s="26"/>
      <c r="G9" s="26"/>
      <c r="H9" s="26"/>
      <c r="I9" s="26"/>
      <c r="K9" s="35"/>
      <c r="L9" s="45" t="s">
        <v>7</v>
      </c>
      <c r="M9" s="45"/>
      <c r="N9" s="107" t="s">
        <v>11</v>
      </c>
      <c r="O9" s="107"/>
      <c r="P9" s="107"/>
      <c r="Q9" s="107"/>
      <c r="R9" s="29"/>
      <c r="S9" s="12"/>
      <c r="T9" s="12"/>
      <c r="U9" s="12"/>
      <c r="V9" s="12"/>
      <c r="W9" s="12"/>
      <c r="X9" s="12"/>
    </row>
    <row r="10" spans="1:24" s="3" customFormat="1" ht="15" customHeight="1" x14ac:dyDescent="0.35">
      <c r="A10" s="28"/>
      <c r="B10" s="28"/>
      <c r="C10" s="28"/>
      <c r="D10" s="28"/>
      <c r="E10" s="28"/>
      <c r="F10" s="28"/>
      <c r="G10" s="28"/>
      <c r="H10" s="28"/>
      <c r="I10" s="28"/>
      <c r="K10" s="35"/>
      <c r="L10" s="45" t="s">
        <v>8</v>
      </c>
      <c r="M10" s="45"/>
      <c r="N10" s="105">
        <v>0</v>
      </c>
      <c r="O10" s="105"/>
      <c r="P10" s="105"/>
      <c r="Q10" s="105"/>
      <c r="R10" s="30"/>
      <c r="S10" s="12"/>
      <c r="T10" s="12"/>
      <c r="U10" s="12"/>
      <c r="V10" s="12"/>
      <c r="W10" s="12"/>
      <c r="X10" s="12"/>
    </row>
    <row r="11" spans="1:24" s="3" customFormat="1" ht="15" customHeight="1" thickBot="1" x14ac:dyDescent="0.4">
      <c r="A11" s="40"/>
      <c r="B11" s="40"/>
      <c r="C11" s="40"/>
      <c r="D11" s="40"/>
      <c r="E11" s="40"/>
      <c r="F11" s="40"/>
      <c r="G11" s="40"/>
      <c r="H11" s="40"/>
      <c r="I11" s="40"/>
      <c r="K11" s="40"/>
      <c r="L11" s="40"/>
      <c r="M11" s="40"/>
      <c r="N11" s="40"/>
      <c r="O11" s="40"/>
      <c r="P11" s="40"/>
      <c r="Q11" s="40"/>
      <c r="R11" s="40"/>
      <c r="S11" s="12"/>
      <c r="T11" s="12"/>
      <c r="U11" s="12"/>
      <c r="V11" s="12"/>
      <c r="W11" s="12"/>
      <c r="X11" s="12"/>
    </row>
    <row r="12" spans="1:24" s="3" customFormat="1" ht="7.5" customHeight="1" x14ac:dyDescent="0.35">
      <c r="K12" s="16"/>
      <c r="L12" s="16"/>
      <c r="M12" s="16"/>
      <c r="N12" s="16"/>
      <c r="O12" s="16"/>
      <c r="P12" s="16"/>
      <c r="Q12" s="16"/>
      <c r="R12" s="16"/>
      <c r="S12" s="12"/>
      <c r="T12" s="12"/>
      <c r="U12" s="12"/>
      <c r="V12" s="12"/>
      <c r="W12" s="12"/>
      <c r="X12" s="12"/>
    </row>
    <row r="13" spans="1:24" s="3" customFormat="1" ht="22.5" customHeight="1" x14ac:dyDescent="0.35">
      <c r="A13" s="34"/>
      <c r="B13" s="106" t="s">
        <v>18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N13" s="1"/>
      <c r="O13" s="106" t="s">
        <v>13</v>
      </c>
      <c r="P13" s="106"/>
      <c r="Q13" s="106"/>
      <c r="R13" s="36"/>
      <c r="S13" s="12"/>
      <c r="T13" s="12"/>
      <c r="U13" s="12"/>
      <c r="V13" s="12"/>
      <c r="W13" s="12"/>
      <c r="X13" s="12"/>
    </row>
    <row r="14" spans="1:24" s="3" customFormat="1" ht="15" customHeight="1" x14ac:dyDescent="0.35">
      <c r="A14" s="35"/>
      <c r="B14" s="105" t="s">
        <v>35</v>
      </c>
      <c r="C14" s="105"/>
      <c r="D14" s="105" t="s">
        <v>36</v>
      </c>
      <c r="E14" s="105"/>
      <c r="F14" s="105"/>
      <c r="G14" s="105"/>
      <c r="H14" s="105"/>
      <c r="I14" s="105"/>
      <c r="J14" s="105"/>
      <c r="K14" s="105"/>
      <c r="L14" s="105"/>
      <c r="N14" s="2"/>
      <c r="O14" s="17"/>
      <c r="P14" s="13"/>
      <c r="Q14" s="13"/>
      <c r="R14" s="35"/>
      <c r="S14" s="12"/>
      <c r="T14" s="12"/>
      <c r="U14" s="12"/>
      <c r="V14" s="12"/>
      <c r="W14" s="12"/>
      <c r="X14" s="12"/>
    </row>
    <row r="15" spans="1:24" s="3" customFormat="1" ht="15" customHeight="1" x14ac:dyDescent="0.35">
      <c r="A15" s="35"/>
      <c r="B15" s="105" t="s">
        <v>244</v>
      </c>
      <c r="C15" s="105"/>
      <c r="D15" s="105"/>
      <c r="E15" s="105"/>
      <c r="F15" s="105"/>
      <c r="G15" s="105"/>
      <c r="H15" s="105"/>
      <c r="I15" s="105"/>
      <c r="J15" s="105"/>
      <c r="K15" s="105"/>
      <c r="L15" s="105"/>
      <c r="N15" s="44"/>
      <c r="O15" s="17"/>
      <c r="P15" s="31" t="s">
        <v>14</v>
      </c>
      <c r="Q15" s="13"/>
      <c r="R15" s="35"/>
      <c r="S15" s="12"/>
      <c r="T15" s="12"/>
      <c r="U15" s="12"/>
      <c r="V15" s="12"/>
      <c r="W15" s="12"/>
      <c r="X15" s="12"/>
    </row>
    <row r="16" spans="1:24" s="3" customFormat="1" ht="15" customHeight="1" x14ac:dyDescent="0.35">
      <c r="A16" s="35"/>
      <c r="B16" s="105" t="s">
        <v>245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N16" s="35"/>
      <c r="O16" s="17"/>
      <c r="P16" s="21" t="s">
        <v>15</v>
      </c>
      <c r="Q16" s="13"/>
      <c r="R16" s="35"/>
      <c r="S16" s="12"/>
      <c r="T16" s="12"/>
      <c r="U16" s="12"/>
      <c r="V16" s="12"/>
      <c r="W16" s="12"/>
      <c r="X16" s="12"/>
    </row>
    <row r="17" spans="1:24" s="3" customFormat="1" ht="15" customHeight="1" x14ac:dyDescent="0.35">
      <c r="A17" s="35"/>
      <c r="B17" s="105"/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N17" s="35"/>
      <c r="O17" s="17"/>
      <c r="P17" t="s">
        <v>16</v>
      </c>
      <c r="Q17" s="13"/>
      <c r="R17" s="35"/>
      <c r="S17" s="12"/>
      <c r="T17" s="12"/>
      <c r="U17" s="12"/>
      <c r="V17" s="12"/>
      <c r="W17" s="12"/>
      <c r="X17" s="12"/>
    </row>
    <row r="18" spans="1:24" s="3" customFormat="1" ht="15" customHeight="1" x14ac:dyDescent="0.35">
      <c r="A18" s="28"/>
      <c r="B18" s="105"/>
      <c r="C18" s="105"/>
      <c r="D18" s="105"/>
      <c r="E18" s="105"/>
      <c r="F18" s="105"/>
      <c r="G18" s="105"/>
      <c r="H18" s="105"/>
      <c r="I18" s="105"/>
      <c r="J18" s="105"/>
      <c r="K18" s="105"/>
      <c r="L18" s="105"/>
      <c r="N18" s="28"/>
      <c r="O18" s="32"/>
      <c r="P18" s="32"/>
      <c r="Q18" s="32"/>
      <c r="R18" s="28"/>
      <c r="S18" s="12"/>
      <c r="T18" s="12"/>
      <c r="U18" s="12"/>
      <c r="V18" s="12"/>
      <c r="W18" s="12"/>
      <c r="X18" s="12"/>
    </row>
    <row r="19" spans="1:24" ht="15" thickBot="1" x14ac:dyDescent="0.4">
      <c r="A19" s="40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N19" s="40"/>
      <c r="O19" s="40"/>
      <c r="P19" s="40"/>
      <c r="Q19" s="40"/>
      <c r="R19" s="40"/>
      <c r="S19" s="12"/>
      <c r="T19" s="12"/>
      <c r="U19" s="12"/>
      <c r="V19" s="12"/>
      <c r="W19" s="12"/>
      <c r="X19" s="12"/>
    </row>
    <row r="20" spans="1:24" x14ac:dyDescent="0.35">
      <c r="Q20" s="33"/>
      <c r="R20" s="19"/>
      <c r="S20" s="12"/>
      <c r="T20" s="12"/>
      <c r="U20" s="12"/>
      <c r="V20" s="12"/>
      <c r="W20" s="12"/>
      <c r="X20" s="12"/>
    </row>
    <row r="21" spans="1:24" x14ac:dyDescent="0.35"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2"/>
      <c r="T21" s="12"/>
      <c r="U21" s="12"/>
      <c r="V21" s="12"/>
      <c r="W21" s="12"/>
      <c r="X21" s="12"/>
    </row>
    <row r="22" spans="1:24" x14ac:dyDescent="0.35"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2"/>
      <c r="T22" s="12"/>
      <c r="U22" s="12"/>
      <c r="V22" s="12"/>
      <c r="W22" s="12"/>
      <c r="X22" s="12"/>
    </row>
    <row r="23" spans="1:24" x14ac:dyDescent="0.35">
      <c r="F23" s="19"/>
      <c r="G23" s="19"/>
      <c r="H23" s="19"/>
      <c r="I23" s="19"/>
      <c r="J23" s="19"/>
      <c r="K23" s="19"/>
      <c r="L23" s="19"/>
      <c r="M23" s="19"/>
      <c r="N23" s="18"/>
      <c r="O23" s="18"/>
      <c r="P23" s="18"/>
      <c r="Q23" s="18"/>
      <c r="S23" s="12"/>
      <c r="T23" s="12"/>
      <c r="U23" s="12"/>
      <c r="V23" s="12"/>
      <c r="W23" s="12"/>
      <c r="X23" s="12"/>
    </row>
    <row r="24" spans="1:24" x14ac:dyDescent="0.35"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S24" s="12"/>
      <c r="T24" s="12"/>
      <c r="U24" s="12"/>
      <c r="V24" s="12"/>
      <c r="W24" s="12"/>
      <c r="X24" s="12"/>
    </row>
    <row r="25" spans="1:24" x14ac:dyDescent="0.35"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S25" s="12"/>
      <c r="T25" s="12"/>
      <c r="U25" s="12"/>
      <c r="V25" s="12"/>
      <c r="W25" s="12"/>
      <c r="X25" s="12"/>
    </row>
    <row r="26" spans="1:24" x14ac:dyDescent="0.35"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S26" s="12"/>
      <c r="T26" s="12"/>
      <c r="U26" s="12"/>
      <c r="V26" s="12"/>
      <c r="W26" s="12"/>
      <c r="X26" s="1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275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9.08984375" defaultRowHeight="15" customHeight="1" x14ac:dyDescent="0.35"/>
  <cols>
    <col min="1" max="1" width="1.6328125" style="11" customWidth="1"/>
    <col min="2" max="2" width="49.36328125" customWidth="1"/>
    <col min="3" max="15" width="11.6328125" customWidth="1"/>
  </cols>
  <sheetData>
    <row r="1" spans="1:15" s="12" customFormat="1" ht="45" customHeight="1" x14ac:dyDescent="0.65">
      <c r="A1" s="4" t="str">
        <f>Welcome!A2</f>
        <v>Debt Capacity Term Loan A</v>
      </c>
      <c r="B1" s="7"/>
      <c r="C1" s="49" t="s">
        <v>20</v>
      </c>
      <c r="D1" s="49" t="s">
        <v>20</v>
      </c>
      <c r="E1" s="49" t="s">
        <v>20</v>
      </c>
      <c r="F1" s="49" t="s">
        <v>21</v>
      </c>
      <c r="G1" s="49" t="s">
        <v>21</v>
      </c>
      <c r="H1" s="49" t="s">
        <v>21</v>
      </c>
      <c r="I1" s="49" t="s">
        <v>21</v>
      </c>
      <c r="J1" s="49" t="s">
        <v>21</v>
      </c>
      <c r="K1" s="49" t="s">
        <v>21</v>
      </c>
      <c r="L1" s="49" t="s">
        <v>21</v>
      </c>
      <c r="M1" s="49" t="s">
        <v>21</v>
      </c>
      <c r="N1" s="49" t="s">
        <v>21</v>
      </c>
      <c r="O1" s="49" t="s">
        <v>21</v>
      </c>
    </row>
    <row r="2" spans="1:15" s="12" customFormat="1" ht="30" customHeight="1" x14ac:dyDescent="0.5">
      <c r="A2" s="10" t="str">
        <f>'3 Statement Model'!B5</f>
        <v>Bank case</v>
      </c>
      <c r="B2" s="6"/>
      <c r="C2" s="8" t="s">
        <v>22</v>
      </c>
      <c r="D2" s="8" t="s">
        <v>23</v>
      </c>
      <c r="E2" s="8" t="s">
        <v>24</v>
      </c>
      <c r="F2" s="8" t="s">
        <v>25</v>
      </c>
      <c r="G2" s="8" t="s">
        <v>26</v>
      </c>
      <c r="H2" s="8" t="s">
        <v>27</v>
      </c>
      <c r="I2" s="8" t="s">
        <v>28</v>
      </c>
      <c r="J2" s="8" t="s">
        <v>29</v>
      </c>
      <c r="K2" s="8" t="s">
        <v>30</v>
      </c>
      <c r="L2" s="8" t="s">
        <v>31</v>
      </c>
      <c r="M2" s="8" t="s">
        <v>32</v>
      </c>
      <c r="N2" s="8" t="s">
        <v>33</v>
      </c>
      <c r="O2" s="8" t="s">
        <v>34</v>
      </c>
    </row>
    <row r="4" spans="1:15" s="47" customFormat="1" ht="15" customHeight="1" thickBot="1" x14ac:dyDescent="0.4">
      <c r="A4" s="11" t="s">
        <v>97</v>
      </c>
    </row>
    <row r="5" spans="1:15" s="47" customFormat="1" ht="15" customHeight="1" thickBot="1" x14ac:dyDescent="0.4">
      <c r="A5" s="11"/>
      <c r="B5" s="72" t="s">
        <v>218</v>
      </c>
    </row>
    <row r="6" spans="1:15" s="47" customFormat="1" ht="15" customHeight="1" x14ac:dyDescent="0.35">
      <c r="A6" s="11"/>
    </row>
    <row r="7" spans="1:15" s="47" customFormat="1" ht="15" customHeight="1" x14ac:dyDescent="0.35">
      <c r="A7" s="11"/>
      <c r="B7" s="47" t="s">
        <v>220</v>
      </c>
    </row>
    <row r="8" spans="1:15" s="47" customFormat="1" ht="15" customHeight="1" x14ac:dyDescent="0.35">
      <c r="A8" s="11"/>
      <c r="B8" s="47" t="s">
        <v>217</v>
      </c>
      <c r="F8" s="59">
        <v>7.4999999999999997E-2</v>
      </c>
      <c r="G8" s="59">
        <v>0.06</v>
      </c>
      <c r="H8" s="59">
        <v>0.05</v>
      </c>
      <c r="I8" s="59">
        <v>0.05</v>
      </c>
      <c r="J8" s="59">
        <v>0.05</v>
      </c>
      <c r="K8" s="59">
        <v>0.05</v>
      </c>
      <c r="L8" s="59">
        <v>0.03</v>
      </c>
      <c r="M8" s="59">
        <v>0.03</v>
      </c>
      <c r="N8" s="59">
        <v>0.03</v>
      </c>
      <c r="O8" s="59">
        <v>0.03</v>
      </c>
    </row>
    <row r="9" spans="1:15" s="47" customFormat="1" ht="15" customHeight="1" x14ac:dyDescent="0.35">
      <c r="A9" s="11"/>
      <c r="B9" s="47" t="s">
        <v>218</v>
      </c>
      <c r="F9" s="59">
        <v>0.06</v>
      </c>
      <c r="G9" s="59">
        <v>0.05</v>
      </c>
      <c r="H9" s="59">
        <v>0.04</v>
      </c>
      <c r="I9" s="59">
        <v>0.04</v>
      </c>
      <c r="J9" s="59">
        <v>0.04</v>
      </c>
      <c r="K9" s="59">
        <v>0.04</v>
      </c>
      <c r="L9" s="59">
        <v>0.03</v>
      </c>
      <c r="M9" s="59">
        <v>0.03</v>
      </c>
      <c r="N9" s="59">
        <v>0.03</v>
      </c>
      <c r="O9" s="59">
        <v>0.03</v>
      </c>
    </row>
    <row r="10" spans="1:15" s="47" customFormat="1" ht="15" customHeight="1" x14ac:dyDescent="0.35">
      <c r="A10" s="11"/>
      <c r="B10" s="47" t="s">
        <v>219</v>
      </c>
      <c r="F10" s="59">
        <v>0.03</v>
      </c>
      <c r="G10" s="59">
        <v>0.03</v>
      </c>
      <c r="H10" s="59">
        <v>0.03</v>
      </c>
      <c r="I10" s="59">
        <v>0.03</v>
      </c>
      <c r="J10" s="59">
        <v>0.03</v>
      </c>
      <c r="K10" s="59">
        <v>0.02</v>
      </c>
      <c r="L10" s="59">
        <v>0.02</v>
      </c>
      <c r="M10" s="59">
        <v>0.02</v>
      </c>
      <c r="N10" s="59">
        <v>0.02</v>
      </c>
      <c r="O10" s="59">
        <v>0.02</v>
      </c>
    </row>
    <row r="11" spans="1:15" s="47" customFormat="1" ht="15" customHeight="1" x14ac:dyDescent="0.35">
      <c r="A11" s="11"/>
      <c r="B11" s="52" t="s">
        <v>98</v>
      </c>
      <c r="D11" s="58">
        <f>D41/C41-1</f>
        <v>2.8282350156795477E-2</v>
      </c>
      <c r="E11" s="58">
        <f>E41/D41-1</f>
        <v>7.3594568156970963E-2</v>
      </c>
      <c r="F11" s="71">
        <f>CHOOSE(MATCH($B$5,$B$8:$B$10,0),F8,F9,F10)</f>
        <v>0.06</v>
      </c>
      <c r="G11" s="71">
        <f t="shared" ref="G11:O11" si="0">CHOOSE(MATCH($B$5,$B$8:$B$10,0),G8,G9,G10)</f>
        <v>0.05</v>
      </c>
      <c r="H11" s="71">
        <f t="shared" si="0"/>
        <v>0.04</v>
      </c>
      <c r="I11" s="71">
        <f t="shared" si="0"/>
        <v>0.04</v>
      </c>
      <c r="J11" s="71">
        <f t="shared" si="0"/>
        <v>0.04</v>
      </c>
      <c r="K11" s="71">
        <f t="shared" si="0"/>
        <v>0.04</v>
      </c>
      <c r="L11" s="71">
        <f t="shared" si="0"/>
        <v>0.03</v>
      </c>
      <c r="M11" s="71">
        <f t="shared" si="0"/>
        <v>0.03</v>
      </c>
      <c r="N11" s="71">
        <f t="shared" si="0"/>
        <v>0.03</v>
      </c>
      <c r="O11" s="71">
        <f t="shared" si="0"/>
        <v>0.03</v>
      </c>
    </row>
    <row r="12" spans="1:15" s="47" customFormat="1" ht="15" customHeight="1" x14ac:dyDescent="0.35">
      <c r="A12" s="11"/>
      <c r="D12" s="58"/>
      <c r="E12" s="58"/>
      <c r="F12" s="70"/>
      <c r="G12" s="70"/>
      <c r="H12" s="70"/>
      <c r="I12" s="70"/>
      <c r="J12" s="70"/>
      <c r="K12" s="70"/>
      <c r="L12" s="70"/>
      <c r="M12" s="70"/>
      <c r="N12" s="70"/>
      <c r="O12" s="70"/>
    </row>
    <row r="13" spans="1:15" s="47" customFormat="1" ht="15" customHeight="1" x14ac:dyDescent="0.35">
      <c r="A13" s="11"/>
      <c r="B13" s="47" t="s">
        <v>221</v>
      </c>
      <c r="D13" s="58"/>
      <c r="E13" s="58"/>
      <c r="F13" s="70"/>
      <c r="G13" s="70"/>
      <c r="H13" s="70"/>
      <c r="I13" s="70"/>
      <c r="J13" s="70"/>
      <c r="K13" s="70"/>
      <c r="L13" s="70"/>
      <c r="M13" s="70"/>
      <c r="N13" s="70"/>
      <c r="O13" s="70"/>
    </row>
    <row r="14" spans="1:15" s="47" customFormat="1" ht="15" customHeight="1" x14ac:dyDescent="0.35">
      <c r="A14" s="11"/>
      <c r="B14" s="47" t="s">
        <v>217</v>
      </c>
      <c r="D14" s="58"/>
      <c r="E14" s="58"/>
      <c r="F14" s="59">
        <v>0.09</v>
      </c>
      <c r="G14" s="59">
        <v>0.08</v>
      </c>
      <c r="H14" s="59">
        <v>7.0000000000000007E-2</v>
      </c>
      <c r="I14" s="59">
        <v>7.0000000000000007E-2</v>
      </c>
      <c r="J14" s="59">
        <v>7.0000000000000007E-2</v>
      </c>
      <c r="K14" s="59">
        <v>7.0000000000000007E-2</v>
      </c>
      <c r="L14" s="59">
        <v>0.05</v>
      </c>
      <c r="M14" s="59">
        <v>0.05</v>
      </c>
      <c r="N14" s="59">
        <v>0.05</v>
      </c>
      <c r="O14" s="59">
        <v>0.05</v>
      </c>
    </row>
    <row r="15" spans="1:15" s="47" customFormat="1" ht="15" customHeight="1" x14ac:dyDescent="0.35">
      <c r="A15" s="11"/>
      <c r="B15" s="47" t="s">
        <v>218</v>
      </c>
      <c r="D15" s="58"/>
      <c r="E15" s="58"/>
      <c r="F15" s="59">
        <v>7.0000000000000007E-2</v>
      </c>
      <c r="G15" s="59">
        <v>7.0000000000000007E-2</v>
      </c>
      <c r="H15" s="59">
        <v>7.0000000000000007E-2</v>
      </c>
      <c r="I15" s="59">
        <v>7.0000000000000007E-2</v>
      </c>
      <c r="J15" s="59">
        <v>7.0000000000000007E-2</v>
      </c>
      <c r="K15" s="59">
        <v>7.0000000000000007E-2</v>
      </c>
      <c r="L15" s="59">
        <v>7.0000000000000007E-2</v>
      </c>
      <c r="M15" s="59">
        <v>7.0000000000000007E-2</v>
      </c>
      <c r="N15" s="59">
        <v>7.0000000000000007E-2</v>
      </c>
      <c r="O15" s="59">
        <v>7.0000000000000007E-2</v>
      </c>
    </row>
    <row r="16" spans="1:15" s="47" customFormat="1" ht="15" customHeight="1" x14ac:dyDescent="0.35">
      <c r="A16" s="11"/>
      <c r="B16" s="47" t="s">
        <v>219</v>
      </c>
      <c r="D16" s="58"/>
      <c r="E16" s="58"/>
      <c r="F16" s="59">
        <v>0.03</v>
      </c>
      <c r="G16" s="59">
        <v>0.03</v>
      </c>
      <c r="H16" s="59">
        <v>0.03</v>
      </c>
      <c r="I16" s="59">
        <v>0.03</v>
      </c>
      <c r="J16" s="59">
        <v>0.03</v>
      </c>
      <c r="K16" s="59">
        <v>0.03</v>
      </c>
      <c r="L16" s="59">
        <v>0.03</v>
      </c>
      <c r="M16" s="59">
        <v>0.03</v>
      </c>
      <c r="N16" s="59">
        <v>0.03</v>
      </c>
      <c r="O16" s="59">
        <v>0.03</v>
      </c>
    </row>
    <row r="17" spans="1:15" s="47" customFormat="1" ht="15" customHeight="1" x14ac:dyDescent="0.35">
      <c r="A17" s="11"/>
      <c r="B17" s="52" t="s">
        <v>99</v>
      </c>
      <c r="D17" s="58">
        <f>D42/C42-1</f>
        <v>9.3861588165277787E-2</v>
      </c>
      <c r="E17" s="58">
        <f>E42/D42-1</f>
        <v>9.0315560391730276E-2</v>
      </c>
      <c r="F17" s="71">
        <f>CHOOSE(MATCH($B$5,$B$14:$B$16,0),F14,F15,F16)</f>
        <v>7.0000000000000007E-2</v>
      </c>
      <c r="G17" s="71">
        <f t="shared" ref="G17:O17" si="1">CHOOSE(MATCH($B$5,$B$14:$B$16,0),G14,G15,G16)</f>
        <v>7.0000000000000007E-2</v>
      </c>
      <c r="H17" s="71">
        <f t="shared" si="1"/>
        <v>7.0000000000000007E-2</v>
      </c>
      <c r="I17" s="71">
        <f t="shared" si="1"/>
        <v>7.0000000000000007E-2</v>
      </c>
      <c r="J17" s="71">
        <f t="shared" si="1"/>
        <v>7.0000000000000007E-2</v>
      </c>
      <c r="K17" s="71">
        <f t="shared" si="1"/>
        <v>7.0000000000000007E-2</v>
      </c>
      <c r="L17" s="71">
        <f t="shared" si="1"/>
        <v>7.0000000000000007E-2</v>
      </c>
      <c r="M17" s="71">
        <f t="shared" si="1"/>
        <v>7.0000000000000007E-2</v>
      </c>
      <c r="N17" s="71">
        <f t="shared" si="1"/>
        <v>7.0000000000000007E-2</v>
      </c>
      <c r="O17" s="71">
        <f t="shared" si="1"/>
        <v>7.0000000000000007E-2</v>
      </c>
    </row>
    <row r="18" spans="1:15" s="47" customFormat="1" ht="15" customHeight="1" x14ac:dyDescent="0.35">
      <c r="A18" s="11"/>
    </row>
    <row r="19" spans="1:15" s="47" customFormat="1" ht="15" customHeight="1" x14ac:dyDescent="0.35">
      <c r="A19" s="11"/>
      <c r="B19" s="47" t="s">
        <v>222</v>
      </c>
    </row>
    <row r="20" spans="1:15" s="47" customFormat="1" ht="15" customHeight="1" x14ac:dyDescent="0.35">
      <c r="A20" s="11"/>
      <c r="B20" s="47" t="s">
        <v>217</v>
      </c>
      <c r="F20" s="59">
        <v>-0.61199999999999999</v>
      </c>
      <c r="G20" s="59">
        <v>-0.61199999999999999</v>
      </c>
      <c r="H20" s="59">
        <v>-0.61199999999999999</v>
      </c>
      <c r="I20" s="59">
        <v>-0.61199999999999999</v>
      </c>
      <c r="J20" s="59">
        <v>-0.61199999999999999</v>
      </c>
      <c r="K20" s="59">
        <v>-0.61199999999999999</v>
      </c>
      <c r="L20" s="59">
        <v>-0.61199999999999999</v>
      </c>
      <c r="M20" s="59">
        <v>-0.61199999999999999</v>
      </c>
      <c r="N20" s="59">
        <v>-0.61199999999999999</v>
      </c>
      <c r="O20" s="59">
        <v>-0.61199999999999999</v>
      </c>
    </row>
    <row r="21" spans="1:15" s="47" customFormat="1" ht="15" customHeight="1" x14ac:dyDescent="0.35">
      <c r="A21" s="11"/>
      <c r="B21" s="47" t="s">
        <v>218</v>
      </c>
      <c r="F21" s="59">
        <v>-0.62</v>
      </c>
      <c r="G21" s="59">
        <v>-0.62</v>
      </c>
      <c r="H21" s="59">
        <v>-0.62</v>
      </c>
      <c r="I21" s="59">
        <v>-0.62</v>
      </c>
      <c r="J21" s="59">
        <v>-0.62</v>
      </c>
      <c r="K21" s="59">
        <v>-0.62</v>
      </c>
      <c r="L21" s="59">
        <v>-0.62</v>
      </c>
      <c r="M21" s="59">
        <v>-0.62</v>
      </c>
      <c r="N21" s="59">
        <v>-0.62</v>
      </c>
      <c r="O21" s="59">
        <v>-0.62</v>
      </c>
    </row>
    <row r="22" spans="1:15" s="47" customFormat="1" ht="15" customHeight="1" x14ac:dyDescent="0.35">
      <c r="A22" s="11"/>
      <c r="B22" s="47" t="s">
        <v>219</v>
      </c>
      <c r="F22" s="59">
        <v>-0.64</v>
      </c>
      <c r="G22" s="59">
        <v>-0.64</v>
      </c>
      <c r="H22" s="59">
        <v>-0.64</v>
      </c>
      <c r="I22" s="59">
        <v>-0.64</v>
      </c>
      <c r="J22" s="59">
        <v>-0.64</v>
      </c>
      <c r="K22" s="59">
        <v>-0.64</v>
      </c>
      <c r="L22" s="59">
        <v>-0.64</v>
      </c>
      <c r="M22" s="59">
        <v>-0.64</v>
      </c>
      <c r="N22" s="59">
        <v>-0.64</v>
      </c>
      <c r="O22" s="59">
        <v>-0.64</v>
      </c>
    </row>
    <row r="23" spans="1:15" s="47" customFormat="1" ht="15" customHeight="1" x14ac:dyDescent="0.35">
      <c r="A23" s="11"/>
      <c r="B23" s="52" t="s">
        <v>100</v>
      </c>
      <c r="C23" s="58">
        <f>C44/C$43</f>
        <v>-0.59744535159336321</v>
      </c>
      <c r="D23" s="58">
        <f t="shared" ref="D23:E23" si="2">D44/D$43</f>
        <v>-0.60780278850999503</v>
      </c>
      <c r="E23" s="58">
        <f t="shared" si="2"/>
        <v>-0.61210657525708945</v>
      </c>
      <c r="F23" s="71">
        <f>CHOOSE(MATCH($B$5,$B$20:$B$22,0),F20,F21,F22)</f>
        <v>-0.62</v>
      </c>
      <c r="G23" s="71">
        <f t="shared" ref="G23:O23" si="3">CHOOSE(MATCH($B$5,$B$20:$B$22,0),G20,G21,G22)</f>
        <v>-0.62</v>
      </c>
      <c r="H23" s="71">
        <f t="shared" si="3"/>
        <v>-0.62</v>
      </c>
      <c r="I23" s="71">
        <f t="shared" si="3"/>
        <v>-0.62</v>
      </c>
      <c r="J23" s="71">
        <f t="shared" si="3"/>
        <v>-0.62</v>
      </c>
      <c r="K23" s="71">
        <f t="shared" si="3"/>
        <v>-0.62</v>
      </c>
      <c r="L23" s="71">
        <f t="shared" si="3"/>
        <v>-0.62</v>
      </c>
      <c r="M23" s="71">
        <f t="shared" si="3"/>
        <v>-0.62</v>
      </c>
      <c r="N23" s="71">
        <f t="shared" si="3"/>
        <v>-0.62</v>
      </c>
      <c r="O23" s="71">
        <f t="shared" si="3"/>
        <v>-0.62</v>
      </c>
    </row>
    <row r="24" spans="1:15" s="47" customFormat="1" ht="15" customHeight="1" x14ac:dyDescent="0.35">
      <c r="A24" s="11"/>
      <c r="B24" s="52"/>
      <c r="C24" s="58"/>
      <c r="D24" s="58"/>
      <c r="E24" s="58"/>
      <c r="F24" s="70"/>
      <c r="G24" s="70"/>
      <c r="H24" s="70"/>
      <c r="I24" s="70"/>
      <c r="J24" s="70"/>
      <c r="K24" s="70"/>
      <c r="L24" s="70"/>
      <c r="M24" s="70"/>
      <c r="N24" s="70"/>
      <c r="O24" s="70"/>
    </row>
    <row r="25" spans="1:15" s="47" customFormat="1" ht="15" customHeight="1" x14ac:dyDescent="0.35">
      <c r="A25" s="11"/>
      <c r="B25" s="47" t="s">
        <v>101</v>
      </c>
      <c r="C25" s="58">
        <f>C46/C$43</f>
        <v>-0.2552453691510842</v>
      </c>
      <c r="D25" s="58">
        <f t="shared" ref="D25:E25" si="4">D46/D$43</f>
        <v>-0.25587938854359149</v>
      </c>
      <c r="E25" s="58">
        <f t="shared" si="4"/>
        <v>-0.24661109379869117</v>
      </c>
      <c r="F25" s="59">
        <v>-0.247</v>
      </c>
      <c r="G25" s="59">
        <v>-0.247</v>
      </c>
      <c r="H25" s="59">
        <v>-0.247</v>
      </c>
      <c r="I25" s="59">
        <v>-0.247</v>
      </c>
      <c r="J25" s="59">
        <v>-0.247</v>
      </c>
      <c r="K25" s="59">
        <v>-0.247</v>
      </c>
      <c r="L25" s="59">
        <v>-0.247</v>
      </c>
      <c r="M25" s="59">
        <v>-0.247</v>
      </c>
      <c r="N25" s="59">
        <v>-0.247</v>
      </c>
      <c r="O25" s="59">
        <v>-0.247</v>
      </c>
    </row>
    <row r="26" spans="1:15" s="47" customFormat="1" ht="15" customHeight="1" x14ac:dyDescent="0.35">
      <c r="A26" s="11"/>
      <c r="B26" s="47" t="s">
        <v>102</v>
      </c>
      <c r="C26" s="58">
        <f>C47/C$43</f>
        <v>-5.486787814941621E-3</v>
      </c>
      <c r="D26" s="58">
        <f t="shared" ref="D26:E26" si="5">D47/D$43</f>
        <v>-2.3937510498908115E-3</v>
      </c>
      <c r="E26" s="58">
        <f t="shared" si="5"/>
        <v>-3.9732003739482704E-3</v>
      </c>
      <c r="F26" s="59">
        <v>-4.0000000000000001E-3</v>
      </c>
      <c r="G26" s="59">
        <v>-4.0000000000000001E-3</v>
      </c>
      <c r="H26" s="59">
        <v>-4.0000000000000001E-3</v>
      </c>
      <c r="I26" s="59">
        <v>-4.0000000000000001E-3</v>
      </c>
      <c r="J26" s="59">
        <v>-4.0000000000000001E-3</v>
      </c>
      <c r="K26" s="59">
        <v>-4.0000000000000001E-3</v>
      </c>
      <c r="L26" s="59">
        <v>-4.0000000000000001E-3</v>
      </c>
      <c r="M26" s="59">
        <v>-4.0000000000000001E-3</v>
      </c>
      <c r="N26" s="59">
        <v>-4.0000000000000001E-3</v>
      </c>
      <c r="O26" s="59">
        <v>-4.0000000000000001E-3</v>
      </c>
    </row>
    <row r="27" spans="1:15" s="47" customFormat="1" ht="15" customHeight="1" x14ac:dyDescent="0.35">
      <c r="A27" s="11"/>
      <c r="B27" s="47" t="s">
        <v>103</v>
      </c>
      <c r="C27" s="58">
        <f>C48/C$43</f>
        <v>-3.2086735141778594E-2</v>
      </c>
      <c r="D27" s="58">
        <f t="shared" ref="D27:E27" si="6">D48/D$43</f>
        <v>-3.0698807324038301E-2</v>
      </c>
      <c r="E27" s="58">
        <f t="shared" si="6"/>
        <v>-2.9954814583982553E-2</v>
      </c>
      <c r="F27" s="59">
        <v>-0.03</v>
      </c>
      <c r="G27" s="59">
        <v>-0.03</v>
      </c>
      <c r="H27" s="59">
        <v>-0.03</v>
      </c>
      <c r="I27" s="59">
        <v>-0.03</v>
      </c>
      <c r="J27" s="59">
        <v>-0.03</v>
      </c>
      <c r="K27" s="59">
        <v>-0.03</v>
      </c>
      <c r="L27" s="59">
        <v>-0.03</v>
      </c>
      <c r="M27" s="59">
        <v>-0.03</v>
      </c>
      <c r="N27" s="59">
        <v>-0.03</v>
      </c>
      <c r="O27" s="59">
        <v>-0.03</v>
      </c>
    </row>
    <row r="28" spans="1:15" s="47" customFormat="1" ht="15" customHeight="1" x14ac:dyDescent="0.35">
      <c r="A28" s="11"/>
      <c r="B28" s="57" t="s">
        <v>105</v>
      </c>
      <c r="C28" s="58"/>
      <c r="D28" s="58">
        <f>D51/C130</f>
        <v>-0.19357914812460264</v>
      </c>
      <c r="E28" s="58">
        <f>E51/D130</f>
        <v>-0.19885334942667474</v>
      </c>
      <c r="F28" s="59">
        <f>-0.199</f>
        <v>-0.19900000000000001</v>
      </c>
      <c r="G28" s="59">
        <f t="shared" ref="G28:O28" si="7">-0.199</f>
        <v>-0.19900000000000001</v>
      </c>
      <c r="H28" s="59">
        <f t="shared" si="7"/>
        <v>-0.19900000000000001</v>
      </c>
      <c r="I28" s="59">
        <f t="shared" si="7"/>
        <v>-0.19900000000000001</v>
      </c>
      <c r="J28" s="59">
        <f t="shared" si="7"/>
        <v>-0.19900000000000001</v>
      </c>
      <c r="K28" s="59">
        <f t="shared" si="7"/>
        <v>-0.19900000000000001</v>
      </c>
      <c r="L28" s="59">
        <f t="shared" si="7"/>
        <v>-0.19900000000000001</v>
      </c>
      <c r="M28" s="59">
        <f t="shared" si="7"/>
        <v>-0.19900000000000001</v>
      </c>
      <c r="N28" s="59">
        <f t="shared" si="7"/>
        <v>-0.19900000000000001</v>
      </c>
      <c r="O28" s="59">
        <f t="shared" si="7"/>
        <v>-0.19900000000000001</v>
      </c>
    </row>
    <row r="29" spans="1:15" s="47" customFormat="1" ht="15" customHeight="1" x14ac:dyDescent="0.35">
      <c r="A29" s="11"/>
      <c r="B29" s="57" t="s">
        <v>94</v>
      </c>
      <c r="F29" s="60">
        <v>5.9</v>
      </c>
      <c r="G29" s="60">
        <v>5.6</v>
      </c>
      <c r="H29" s="60">
        <v>5.6</v>
      </c>
      <c r="I29" s="60">
        <v>5.6</v>
      </c>
      <c r="J29" s="60">
        <v>5.6</v>
      </c>
      <c r="K29" s="60">
        <v>5.6</v>
      </c>
      <c r="L29" s="60">
        <v>5.6</v>
      </c>
      <c r="M29" s="60">
        <v>5.6</v>
      </c>
      <c r="N29" s="60">
        <v>5.6</v>
      </c>
      <c r="O29" s="60">
        <v>5.6</v>
      </c>
    </row>
    <row r="30" spans="1:15" s="47" customFormat="1" ht="15" customHeight="1" x14ac:dyDescent="0.35">
      <c r="A30" s="11"/>
      <c r="B30" s="47" t="s">
        <v>64</v>
      </c>
      <c r="F30" s="60">
        <v>0</v>
      </c>
      <c r="G30" s="60">
        <v>0</v>
      </c>
      <c r="H30" s="60">
        <v>0</v>
      </c>
      <c r="I30" s="60">
        <v>0</v>
      </c>
      <c r="J30" s="60">
        <v>0</v>
      </c>
      <c r="K30" s="60">
        <v>0</v>
      </c>
      <c r="L30" s="60">
        <v>0</v>
      </c>
      <c r="M30" s="60">
        <v>0</v>
      </c>
      <c r="N30" s="60">
        <v>0</v>
      </c>
      <c r="O30" s="60">
        <v>0</v>
      </c>
    </row>
    <row r="31" spans="1:15" s="47" customFormat="1" ht="15" customHeight="1" x14ac:dyDescent="0.35">
      <c r="A31" s="11"/>
      <c r="B31" s="47" t="s">
        <v>109</v>
      </c>
      <c r="C31" s="58">
        <f>-66/C57</f>
        <v>-0.37162162162162188</v>
      </c>
      <c r="D31" s="58">
        <f>-52.3/D57</f>
        <v>-0.31112433075550294</v>
      </c>
      <c r="E31" s="58">
        <f>-45.9/E57</f>
        <v>-0.23526396719630954</v>
      </c>
      <c r="F31" s="61">
        <v>-0.23499999999999999</v>
      </c>
      <c r="G31" s="61">
        <v>-0.23499999999999999</v>
      </c>
      <c r="H31" s="61">
        <v>-0.23499999999999999</v>
      </c>
      <c r="I31" s="61">
        <v>-0.23499999999999999</v>
      </c>
      <c r="J31" s="61">
        <v>-0.23499999999999999</v>
      </c>
      <c r="K31" s="61">
        <v>-0.23499999999999999</v>
      </c>
      <c r="L31" s="61">
        <v>-0.23499999999999999</v>
      </c>
      <c r="M31" s="61">
        <v>-0.23499999999999999</v>
      </c>
      <c r="N31" s="61">
        <v>-0.23499999999999999</v>
      </c>
      <c r="O31" s="61">
        <v>-0.23499999999999999</v>
      </c>
    </row>
    <row r="32" spans="1:15" s="47" customFormat="1" ht="15" customHeight="1" x14ac:dyDescent="0.35">
      <c r="A32" s="11"/>
      <c r="B32" s="47" t="s">
        <v>110</v>
      </c>
      <c r="C32" s="58">
        <f>C58/C57</f>
        <v>-0.31024774774774794</v>
      </c>
      <c r="D32" s="58">
        <f t="shared" ref="D32:E32" si="8">D58/D57</f>
        <v>-0.25223081499107697</v>
      </c>
      <c r="E32" s="58">
        <f t="shared" si="8"/>
        <v>-0.20297283444387493</v>
      </c>
      <c r="F32" s="61">
        <f>-0.21</f>
        <v>-0.21</v>
      </c>
      <c r="G32" s="61">
        <f t="shared" ref="G32:O32" si="9">-0.21</f>
        <v>-0.21</v>
      </c>
      <c r="H32" s="61">
        <f t="shared" si="9"/>
        <v>-0.21</v>
      </c>
      <c r="I32" s="61">
        <f t="shared" si="9"/>
        <v>-0.21</v>
      </c>
      <c r="J32" s="61">
        <f t="shared" si="9"/>
        <v>-0.21</v>
      </c>
      <c r="K32" s="61">
        <f t="shared" si="9"/>
        <v>-0.21</v>
      </c>
      <c r="L32" s="61">
        <f t="shared" si="9"/>
        <v>-0.21</v>
      </c>
      <c r="M32" s="61">
        <f t="shared" si="9"/>
        <v>-0.21</v>
      </c>
      <c r="N32" s="61">
        <f t="shared" si="9"/>
        <v>-0.21</v>
      </c>
      <c r="O32" s="61">
        <f t="shared" si="9"/>
        <v>-0.21</v>
      </c>
    </row>
    <row r="33" spans="1:15" s="47" customFormat="1" ht="15" customHeight="1" x14ac:dyDescent="0.35">
      <c r="A33" s="11"/>
      <c r="B33" s="47" t="s">
        <v>65</v>
      </c>
      <c r="F33" s="60">
        <v>5</v>
      </c>
      <c r="G33" s="60">
        <v>6</v>
      </c>
      <c r="H33" s="60">
        <v>7</v>
      </c>
      <c r="I33" s="60">
        <v>8</v>
      </c>
      <c r="J33" s="60">
        <v>8</v>
      </c>
      <c r="K33" s="60">
        <v>8</v>
      </c>
      <c r="L33" s="60">
        <v>8</v>
      </c>
      <c r="M33" s="60">
        <v>8</v>
      </c>
      <c r="N33" s="60">
        <v>8</v>
      </c>
      <c r="O33" s="60">
        <v>8</v>
      </c>
    </row>
    <row r="34" spans="1:15" s="47" customFormat="1" ht="15" customHeight="1" x14ac:dyDescent="0.35">
      <c r="A34" s="11"/>
      <c r="B34" s="47" t="s">
        <v>66</v>
      </c>
      <c r="F34" s="60">
        <v>0</v>
      </c>
      <c r="G34" s="60">
        <v>0</v>
      </c>
      <c r="H34" s="60">
        <v>0</v>
      </c>
      <c r="I34" s="60">
        <v>0</v>
      </c>
      <c r="J34" s="60">
        <v>0</v>
      </c>
      <c r="K34" s="60">
        <v>0</v>
      </c>
      <c r="L34" s="60">
        <v>0</v>
      </c>
      <c r="M34" s="60">
        <v>0</v>
      </c>
      <c r="N34" s="60">
        <v>0</v>
      </c>
      <c r="O34" s="60">
        <v>0</v>
      </c>
    </row>
    <row r="35" spans="1:15" s="47" customFormat="1" ht="15" customHeight="1" x14ac:dyDescent="0.35">
      <c r="A35" s="11"/>
      <c r="B35" s="47" t="s">
        <v>106</v>
      </c>
      <c r="D35" s="58">
        <f>D70/C70-1</f>
        <v>7.4626865671641784E-2</v>
      </c>
      <c r="E35" s="58">
        <f>E70/D70-1</f>
        <v>9.7222222222222321E-2</v>
      </c>
      <c r="F35" s="61">
        <v>0.1</v>
      </c>
      <c r="G35" s="61">
        <v>0.1</v>
      </c>
      <c r="H35" s="61">
        <v>0.1</v>
      </c>
      <c r="I35" s="61">
        <v>0.1</v>
      </c>
      <c r="J35" s="61">
        <v>0.1</v>
      </c>
      <c r="K35" s="61">
        <v>0.1</v>
      </c>
      <c r="L35" s="61">
        <v>0.1</v>
      </c>
      <c r="M35" s="61">
        <v>0.1</v>
      </c>
      <c r="N35" s="61">
        <v>0.1</v>
      </c>
      <c r="O35" s="61">
        <v>0.1</v>
      </c>
    </row>
    <row r="36" spans="1:15" s="47" customFormat="1" ht="15" customHeight="1" x14ac:dyDescent="0.35">
      <c r="A36" s="11"/>
      <c r="B36" s="47" t="s">
        <v>67</v>
      </c>
      <c r="F36" s="60">
        <v>59.694000000000003</v>
      </c>
      <c r="G36" s="60">
        <v>59.694000000000003</v>
      </c>
      <c r="H36" s="60">
        <v>59.694000000000003</v>
      </c>
      <c r="I36" s="60">
        <v>59.694000000000003</v>
      </c>
      <c r="J36" s="60">
        <v>59.694000000000003</v>
      </c>
      <c r="K36" s="60">
        <v>59.694000000000003</v>
      </c>
      <c r="L36" s="60">
        <v>59.694000000000003</v>
      </c>
      <c r="M36" s="60">
        <v>59.694000000000003</v>
      </c>
      <c r="N36" s="60">
        <v>59.694000000000003</v>
      </c>
      <c r="O36" s="60">
        <v>59.694000000000003</v>
      </c>
    </row>
    <row r="37" spans="1:15" s="47" customFormat="1" ht="15" customHeight="1" x14ac:dyDescent="0.35">
      <c r="A37" s="11"/>
      <c r="B37" s="47" t="s">
        <v>68</v>
      </c>
      <c r="F37" s="60">
        <v>60.311</v>
      </c>
      <c r="G37" s="60">
        <v>60.311</v>
      </c>
      <c r="H37" s="60">
        <v>60.311</v>
      </c>
      <c r="I37" s="60">
        <v>60.311</v>
      </c>
      <c r="J37" s="60">
        <v>60.311</v>
      </c>
      <c r="K37" s="60">
        <v>60.311</v>
      </c>
      <c r="L37" s="60">
        <v>60.311</v>
      </c>
      <c r="M37" s="60">
        <v>60.311</v>
      </c>
      <c r="N37" s="60">
        <v>60.311</v>
      </c>
      <c r="O37" s="60">
        <v>60.311</v>
      </c>
    </row>
    <row r="38" spans="1:15" s="47" customFormat="1" ht="15" customHeight="1" x14ac:dyDescent="0.35">
      <c r="A38" s="11"/>
    </row>
    <row r="39" spans="1:15" s="47" customFormat="1" ht="15" customHeight="1" x14ac:dyDescent="0.35">
      <c r="A39" s="11"/>
    </row>
    <row r="40" spans="1:15" ht="15" customHeight="1" x14ac:dyDescent="0.35">
      <c r="A40" s="11" t="s">
        <v>40</v>
      </c>
      <c r="C40" s="12"/>
      <c r="D40" s="12"/>
    </row>
    <row r="41" spans="1:15" ht="15" customHeight="1" x14ac:dyDescent="0.35">
      <c r="B41" t="s">
        <v>51</v>
      </c>
      <c r="C41">
        <v>1690.1</v>
      </c>
      <c r="D41">
        <v>1737.9</v>
      </c>
      <c r="E41" s="37">
        <v>1865.8</v>
      </c>
      <c r="F41">
        <f t="shared" ref="F41:O41" si="10">(1+F11)*E41</f>
        <v>1977.748</v>
      </c>
      <c r="G41" s="47">
        <f t="shared" si="10"/>
        <v>2076.6354000000001</v>
      </c>
      <c r="H41" s="47">
        <f t="shared" si="10"/>
        <v>2159.700816</v>
      </c>
      <c r="I41" s="47">
        <f t="shared" si="10"/>
        <v>2246.0888486399999</v>
      </c>
      <c r="J41" s="47">
        <f t="shared" si="10"/>
        <v>2335.9324025855999</v>
      </c>
      <c r="K41" s="47">
        <f t="shared" si="10"/>
        <v>2429.3696986890241</v>
      </c>
      <c r="L41" s="47">
        <f t="shared" si="10"/>
        <v>2502.250789649695</v>
      </c>
      <c r="M41" s="47">
        <f t="shared" si="10"/>
        <v>2577.3183133391858</v>
      </c>
      <c r="N41" s="47">
        <f t="shared" si="10"/>
        <v>2654.6378627393615</v>
      </c>
      <c r="O41" s="47">
        <f t="shared" si="10"/>
        <v>2734.2769986215426</v>
      </c>
    </row>
    <row r="42" spans="1:15" ht="15" customHeight="1" x14ac:dyDescent="0.35">
      <c r="B42" t="s">
        <v>50</v>
      </c>
      <c r="C42">
        <v>588.1</v>
      </c>
      <c r="D42" s="12">
        <v>643.29999999999995</v>
      </c>
      <c r="E42" s="12">
        <v>701.4</v>
      </c>
      <c r="F42" s="47">
        <f>(1+F17)*E42</f>
        <v>750.49800000000005</v>
      </c>
      <c r="G42" s="47">
        <f t="shared" ref="G42:O42" si="11">(1+G17)*F42</f>
        <v>803.03286000000014</v>
      </c>
      <c r="H42" s="47">
        <f t="shared" si="11"/>
        <v>859.24516020000021</v>
      </c>
      <c r="I42" s="47">
        <f t="shared" si="11"/>
        <v>919.39232141400032</v>
      </c>
      <c r="J42" s="47">
        <f t="shared" si="11"/>
        <v>983.74978391298043</v>
      </c>
      <c r="K42" s="47">
        <f t="shared" si="11"/>
        <v>1052.6122687868892</v>
      </c>
      <c r="L42" s="47">
        <f t="shared" si="11"/>
        <v>1126.2951276019714</v>
      </c>
      <c r="M42" s="47">
        <f t="shared" si="11"/>
        <v>1205.1357865341095</v>
      </c>
      <c r="N42" s="47">
        <f t="shared" si="11"/>
        <v>1289.4952915914971</v>
      </c>
      <c r="O42" s="47">
        <f t="shared" si="11"/>
        <v>1379.7599620029021</v>
      </c>
    </row>
    <row r="43" spans="1:15" ht="15" customHeight="1" x14ac:dyDescent="0.35">
      <c r="B43" s="51" t="s">
        <v>52</v>
      </c>
      <c r="C43" s="50">
        <f>SUM(C41:C42)</f>
        <v>2278.1999999999998</v>
      </c>
      <c r="D43" s="50">
        <f t="shared" ref="D43:F43" si="12">SUM(D41:D42)</f>
        <v>2381.1999999999998</v>
      </c>
      <c r="E43" s="50">
        <f t="shared" si="12"/>
        <v>2567.1999999999998</v>
      </c>
      <c r="F43" s="50">
        <f t="shared" si="12"/>
        <v>2728.2460000000001</v>
      </c>
      <c r="G43" s="50">
        <f t="shared" ref="G43" si="13">SUM(G41:G42)</f>
        <v>2879.6682600000004</v>
      </c>
      <c r="H43" s="50">
        <f t="shared" ref="H43" si="14">SUM(H41:H42)</f>
        <v>3018.9459762000001</v>
      </c>
      <c r="I43" s="50">
        <f t="shared" ref="I43" si="15">SUM(I41:I42)</f>
        <v>3165.4811700540004</v>
      </c>
      <c r="J43" s="50">
        <f t="shared" ref="J43" si="16">SUM(J41:J42)</f>
        <v>3319.6821864985804</v>
      </c>
      <c r="K43" s="50">
        <f t="shared" ref="K43" si="17">SUM(K41:K42)</f>
        <v>3481.9819674759133</v>
      </c>
      <c r="L43" s="50">
        <f t="shared" ref="L43" si="18">SUM(L41:L42)</f>
        <v>3628.5459172516667</v>
      </c>
      <c r="M43" s="50">
        <f t="shared" ref="M43" si="19">SUM(M41:M42)</f>
        <v>3782.4540998732955</v>
      </c>
      <c r="N43" s="50">
        <f t="shared" ref="N43" si="20">SUM(N41:N42)</f>
        <v>3944.1331543308588</v>
      </c>
      <c r="O43" s="50">
        <f t="shared" ref="O43" si="21">SUM(O41:O42)</f>
        <v>4114.0369606244449</v>
      </c>
    </row>
    <row r="44" spans="1:15" ht="15" customHeight="1" x14ac:dyDescent="0.35">
      <c r="B44" t="s">
        <v>96</v>
      </c>
      <c r="C44" s="47">
        <v>-1361.1</v>
      </c>
      <c r="D44" s="47">
        <v>-1447.3</v>
      </c>
      <c r="E44" s="47">
        <v>-1571.3999999999999</v>
      </c>
      <c r="F44" s="12">
        <f>F23*F43</f>
        <v>-1691.51252</v>
      </c>
      <c r="G44" s="47">
        <f t="shared" ref="G44:O44" si="22">G23*G43</f>
        <v>-1785.3943212000001</v>
      </c>
      <c r="H44" s="47">
        <f t="shared" si="22"/>
        <v>-1871.746505244</v>
      </c>
      <c r="I44" s="47">
        <f t="shared" si="22"/>
        <v>-1962.5983254334801</v>
      </c>
      <c r="J44" s="47">
        <f t="shared" si="22"/>
        <v>-2058.20295562912</v>
      </c>
      <c r="K44" s="47">
        <f t="shared" si="22"/>
        <v>-2158.828819835066</v>
      </c>
      <c r="L44" s="47">
        <f t="shared" si="22"/>
        <v>-2249.6984686960332</v>
      </c>
      <c r="M44" s="47">
        <f t="shared" si="22"/>
        <v>-2345.1215419214432</v>
      </c>
      <c r="N44" s="47">
        <f t="shared" si="22"/>
        <v>-2445.3625556851325</v>
      </c>
      <c r="O44" s="47">
        <f t="shared" si="22"/>
        <v>-2550.702915587156</v>
      </c>
    </row>
    <row r="45" spans="1:15" ht="15" customHeight="1" x14ac:dyDescent="0.35">
      <c r="B45" s="51" t="s">
        <v>53</v>
      </c>
      <c r="C45" s="50">
        <f>SUM(C43:C44)</f>
        <v>917.09999999999991</v>
      </c>
      <c r="D45" s="50">
        <f t="shared" ref="D45:F45" si="23">SUM(D43:D44)</f>
        <v>933.89999999999986</v>
      </c>
      <c r="E45" s="50">
        <f t="shared" si="23"/>
        <v>995.8</v>
      </c>
      <c r="F45" s="50">
        <f t="shared" si="23"/>
        <v>1036.7334800000001</v>
      </c>
      <c r="G45" s="50">
        <f t="shared" ref="G45" si="24">SUM(G43:G44)</f>
        <v>1094.2739388000002</v>
      </c>
      <c r="H45" s="50">
        <f t="shared" ref="H45" si="25">SUM(H43:H44)</f>
        <v>1147.1994709560001</v>
      </c>
      <c r="I45" s="50">
        <f t="shared" ref="I45" si="26">SUM(I43:I44)</f>
        <v>1202.8828446205202</v>
      </c>
      <c r="J45" s="50">
        <f t="shared" ref="J45" si="27">SUM(J43:J44)</f>
        <v>1261.4792308694605</v>
      </c>
      <c r="K45" s="50">
        <f t="shared" ref="K45" si="28">SUM(K43:K44)</f>
        <v>1323.1531476408472</v>
      </c>
      <c r="L45" s="50">
        <f t="shared" ref="L45" si="29">SUM(L43:L44)</f>
        <v>1378.8474485556335</v>
      </c>
      <c r="M45" s="50">
        <f t="shared" ref="M45" si="30">SUM(M43:M44)</f>
        <v>1437.3325579518523</v>
      </c>
      <c r="N45" s="50">
        <f t="shared" ref="N45" si="31">SUM(N43:N44)</f>
        <v>1498.7705986457263</v>
      </c>
      <c r="O45" s="50">
        <f t="shared" ref="O45" si="32">SUM(O43:O44)</f>
        <v>1563.3340450372889</v>
      </c>
    </row>
    <row r="46" spans="1:15" ht="15" customHeight="1" x14ac:dyDescent="0.35">
      <c r="B46" t="s">
        <v>104</v>
      </c>
      <c r="C46" s="47">
        <v>-581.5</v>
      </c>
      <c r="D46" s="47">
        <v>-609.29999999999995</v>
      </c>
      <c r="E46" s="47">
        <v>-633.09999999999991</v>
      </c>
      <c r="F46" s="47">
        <f>F25*F$43</f>
        <v>-673.87676199999999</v>
      </c>
      <c r="G46" s="47">
        <f t="shared" ref="G46:O46" si="33">G25*G$43</f>
        <v>-711.27806022000004</v>
      </c>
      <c r="H46" s="47">
        <f t="shared" si="33"/>
        <v>-745.67965612140006</v>
      </c>
      <c r="I46" s="47">
        <f t="shared" si="33"/>
        <v>-781.87384900333814</v>
      </c>
      <c r="J46" s="47">
        <f t="shared" si="33"/>
        <v>-819.96150006514938</v>
      </c>
      <c r="K46" s="47">
        <f t="shared" si="33"/>
        <v>-860.04954596655057</v>
      </c>
      <c r="L46" s="47">
        <f t="shared" si="33"/>
        <v>-896.25084156116168</v>
      </c>
      <c r="M46" s="47">
        <f t="shared" si="33"/>
        <v>-934.26616266870394</v>
      </c>
      <c r="N46" s="47">
        <f t="shared" si="33"/>
        <v>-974.20088911972209</v>
      </c>
      <c r="O46" s="47">
        <f t="shared" si="33"/>
        <v>-1016.1671292742378</v>
      </c>
    </row>
    <row r="47" spans="1:15" ht="15" customHeight="1" x14ac:dyDescent="0.35">
      <c r="B47" t="s">
        <v>54</v>
      </c>
      <c r="C47" s="47">
        <v>-12.5</v>
      </c>
      <c r="D47" s="47">
        <v>-5.7</v>
      </c>
      <c r="E47" s="47">
        <v>-10.199999999999999</v>
      </c>
      <c r="F47" s="47">
        <f>F26*F$43</f>
        <v>-10.912984</v>
      </c>
      <c r="G47" s="47">
        <f t="shared" ref="G47:O47" si="34">G26*G$43</f>
        <v>-11.518673040000001</v>
      </c>
      <c r="H47" s="47">
        <f t="shared" si="34"/>
        <v>-12.075783904800002</v>
      </c>
      <c r="I47" s="47">
        <f t="shared" si="34"/>
        <v>-12.661924680216002</v>
      </c>
      <c r="J47" s="47">
        <f t="shared" si="34"/>
        <v>-13.278728745994322</v>
      </c>
      <c r="K47" s="47">
        <f t="shared" si="34"/>
        <v>-13.927927869903654</v>
      </c>
      <c r="L47" s="47">
        <f t="shared" si="34"/>
        <v>-14.514183669006666</v>
      </c>
      <c r="M47" s="47">
        <f t="shared" si="34"/>
        <v>-15.129816399493182</v>
      </c>
      <c r="N47" s="47">
        <f t="shared" si="34"/>
        <v>-15.776532617323436</v>
      </c>
      <c r="O47" s="47">
        <f t="shared" si="34"/>
        <v>-16.456147842497781</v>
      </c>
    </row>
    <row r="48" spans="1:15" ht="15" customHeight="1" x14ac:dyDescent="0.35">
      <c r="B48" t="s">
        <v>55</v>
      </c>
      <c r="C48" s="47">
        <v>-73.099999999999994</v>
      </c>
      <c r="D48" s="47">
        <v>-73.099999999999994</v>
      </c>
      <c r="E48" s="47">
        <v>-76.900000000000006</v>
      </c>
      <c r="F48" s="47">
        <f>F27*F$43</f>
        <v>-81.847380000000001</v>
      </c>
      <c r="G48" s="47">
        <f t="shared" ref="G48:O48" si="35">G27*G$43</f>
        <v>-86.390047800000005</v>
      </c>
      <c r="H48" s="47">
        <f t="shared" si="35"/>
        <v>-90.568379285999995</v>
      </c>
      <c r="I48" s="47">
        <f t="shared" si="35"/>
        <v>-94.964435101620012</v>
      </c>
      <c r="J48" s="47">
        <f t="shared" si="35"/>
        <v>-99.590465594957408</v>
      </c>
      <c r="K48" s="47">
        <f t="shared" si="35"/>
        <v>-104.45945902427739</v>
      </c>
      <c r="L48" s="47">
        <f t="shared" si="35"/>
        <v>-108.85637751755</v>
      </c>
      <c r="M48" s="47">
        <f t="shared" si="35"/>
        <v>-113.47362299619886</v>
      </c>
      <c r="N48" s="47">
        <f t="shared" si="35"/>
        <v>-118.32399462992576</v>
      </c>
      <c r="O48" s="47">
        <f t="shared" si="35"/>
        <v>-123.42110881873334</v>
      </c>
    </row>
    <row r="49" spans="1:15" ht="15" customHeight="1" x14ac:dyDescent="0.35">
      <c r="B49" s="51" t="s">
        <v>108</v>
      </c>
      <c r="C49" s="50">
        <f>SUM(C46:C48)</f>
        <v>-667.1</v>
      </c>
      <c r="D49" s="50">
        <f>SUM(D46:D48)</f>
        <v>-688.1</v>
      </c>
      <c r="E49" s="50">
        <f>SUM(E46:E48)</f>
        <v>-720.19999999999993</v>
      </c>
      <c r="F49" s="50">
        <f>SUM(F46:F48)</f>
        <v>-766.63712600000008</v>
      </c>
      <c r="G49" s="50">
        <f t="shared" ref="G49:O49" si="36">SUM(G46:G48)</f>
        <v>-809.18678106000004</v>
      </c>
      <c r="H49" s="50">
        <f t="shared" si="36"/>
        <v>-848.32381931220004</v>
      </c>
      <c r="I49" s="50">
        <f t="shared" si="36"/>
        <v>-889.5002087851741</v>
      </c>
      <c r="J49" s="50">
        <f t="shared" si="36"/>
        <v>-932.83069440610109</v>
      </c>
      <c r="K49" s="50">
        <f t="shared" si="36"/>
        <v>-978.43693286073164</v>
      </c>
      <c r="L49" s="50">
        <f t="shared" si="36"/>
        <v>-1019.6214027477183</v>
      </c>
      <c r="M49" s="50">
        <f t="shared" si="36"/>
        <v>-1062.8696020643961</v>
      </c>
      <c r="N49" s="50">
        <f t="shared" si="36"/>
        <v>-1108.3014163669714</v>
      </c>
      <c r="O49" s="50">
        <f t="shared" si="36"/>
        <v>-1156.0443859354689</v>
      </c>
    </row>
    <row r="50" spans="1:15" ht="15" customHeight="1" x14ac:dyDescent="0.35">
      <c r="B50" s="51" t="s">
        <v>92</v>
      </c>
      <c r="C50" s="50">
        <f>C45+C49</f>
        <v>249.99999999999989</v>
      </c>
      <c r="D50" s="50">
        <f t="shared" ref="D50:F50" si="37">D45+D49</f>
        <v>245.79999999999984</v>
      </c>
      <c r="E50" s="50">
        <f t="shared" si="37"/>
        <v>275.60000000000002</v>
      </c>
      <c r="F50" s="50">
        <f t="shared" si="37"/>
        <v>270.09635400000002</v>
      </c>
      <c r="G50" s="50">
        <f t="shared" ref="G50" si="38">G45+G49</f>
        <v>285.08715774000018</v>
      </c>
      <c r="H50" s="50">
        <f t="shared" ref="H50" si="39">H45+H49</f>
        <v>298.8756516438001</v>
      </c>
      <c r="I50" s="50">
        <f t="shared" ref="I50" si="40">I45+I49</f>
        <v>313.38263583534615</v>
      </c>
      <c r="J50" s="50">
        <f t="shared" ref="J50" si="41">J45+J49</f>
        <v>328.64853646335939</v>
      </c>
      <c r="K50" s="50">
        <f t="shared" ref="K50" si="42">K45+K49</f>
        <v>344.71621478011559</v>
      </c>
      <c r="L50" s="50">
        <f t="shared" ref="L50" si="43">L45+L49</f>
        <v>359.22604580791517</v>
      </c>
      <c r="M50" s="50">
        <f t="shared" ref="M50" si="44">M45+M49</f>
        <v>374.46295588745625</v>
      </c>
      <c r="N50" s="50">
        <f t="shared" ref="N50" si="45">N45+N49</f>
        <v>390.46918227875494</v>
      </c>
      <c r="O50" s="50">
        <f t="shared" ref="O50" si="46">O45+O49</f>
        <v>407.28965910182001</v>
      </c>
    </row>
    <row r="51" spans="1:15" s="47" customFormat="1" ht="15" customHeight="1" x14ac:dyDescent="0.35">
      <c r="A51" s="11"/>
      <c r="B51" s="57" t="s">
        <v>93</v>
      </c>
      <c r="C51" s="19">
        <v>-52.9</v>
      </c>
      <c r="D51" s="19">
        <v>-60.9</v>
      </c>
      <c r="E51" s="19">
        <v>-65.900000000000006</v>
      </c>
      <c r="F51" s="47">
        <f>F95</f>
        <v>-69.371400000000008</v>
      </c>
      <c r="G51" s="47">
        <f t="shared" ref="G51:O51" si="47">G95</f>
        <v>-73.482882882000013</v>
      </c>
      <c r="H51" s="47">
        <f t="shared" si="47"/>
        <v>-77.77057065190202</v>
      </c>
      <c r="I51" s="47">
        <f t="shared" si="47"/>
        <v>-82.11964531787892</v>
      </c>
      <c r="J51" s="47">
        <f t="shared" si="47"/>
        <v>-86.565550743365648</v>
      </c>
      <c r="K51" s="47">
        <f t="shared" si="47"/>
        <v>-91.139359064172055</v>
      </c>
      <c r="L51" s="47">
        <f t="shared" si="47"/>
        <v>-95.868802190816155</v>
      </c>
      <c r="M51" s="47">
        <f t="shared" si="47"/>
        <v>-100.61957159343544</v>
      </c>
      <c r="N51" s="47">
        <f t="shared" si="47"/>
        <v>-105.43565292020972</v>
      </c>
      <c r="O51" s="47">
        <f t="shared" si="47"/>
        <v>-110.35508041357876</v>
      </c>
    </row>
    <row r="52" spans="1:15" s="47" customFormat="1" ht="15" customHeight="1" x14ac:dyDescent="0.35">
      <c r="A52" s="11"/>
      <c r="B52" s="57" t="s">
        <v>94</v>
      </c>
      <c r="C52" s="53">
        <v>-6</v>
      </c>
      <c r="D52" s="53">
        <v>-6</v>
      </c>
      <c r="E52" s="53">
        <v>-6.2</v>
      </c>
      <c r="F52" s="47">
        <f>-F29</f>
        <v>-5.9</v>
      </c>
      <c r="G52" s="47">
        <f t="shared" ref="G52:O52" si="48">-G29</f>
        <v>-5.6</v>
      </c>
      <c r="H52" s="47">
        <f t="shared" si="48"/>
        <v>-5.6</v>
      </c>
      <c r="I52" s="47">
        <f t="shared" si="48"/>
        <v>-5.6</v>
      </c>
      <c r="J52" s="47">
        <f t="shared" si="48"/>
        <v>-5.6</v>
      </c>
      <c r="K52" s="47">
        <f t="shared" si="48"/>
        <v>-5.6</v>
      </c>
      <c r="L52" s="47">
        <f t="shared" si="48"/>
        <v>-5.6</v>
      </c>
      <c r="M52" s="47">
        <f t="shared" si="48"/>
        <v>-5.6</v>
      </c>
      <c r="N52" s="47">
        <f t="shared" si="48"/>
        <v>-5.6</v>
      </c>
      <c r="O52" s="47">
        <f t="shared" si="48"/>
        <v>-5.6</v>
      </c>
    </row>
    <row r="53" spans="1:15" s="47" customFormat="1" ht="15" customHeight="1" x14ac:dyDescent="0.35">
      <c r="A53" s="11"/>
      <c r="B53" s="51" t="s">
        <v>95</v>
      </c>
      <c r="C53" s="50">
        <f>SUM(C50:C52)</f>
        <v>191.09999999999988</v>
      </c>
      <c r="D53" s="50">
        <f t="shared" ref="D53:F53" si="49">SUM(D50:D52)</f>
        <v>178.89999999999984</v>
      </c>
      <c r="E53" s="50">
        <f t="shared" si="49"/>
        <v>203.50000000000003</v>
      </c>
      <c r="F53" s="50">
        <f t="shared" si="49"/>
        <v>194.82495400000002</v>
      </c>
      <c r="G53" s="50">
        <f t="shared" ref="G53" si="50">SUM(G50:G52)</f>
        <v>206.00427485800017</v>
      </c>
      <c r="H53" s="50">
        <f t="shared" ref="H53" si="51">SUM(H50:H52)</f>
        <v>215.5050809918981</v>
      </c>
      <c r="I53" s="50">
        <f t="shared" ref="I53" si="52">SUM(I50:I52)</f>
        <v>225.66299051746725</v>
      </c>
      <c r="J53" s="50">
        <f t="shared" ref="J53" si="53">SUM(J50:J52)</f>
        <v>236.48298571999376</v>
      </c>
      <c r="K53" s="50">
        <f t="shared" ref="K53" si="54">SUM(K50:K52)</f>
        <v>247.97685571594354</v>
      </c>
      <c r="L53" s="50">
        <f t="shared" ref="L53" si="55">SUM(L50:L52)</f>
        <v>257.75724361709899</v>
      </c>
      <c r="M53" s="50">
        <f t="shared" ref="M53" si="56">SUM(M50:M52)</f>
        <v>268.24338429402076</v>
      </c>
      <c r="N53" s="50">
        <f t="shared" ref="N53" si="57">SUM(N50:N52)</f>
        <v>279.43352935854523</v>
      </c>
      <c r="O53" s="50">
        <f t="shared" ref="O53" si="58">SUM(O50:O52)</f>
        <v>291.33457868824121</v>
      </c>
    </row>
    <row r="54" spans="1:15" ht="15" customHeight="1" x14ac:dyDescent="0.35">
      <c r="B54" t="s">
        <v>56</v>
      </c>
      <c r="C54" s="19">
        <v>-15.2</v>
      </c>
      <c r="D54" s="19">
        <v>-13.5</v>
      </c>
      <c r="E54" s="19">
        <v>-12.1</v>
      </c>
      <c r="F54">
        <f t="shared" ref="F54:O54" si="59">IF(Switch=1,-F229,0)</f>
        <v>0</v>
      </c>
      <c r="G54" s="47">
        <f t="shared" si="59"/>
        <v>0</v>
      </c>
      <c r="H54" s="47">
        <f t="shared" si="59"/>
        <v>0</v>
      </c>
      <c r="I54" s="47">
        <f t="shared" si="59"/>
        <v>0</v>
      </c>
      <c r="J54" s="47">
        <f t="shared" si="59"/>
        <v>0</v>
      </c>
      <c r="K54" s="47">
        <f t="shared" si="59"/>
        <v>0</v>
      </c>
      <c r="L54" s="47">
        <f t="shared" si="59"/>
        <v>0</v>
      </c>
      <c r="M54" s="47">
        <f t="shared" si="59"/>
        <v>0</v>
      </c>
      <c r="N54" s="47">
        <f t="shared" si="59"/>
        <v>0</v>
      </c>
      <c r="O54" s="47">
        <f t="shared" si="59"/>
        <v>0</v>
      </c>
    </row>
    <row r="55" spans="1:15" ht="15" customHeight="1" x14ac:dyDescent="0.35">
      <c r="B55" t="s">
        <v>57</v>
      </c>
      <c r="C55" s="19">
        <v>2.2000000000000002</v>
      </c>
      <c r="D55" s="19">
        <v>4.4000000000000004</v>
      </c>
      <c r="E55" s="19">
        <v>2.1</v>
      </c>
      <c r="F55">
        <f t="shared" ref="F55:O55" si="60">IF(Switch=1,F235,0)</f>
        <v>0</v>
      </c>
      <c r="G55" s="47">
        <f t="shared" si="60"/>
        <v>0</v>
      </c>
      <c r="H55" s="47">
        <f t="shared" si="60"/>
        <v>0</v>
      </c>
      <c r="I55" s="47">
        <f t="shared" si="60"/>
        <v>0</v>
      </c>
      <c r="J55" s="47">
        <f t="shared" si="60"/>
        <v>0</v>
      </c>
      <c r="K55" s="47">
        <f t="shared" si="60"/>
        <v>0</v>
      </c>
      <c r="L55" s="47">
        <f t="shared" si="60"/>
        <v>0</v>
      </c>
      <c r="M55" s="47">
        <f t="shared" si="60"/>
        <v>0</v>
      </c>
      <c r="N55" s="47">
        <f t="shared" si="60"/>
        <v>0</v>
      </c>
      <c r="O55" s="47">
        <f t="shared" si="60"/>
        <v>0</v>
      </c>
    </row>
    <row r="56" spans="1:15" ht="15" customHeight="1" x14ac:dyDescent="0.35">
      <c r="B56" t="s">
        <v>64</v>
      </c>
      <c r="C56" s="19">
        <v>-0.5</v>
      </c>
      <c r="D56" s="19">
        <v>-1.7</v>
      </c>
      <c r="E56" s="19">
        <v>1.6</v>
      </c>
      <c r="F56" s="19">
        <f>F30</f>
        <v>0</v>
      </c>
      <c r="G56" s="19">
        <f t="shared" ref="G56:O56" si="61">G30</f>
        <v>0</v>
      </c>
      <c r="H56" s="19">
        <f t="shared" si="61"/>
        <v>0</v>
      </c>
      <c r="I56" s="19">
        <f t="shared" si="61"/>
        <v>0</v>
      </c>
      <c r="J56" s="19">
        <f t="shared" si="61"/>
        <v>0</v>
      </c>
      <c r="K56" s="19">
        <f t="shared" si="61"/>
        <v>0</v>
      </c>
      <c r="L56" s="19">
        <f t="shared" si="61"/>
        <v>0</v>
      </c>
      <c r="M56" s="19">
        <f t="shared" si="61"/>
        <v>0</v>
      </c>
      <c r="N56" s="19">
        <f t="shared" si="61"/>
        <v>0</v>
      </c>
      <c r="O56" s="19">
        <f t="shared" si="61"/>
        <v>0</v>
      </c>
    </row>
    <row r="57" spans="1:15" ht="15" customHeight="1" x14ac:dyDescent="0.35">
      <c r="B57" s="50" t="s">
        <v>58</v>
      </c>
      <c r="C57" s="50">
        <f>SUM(C53:C56)</f>
        <v>177.59999999999988</v>
      </c>
      <c r="D57" s="50">
        <f t="shared" ref="D57:F57" si="62">SUM(D53:D56)</f>
        <v>168.09999999999985</v>
      </c>
      <c r="E57" s="50">
        <f t="shared" si="62"/>
        <v>195.10000000000002</v>
      </c>
      <c r="F57" s="50">
        <f t="shared" si="62"/>
        <v>194.82495400000002</v>
      </c>
      <c r="G57" s="50">
        <f t="shared" ref="G57" si="63">SUM(G53:G56)</f>
        <v>206.00427485800017</v>
      </c>
      <c r="H57" s="50">
        <f t="shared" ref="H57" si="64">SUM(H53:H56)</f>
        <v>215.5050809918981</v>
      </c>
      <c r="I57" s="50">
        <f t="shared" ref="I57" si="65">SUM(I53:I56)</f>
        <v>225.66299051746725</v>
      </c>
      <c r="J57" s="50">
        <f t="shared" ref="J57" si="66">SUM(J53:J56)</f>
        <v>236.48298571999376</v>
      </c>
      <c r="K57" s="50">
        <f t="shared" ref="K57" si="67">SUM(K53:K56)</f>
        <v>247.97685571594354</v>
      </c>
      <c r="L57" s="50">
        <f t="shared" ref="L57" si="68">SUM(L53:L56)</f>
        <v>257.75724361709899</v>
      </c>
      <c r="M57" s="50">
        <f t="shared" ref="M57" si="69">SUM(M53:M56)</f>
        <v>268.24338429402076</v>
      </c>
      <c r="N57" s="50">
        <f t="shared" ref="N57" si="70">SUM(N53:N56)</f>
        <v>279.43352935854523</v>
      </c>
      <c r="O57" s="50">
        <f t="shared" ref="O57" si="71">SUM(O53:O56)</f>
        <v>291.33457868824121</v>
      </c>
    </row>
    <row r="58" spans="1:15" ht="15" customHeight="1" x14ac:dyDescent="0.35">
      <c r="B58" t="s">
        <v>59</v>
      </c>
      <c r="C58" s="19">
        <v>-55.1</v>
      </c>
      <c r="D58" s="19">
        <v>-42.4</v>
      </c>
      <c r="E58" s="19">
        <v>-39.6</v>
      </c>
      <c r="F58">
        <f>F32*F57</f>
        <v>-40.913240340000002</v>
      </c>
      <c r="G58" s="47">
        <f t="shared" ref="G58:O58" si="72">G32*G57</f>
        <v>-43.260897720180033</v>
      </c>
      <c r="H58" s="47">
        <f t="shared" si="72"/>
        <v>-45.256067008298601</v>
      </c>
      <c r="I58" s="47">
        <f t="shared" si="72"/>
        <v>-47.38922800866812</v>
      </c>
      <c r="J58" s="47">
        <f t="shared" si="72"/>
        <v>-49.661427001198689</v>
      </c>
      <c r="K58" s="47">
        <f t="shared" si="72"/>
        <v>-52.075139700348139</v>
      </c>
      <c r="L58" s="47">
        <f t="shared" si="72"/>
        <v>-54.129021159590785</v>
      </c>
      <c r="M58" s="47">
        <f t="shared" si="72"/>
        <v>-56.331110701744358</v>
      </c>
      <c r="N58" s="47">
        <f t="shared" si="72"/>
        <v>-58.681041165294495</v>
      </c>
      <c r="O58" s="47">
        <f t="shared" si="72"/>
        <v>-61.18026152453065</v>
      </c>
    </row>
    <row r="59" spans="1:15" ht="15" customHeight="1" x14ac:dyDescent="0.35">
      <c r="B59" t="s">
        <v>65</v>
      </c>
      <c r="C59" s="19">
        <v>1.6</v>
      </c>
      <c r="D59" s="19">
        <v>3</v>
      </c>
      <c r="E59" s="19">
        <v>5</v>
      </c>
      <c r="F59">
        <f>F33</f>
        <v>5</v>
      </c>
      <c r="G59" s="47">
        <f t="shared" ref="G59:O59" si="73">G33</f>
        <v>6</v>
      </c>
      <c r="H59" s="47">
        <f t="shared" si="73"/>
        <v>7</v>
      </c>
      <c r="I59" s="47">
        <f t="shared" si="73"/>
        <v>8</v>
      </c>
      <c r="J59" s="47">
        <f t="shared" si="73"/>
        <v>8</v>
      </c>
      <c r="K59" s="47">
        <f t="shared" si="73"/>
        <v>8</v>
      </c>
      <c r="L59" s="47">
        <f t="shared" si="73"/>
        <v>8</v>
      </c>
      <c r="M59" s="47">
        <f t="shared" si="73"/>
        <v>8</v>
      </c>
      <c r="N59" s="47">
        <f t="shared" si="73"/>
        <v>8</v>
      </c>
      <c r="O59" s="47">
        <f t="shared" si="73"/>
        <v>8</v>
      </c>
    </row>
    <row r="60" spans="1:15" ht="15" customHeight="1" x14ac:dyDescent="0.35">
      <c r="B60" s="51" t="s">
        <v>60</v>
      </c>
      <c r="C60" s="50">
        <f>SUM(C57:C59)</f>
        <v>124.09999999999988</v>
      </c>
      <c r="D60" s="50">
        <f t="shared" ref="D60:F60" si="74">SUM(D57:D59)</f>
        <v>128.69999999999985</v>
      </c>
      <c r="E60" s="50">
        <f t="shared" si="74"/>
        <v>160.50000000000003</v>
      </c>
      <c r="F60" s="50">
        <f t="shared" si="74"/>
        <v>158.91171366000003</v>
      </c>
      <c r="G60" s="50">
        <f t="shared" ref="G60" si="75">SUM(G57:G59)</f>
        <v>168.74337713782015</v>
      </c>
      <c r="H60" s="50">
        <f t="shared" ref="H60" si="76">SUM(H57:H59)</f>
        <v>177.2490139835995</v>
      </c>
      <c r="I60" s="50">
        <f t="shared" ref="I60" si="77">SUM(I57:I59)</f>
        <v>186.27376250879914</v>
      </c>
      <c r="J60" s="50">
        <f t="shared" ref="J60" si="78">SUM(J57:J59)</f>
        <v>194.82155871879507</v>
      </c>
      <c r="K60" s="50">
        <f t="shared" ref="K60" si="79">SUM(K57:K59)</f>
        <v>203.90171601559541</v>
      </c>
      <c r="L60" s="50">
        <f t="shared" ref="L60" si="80">SUM(L57:L59)</f>
        <v>211.6282224575082</v>
      </c>
      <c r="M60" s="50">
        <f t="shared" ref="M60" si="81">SUM(M57:M59)</f>
        <v>219.91227359227639</v>
      </c>
      <c r="N60" s="50">
        <f t="shared" ref="N60" si="82">SUM(N57:N59)</f>
        <v>228.75248819325074</v>
      </c>
      <c r="O60" s="50">
        <f t="shared" ref="O60" si="83">SUM(O57:O59)</f>
        <v>238.15431716371057</v>
      </c>
    </row>
    <row r="61" spans="1:15" ht="15" customHeight="1" x14ac:dyDescent="0.35">
      <c r="B61" t="s">
        <v>66</v>
      </c>
      <c r="C61" s="19">
        <v>-0.2</v>
      </c>
      <c r="D61" s="19">
        <v>-0.6</v>
      </c>
      <c r="E61" s="19">
        <v>0</v>
      </c>
      <c r="F61">
        <f>F34</f>
        <v>0</v>
      </c>
      <c r="G61" s="47">
        <f t="shared" ref="G61:O61" si="84">G34</f>
        <v>0</v>
      </c>
      <c r="H61" s="47">
        <f t="shared" si="84"/>
        <v>0</v>
      </c>
      <c r="I61" s="47">
        <f t="shared" si="84"/>
        <v>0</v>
      </c>
      <c r="J61" s="47">
        <f t="shared" si="84"/>
        <v>0</v>
      </c>
      <c r="K61" s="47">
        <f t="shared" si="84"/>
        <v>0</v>
      </c>
      <c r="L61" s="47">
        <f t="shared" si="84"/>
        <v>0</v>
      </c>
      <c r="M61" s="47">
        <f t="shared" si="84"/>
        <v>0</v>
      </c>
      <c r="N61" s="47">
        <f t="shared" si="84"/>
        <v>0</v>
      </c>
      <c r="O61" s="47">
        <f t="shared" si="84"/>
        <v>0</v>
      </c>
    </row>
    <row r="62" spans="1:15" ht="15" customHeight="1" thickBot="1" x14ac:dyDescent="0.4">
      <c r="B62" s="55" t="s">
        <v>135</v>
      </c>
      <c r="C62" s="54">
        <f>SUM(C60:C61)</f>
        <v>123.89999999999988</v>
      </c>
      <c r="D62" s="54">
        <f t="shared" ref="D62:F62" si="85">SUM(D60:D61)</f>
        <v>128.09999999999985</v>
      </c>
      <c r="E62" s="54">
        <f t="shared" si="85"/>
        <v>160.50000000000003</v>
      </c>
      <c r="F62" s="54">
        <f t="shared" si="85"/>
        <v>158.91171366000003</v>
      </c>
      <c r="G62" s="54">
        <f t="shared" ref="G62" si="86">SUM(G60:G61)</f>
        <v>168.74337713782015</v>
      </c>
      <c r="H62" s="54">
        <f t="shared" ref="H62" si="87">SUM(H60:H61)</f>
        <v>177.2490139835995</v>
      </c>
      <c r="I62" s="54">
        <f t="shared" ref="I62" si="88">SUM(I60:I61)</f>
        <v>186.27376250879914</v>
      </c>
      <c r="J62" s="54">
        <f t="shared" ref="J62" si="89">SUM(J60:J61)</f>
        <v>194.82155871879507</v>
      </c>
      <c r="K62" s="54">
        <f t="shared" ref="K62" si="90">SUM(K60:K61)</f>
        <v>203.90171601559541</v>
      </c>
      <c r="L62" s="54">
        <f t="shared" ref="L62" si="91">SUM(L60:L61)</f>
        <v>211.6282224575082</v>
      </c>
      <c r="M62" s="54">
        <f t="shared" ref="M62" si="92">SUM(M60:M61)</f>
        <v>219.91227359227639</v>
      </c>
      <c r="N62" s="54">
        <f t="shared" ref="N62" si="93">SUM(N60:N61)</f>
        <v>228.75248819325074</v>
      </c>
      <c r="O62" s="54">
        <f t="shared" ref="O62" si="94">SUM(O60:O61)</f>
        <v>238.15431716371057</v>
      </c>
    </row>
    <row r="63" spans="1:15" ht="15" customHeight="1" thickTop="1" x14ac:dyDescent="0.35">
      <c r="B63" t="s">
        <v>61</v>
      </c>
      <c r="G63" s="47"/>
      <c r="H63" s="47"/>
      <c r="I63" s="47"/>
      <c r="J63" s="47"/>
      <c r="K63" s="47"/>
      <c r="L63" s="47"/>
      <c r="M63" s="47"/>
      <c r="N63" s="47"/>
      <c r="O63" s="47"/>
    </row>
    <row r="64" spans="1:15" ht="15" customHeight="1" x14ac:dyDescent="0.35">
      <c r="B64" t="s">
        <v>62</v>
      </c>
      <c r="C64" s="56">
        <v>2.0699999999999998</v>
      </c>
      <c r="D64" s="56">
        <v>2.15</v>
      </c>
      <c r="E64" s="56">
        <v>2.72</v>
      </c>
      <c r="F64" s="56">
        <f>$F$62/F67</f>
        <v>2.662105298019902</v>
      </c>
      <c r="G64" s="56">
        <f t="shared" ref="G64:O64" si="95">$F$62/G67</f>
        <v>2.662105298019902</v>
      </c>
      <c r="H64" s="56">
        <f t="shared" si="95"/>
        <v>2.662105298019902</v>
      </c>
      <c r="I64" s="56">
        <f t="shared" si="95"/>
        <v>2.662105298019902</v>
      </c>
      <c r="J64" s="56">
        <f t="shared" si="95"/>
        <v>2.662105298019902</v>
      </c>
      <c r="K64" s="56">
        <f t="shared" si="95"/>
        <v>2.662105298019902</v>
      </c>
      <c r="L64" s="56">
        <f t="shared" si="95"/>
        <v>2.662105298019902</v>
      </c>
      <c r="M64" s="56">
        <f t="shared" si="95"/>
        <v>2.662105298019902</v>
      </c>
      <c r="N64" s="56">
        <f t="shared" si="95"/>
        <v>2.662105298019902</v>
      </c>
      <c r="O64" s="56">
        <f t="shared" si="95"/>
        <v>2.662105298019902</v>
      </c>
    </row>
    <row r="65" spans="1:15" ht="15" customHeight="1" x14ac:dyDescent="0.35">
      <c r="B65" t="s">
        <v>63</v>
      </c>
      <c r="C65" s="56">
        <v>2.0499999999999998</v>
      </c>
      <c r="D65" s="56">
        <v>2.12</v>
      </c>
      <c r="E65" s="56">
        <v>2.7</v>
      </c>
      <c r="F65" s="56">
        <f>$F$62/F68</f>
        <v>2.6348711455621698</v>
      </c>
      <c r="G65" s="56">
        <f t="shared" ref="G65:O65" si="96">$F$62/G68</f>
        <v>2.6348711455621698</v>
      </c>
      <c r="H65" s="56">
        <f t="shared" si="96"/>
        <v>2.6348711455621698</v>
      </c>
      <c r="I65" s="56">
        <f t="shared" si="96"/>
        <v>2.6348711455621698</v>
      </c>
      <c r="J65" s="56">
        <f t="shared" si="96"/>
        <v>2.6348711455621698</v>
      </c>
      <c r="K65" s="56">
        <f t="shared" si="96"/>
        <v>2.6348711455621698</v>
      </c>
      <c r="L65" s="56">
        <f t="shared" si="96"/>
        <v>2.6348711455621698</v>
      </c>
      <c r="M65" s="56">
        <f t="shared" si="96"/>
        <v>2.6348711455621698</v>
      </c>
      <c r="N65" s="56">
        <f t="shared" si="96"/>
        <v>2.6348711455621698</v>
      </c>
      <c r="O65" s="56">
        <f t="shared" si="96"/>
        <v>2.6348711455621698</v>
      </c>
    </row>
    <row r="66" spans="1:15" ht="15" customHeight="1" x14ac:dyDescent="0.35">
      <c r="G66" s="47"/>
      <c r="H66" s="47"/>
      <c r="I66" s="47"/>
      <c r="J66" s="47"/>
      <c r="K66" s="47"/>
      <c r="L66" s="47"/>
      <c r="M66" s="47"/>
      <c r="N66" s="47"/>
      <c r="O66" s="47"/>
    </row>
    <row r="67" spans="1:15" ht="15" customHeight="1" x14ac:dyDescent="0.35">
      <c r="B67" t="s">
        <v>67</v>
      </c>
      <c r="C67">
        <v>59.844000000000001</v>
      </c>
      <c r="D67">
        <v>59.871000000000002</v>
      </c>
      <c r="E67">
        <v>59.680999999999997</v>
      </c>
      <c r="F67">
        <f>F36</f>
        <v>59.694000000000003</v>
      </c>
      <c r="G67" s="47">
        <f t="shared" ref="G67:O67" si="97">G36</f>
        <v>59.694000000000003</v>
      </c>
      <c r="H67" s="47">
        <f t="shared" si="97"/>
        <v>59.694000000000003</v>
      </c>
      <c r="I67" s="47">
        <f t="shared" si="97"/>
        <v>59.694000000000003</v>
      </c>
      <c r="J67" s="47">
        <f t="shared" si="97"/>
        <v>59.694000000000003</v>
      </c>
      <c r="K67" s="47">
        <f t="shared" si="97"/>
        <v>59.694000000000003</v>
      </c>
      <c r="L67" s="47">
        <f t="shared" si="97"/>
        <v>59.694000000000003</v>
      </c>
      <c r="M67" s="47">
        <f t="shared" si="97"/>
        <v>59.694000000000003</v>
      </c>
      <c r="N67" s="47">
        <f t="shared" si="97"/>
        <v>59.694000000000003</v>
      </c>
      <c r="O67" s="47">
        <f t="shared" si="97"/>
        <v>59.694000000000003</v>
      </c>
    </row>
    <row r="68" spans="1:15" ht="15" customHeight="1" x14ac:dyDescent="0.35">
      <c r="B68" s="47" t="s">
        <v>68</v>
      </c>
      <c r="C68">
        <v>60.529000000000003</v>
      </c>
      <c r="D68" s="47">
        <v>60.554000000000002</v>
      </c>
      <c r="E68" s="47">
        <v>60.311</v>
      </c>
      <c r="F68" s="47">
        <f>F37</f>
        <v>60.311</v>
      </c>
      <c r="G68" s="47">
        <f t="shared" ref="G68:O68" si="98">G37</f>
        <v>60.311</v>
      </c>
      <c r="H68" s="47">
        <f t="shared" si="98"/>
        <v>60.311</v>
      </c>
      <c r="I68" s="47">
        <f t="shared" si="98"/>
        <v>60.311</v>
      </c>
      <c r="J68" s="47">
        <f t="shared" si="98"/>
        <v>60.311</v>
      </c>
      <c r="K68" s="47">
        <f t="shared" si="98"/>
        <v>60.311</v>
      </c>
      <c r="L68" s="47">
        <f t="shared" si="98"/>
        <v>60.311</v>
      </c>
      <c r="M68" s="47">
        <f t="shared" si="98"/>
        <v>60.311</v>
      </c>
      <c r="N68" s="47">
        <f t="shared" si="98"/>
        <v>60.311</v>
      </c>
      <c r="O68" s="47">
        <f t="shared" si="98"/>
        <v>60.311</v>
      </c>
    </row>
    <row r="69" spans="1:15" ht="15" customHeight="1" x14ac:dyDescent="0.35">
      <c r="G69" s="47"/>
      <c r="H69" s="47"/>
      <c r="I69" s="47"/>
      <c r="J69" s="47"/>
      <c r="K69" s="47"/>
      <c r="L69" s="47"/>
      <c r="M69" s="47"/>
      <c r="N69" s="47"/>
      <c r="O69" s="47"/>
    </row>
    <row r="70" spans="1:15" ht="15" customHeight="1" x14ac:dyDescent="0.35">
      <c r="B70" t="s">
        <v>107</v>
      </c>
      <c r="C70" s="56">
        <v>0.67</v>
      </c>
      <c r="D70" s="56">
        <v>0.72</v>
      </c>
      <c r="E70" s="56">
        <v>0.79</v>
      </c>
      <c r="F70" s="56">
        <f>(1+F35)*E70</f>
        <v>0.86900000000000011</v>
      </c>
      <c r="G70" s="56">
        <f t="shared" ref="G70:O70" si="99">(1+G35)*F70</f>
        <v>0.95590000000000019</v>
      </c>
      <c r="H70" s="56">
        <f t="shared" si="99"/>
        <v>1.0514900000000003</v>
      </c>
      <c r="I70" s="56">
        <f t="shared" si="99"/>
        <v>1.1566390000000004</v>
      </c>
      <c r="J70" s="56">
        <f t="shared" si="99"/>
        <v>1.2723029000000006</v>
      </c>
      <c r="K70" s="56">
        <f t="shared" si="99"/>
        <v>1.3995331900000008</v>
      </c>
      <c r="L70" s="56">
        <f t="shared" si="99"/>
        <v>1.5394865090000009</v>
      </c>
      <c r="M70" s="56">
        <f t="shared" si="99"/>
        <v>1.6934351599000013</v>
      </c>
      <c r="N70" s="56">
        <f t="shared" si="99"/>
        <v>1.8627786758900016</v>
      </c>
      <c r="O70" s="56">
        <f t="shared" si="99"/>
        <v>2.049056543479002</v>
      </c>
    </row>
    <row r="72" spans="1:15" ht="15" customHeight="1" x14ac:dyDescent="0.35">
      <c r="A72" s="11" t="s">
        <v>41</v>
      </c>
    </row>
    <row r="73" spans="1:15" ht="15" customHeight="1" x14ac:dyDescent="0.35">
      <c r="B73" t="s">
        <v>118</v>
      </c>
      <c r="C73">
        <f>C124/C43*365</f>
        <v>29.895970503028707</v>
      </c>
      <c r="D73" s="47">
        <f>D124/D43*365</f>
        <v>33.615194019821942</v>
      </c>
      <c r="E73" s="47">
        <f>E124/E43*365</f>
        <v>35.87157214085385</v>
      </c>
      <c r="F73" s="60">
        <v>35</v>
      </c>
      <c r="G73" s="60">
        <v>35</v>
      </c>
      <c r="H73" s="60">
        <v>35</v>
      </c>
      <c r="I73" s="60">
        <v>35</v>
      </c>
      <c r="J73" s="60">
        <v>35</v>
      </c>
      <c r="K73" s="60">
        <v>35</v>
      </c>
      <c r="L73" s="60">
        <v>35</v>
      </c>
      <c r="M73" s="60">
        <v>35</v>
      </c>
      <c r="N73" s="60">
        <v>35</v>
      </c>
      <c r="O73" s="60">
        <v>35</v>
      </c>
    </row>
    <row r="74" spans="1:15" ht="15" customHeight="1" x14ac:dyDescent="0.35">
      <c r="B74" t="s">
        <v>117</v>
      </c>
      <c r="C74">
        <f>C125/C44*-1*365</f>
        <v>40.868415252369417</v>
      </c>
      <c r="D74" s="47">
        <f>D125/D44*-1*365</f>
        <v>40.956263386996476</v>
      </c>
      <c r="E74" s="47">
        <f>E125/E44*-1*365</f>
        <v>42.785414280259644</v>
      </c>
      <c r="F74" s="60">
        <v>42</v>
      </c>
      <c r="G74" s="60">
        <v>42</v>
      </c>
      <c r="H74" s="60">
        <v>42</v>
      </c>
      <c r="I74" s="60">
        <v>42</v>
      </c>
      <c r="J74" s="60">
        <v>42</v>
      </c>
      <c r="K74" s="60">
        <v>42</v>
      </c>
      <c r="L74" s="60">
        <v>42</v>
      </c>
      <c r="M74" s="60">
        <v>42</v>
      </c>
      <c r="N74" s="60">
        <v>42</v>
      </c>
      <c r="O74" s="60">
        <v>42</v>
      </c>
    </row>
    <row r="75" spans="1:15" ht="15" customHeight="1" x14ac:dyDescent="0.35">
      <c r="B75" t="s">
        <v>116</v>
      </c>
      <c r="C75" s="58">
        <f t="shared" ref="C75:E76" si="100">C126/C$43</f>
        <v>7.7692915459573351E-3</v>
      </c>
      <c r="D75" s="58">
        <f t="shared" si="100"/>
        <v>4.1575676129682517E-3</v>
      </c>
      <c r="E75" s="58">
        <f t="shared" si="100"/>
        <v>3.5836709255219696E-3</v>
      </c>
      <c r="F75" s="59">
        <v>4.0000000000000001E-3</v>
      </c>
      <c r="G75" s="59">
        <v>4.0000000000000001E-3</v>
      </c>
      <c r="H75" s="59">
        <v>4.0000000000000001E-3</v>
      </c>
      <c r="I75" s="59">
        <v>4.0000000000000001E-3</v>
      </c>
      <c r="J75" s="59">
        <v>4.0000000000000001E-3</v>
      </c>
      <c r="K75" s="59">
        <v>4.0000000000000001E-3</v>
      </c>
      <c r="L75" s="59">
        <v>4.0000000000000001E-3</v>
      </c>
      <c r="M75" s="59">
        <v>4.0000000000000001E-3</v>
      </c>
      <c r="N75" s="59">
        <v>4.0000000000000001E-3</v>
      </c>
      <c r="O75" s="59">
        <v>4.0000000000000001E-3</v>
      </c>
    </row>
    <row r="76" spans="1:15" ht="15" customHeight="1" x14ac:dyDescent="0.35">
      <c r="B76" t="s">
        <v>115</v>
      </c>
      <c r="C76" s="58">
        <f t="shared" si="100"/>
        <v>1.3343867965938021E-2</v>
      </c>
      <c r="D76" s="58">
        <f t="shared" si="100"/>
        <v>1.7344196203594828E-2</v>
      </c>
      <c r="E76" s="58">
        <f t="shared" si="100"/>
        <v>1.854160174509193E-2</v>
      </c>
      <c r="F76" s="59">
        <v>1.9E-2</v>
      </c>
      <c r="G76" s="59">
        <v>1.9E-2</v>
      </c>
      <c r="H76" s="59">
        <v>1.9E-2</v>
      </c>
      <c r="I76" s="59">
        <v>1.9E-2</v>
      </c>
      <c r="J76" s="59">
        <v>1.9E-2</v>
      </c>
      <c r="K76" s="59">
        <v>1.9E-2</v>
      </c>
      <c r="L76" s="59">
        <v>1.9E-2</v>
      </c>
      <c r="M76" s="59">
        <v>1.9E-2</v>
      </c>
      <c r="N76" s="59">
        <v>1.9E-2</v>
      </c>
      <c r="O76" s="59">
        <v>1.9E-2</v>
      </c>
    </row>
    <row r="77" spans="1:15" s="47" customFormat="1" ht="15" customHeight="1" x14ac:dyDescent="0.35">
      <c r="A77" s="11"/>
      <c r="B77" s="47" t="s">
        <v>143</v>
      </c>
      <c r="C77" s="58"/>
      <c r="D77" s="58"/>
      <c r="E77" s="58"/>
      <c r="F77" s="59">
        <v>0</v>
      </c>
      <c r="G77" s="59">
        <v>0</v>
      </c>
      <c r="H77" s="59">
        <v>0</v>
      </c>
      <c r="I77" s="59">
        <v>0</v>
      </c>
      <c r="J77" s="59">
        <v>0</v>
      </c>
      <c r="K77" s="59">
        <v>0</v>
      </c>
      <c r="L77" s="59">
        <v>0</v>
      </c>
      <c r="M77" s="59">
        <v>0</v>
      </c>
      <c r="N77" s="59">
        <v>0</v>
      </c>
      <c r="O77" s="59">
        <v>0</v>
      </c>
    </row>
    <row r="78" spans="1:15" s="47" customFormat="1" ht="15" customHeight="1" x14ac:dyDescent="0.35">
      <c r="A78" s="11"/>
      <c r="B78" s="47" t="s">
        <v>114</v>
      </c>
      <c r="C78" s="58">
        <f>C94/C$43</f>
        <v>3.8319726099552281E-2</v>
      </c>
      <c r="D78" s="58">
        <f>D94/D$43</f>
        <v>2.9648916512682682E-2</v>
      </c>
      <c r="E78" s="58">
        <f>E94/E$43</f>
        <v>3.3421626674976626E-2</v>
      </c>
      <c r="F78" s="59">
        <v>3.3000000000000002E-2</v>
      </c>
      <c r="G78" s="59">
        <v>3.3000000000000002E-2</v>
      </c>
      <c r="H78" s="59">
        <v>3.3000000000000002E-2</v>
      </c>
      <c r="I78" s="59">
        <v>3.3000000000000002E-2</v>
      </c>
      <c r="J78" s="59">
        <v>3.3000000000000002E-2</v>
      </c>
      <c r="K78" s="59">
        <v>3.3000000000000002E-2</v>
      </c>
      <c r="L78" s="59">
        <v>3.3000000000000002E-2</v>
      </c>
      <c r="M78" s="59">
        <v>3.3000000000000002E-2</v>
      </c>
      <c r="N78" s="59">
        <v>3.3000000000000002E-2</v>
      </c>
      <c r="O78" s="59">
        <v>3.3000000000000002E-2</v>
      </c>
    </row>
    <row r="79" spans="1:15" s="47" customFormat="1" ht="15" customHeight="1" x14ac:dyDescent="0.35">
      <c r="A79" s="11"/>
      <c r="B79" s="47" t="s">
        <v>133</v>
      </c>
      <c r="C79" s="58"/>
      <c r="D79" s="58"/>
      <c r="E79" s="58"/>
      <c r="F79" s="60">
        <v>0</v>
      </c>
      <c r="G79" s="60">
        <v>0</v>
      </c>
      <c r="H79" s="60">
        <v>0</v>
      </c>
      <c r="I79" s="60">
        <v>0</v>
      </c>
      <c r="J79" s="60">
        <v>0</v>
      </c>
      <c r="K79" s="60">
        <v>0</v>
      </c>
      <c r="L79" s="60">
        <v>0</v>
      </c>
      <c r="M79" s="60">
        <v>0</v>
      </c>
      <c r="N79" s="60">
        <v>0</v>
      </c>
      <c r="O79" s="60">
        <v>0</v>
      </c>
    </row>
    <row r="80" spans="1:15" s="47" customFormat="1" ht="15" customHeight="1" x14ac:dyDescent="0.35">
      <c r="A80" s="11"/>
      <c r="B80" s="47" t="s">
        <v>113</v>
      </c>
      <c r="F80" s="60">
        <v>0</v>
      </c>
      <c r="G80" s="60">
        <v>0</v>
      </c>
      <c r="H80" s="60">
        <v>0</v>
      </c>
      <c r="I80" s="60">
        <v>0</v>
      </c>
      <c r="J80" s="60">
        <v>0</v>
      </c>
      <c r="K80" s="60">
        <v>0</v>
      </c>
      <c r="L80" s="60">
        <v>0</v>
      </c>
      <c r="M80" s="60">
        <v>0</v>
      </c>
      <c r="N80" s="60">
        <v>0</v>
      </c>
      <c r="O80" s="60">
        <v>0</v>
      </c>
    </row>
    <row r="81" spans="1:15" s="47" customFormat="1" ht="15" customHeight="1" x14ac:dyDescent="0.35">
      <c r="A81" s="11"/>
      <c r="B81" s="47" t="s">
        <v>119</v>
      </c>
      <c r="C81" s="47">
        <f>C138/C44*-1*365</f>
        <v>39.795753434721924</v>
      </c>
      <c r="D81" s="47">
        <f>D138/D44*-1*365</f>
        <v>43.22600704760589</v>
      </c>
      <c r="E81" s="47">
        <f>E138/E44*-1*365</f>
        <v>41.275614102074584</v>
      </c>
      <c r="F81" s="60">
        <v>42</v>
      </c>
      <c r="G81" s="60">
        <v>42</v>
      </c>
      <c r="H81" s="60">
        <v>42</v>
      </c>
      <c r="I81" s="60">
        <v>42</v>
      </c>
      <c r="J81" s="60">
        <v>42</v>
      </c>
      <c r="K81" s="60">
        <v>42</v>
      </c>
      <c r="L81" s="60">
        <v>42</v>
      </c>
      <c r="M81" s="60">
        <v>42</v>
      </c>
      <c r="N81" s="60">
        <v>42</v>
      </c>
      <c r="O81" s="60">
        <v>42</v>
      </c>
    </row>
    <row r="82" spans="1:15" s="47" customFormat="1" ht="15" customHeight="1" x14ac:dyDescent="0.35">
      <c r="A82" s="11"/>
      <c r="B82" s="47" t="s">
        <v>120</v>
      </c>
      <c r="C82" s="58">
        <f t="shared" ref="C82:E85" si="101">C139/C$43</f>
        <v>3.498375910806778E-2</v>
      </c>
      <c r="D82" s="58">
        <f t="shared" si="101"/>
        <v>3.6242230807995969E-2</v>
      </c>
      <c r="E82" s="58">
        <f t="shared" si="101"/>
        <v>3.3304767840448737E-2</v>
      </c>
      <c r="F82" s="59">
        <v>3.3000000000000002E-2</v>
      </c>
      <c r="G82" s="59">
        <v>3.3000000000000002E-2</v>
      </c>
      <c r="H82" s="59">
        <v>3.3000000000000002E-2</v>
      </c>
      <c r="I82" s="59">
        <v>3.3000000000000002E-2</v>
      </c>
      <c r="J82" s="59">
        <v>3.3000000000000002E-2</v>
      </c>
      <c r="K82" s="59">
        <v>3.3000000000000002E-2</v>
      </c>
      <c r="L82" s="59">
        <v>3.3000000000000002E-2</v>
      </c>
      <c r="M82" s="59">
        <v>3.3000000000000002E-2</v>
      </c>
      <c r="N82" s="59">
        <v>3.3000000000000002E-2</v>
      </c>
      <c r="O82" s="59">
        <v>3.3000000000000002E-2</v>
      </c>
    </row>
    <row r="83" spans="1:15" ht="15" customHeight="1" x14ac:dyDescent="0.35">
      <c r="B83" t="s">
        <v>121</v>
      </c>
      <c r="C83" s="58">
        <f t="shared" si="101"/>
        <v>2.0937582301817227E-2</v>
      </c>
      <c r="D83" s="58">
        <f t="shared" si="101"/>
        <v>2.1627750713925753E-2</v>
      </c>
      <c r="E83" s="58">
        <f t="shared" si="101"/>
        <v>2.0684013711436588E-2</v>
      </c>
      <c r="F83" s="59">
        <v>2.1000000000000001E-2</v>
      </c>
      <c r="G83" s="59">
        <v>2.1000000000000001E-2</v>
      </c>
      <c r="H83" s="59">
        <v>2.1000000000000001E-2</v>
      </c>
      <c r="I83" s="59">
        <v>2.1000000000000001E-2</v>
      </c>
      <c r="J83" s="59">
        <v>2.1000000000000001E-2</v>
      </c>
      <c r="K83" s="59">
        <v>2.1000000000000001E-2</v>
      </c>
      <c r="L83" s="59">
        <v>2.1000000000000001E-2</v>
      </c>
      <c r="M83" s="59">
        <v>2.1000000000000001E-2</v>
      </c>
      <c r="N83" s="59">
        <v>2.1000000000000001E-2</v>
      </c>
      <c r="O83" s="59">
        <v>2.1000000000000001E-2</v>
      </c>
    </row>
    <row r="84" spans="1:15" ht="15" customHeight="1" x14ac:dyDescent="0.35">
      <c r="B84" t="s">
        <v>122</v>
      </c>
      <c r="C84" s="58">
        <f t="shared" si="101"/>
        <v>1.4572908436484946E-2</v>
      </c>
      <c r="D84" s="58">
        <f t="shared" si="101"/>
        <v>1.1590794557366035E-2</v>
      </c>
      <c r="E84" s="58">
        <f t="shared" si="101"/>
        <v>1.1958554066687442E-2</v>
      </c>
      <c r="F84" s="59">
        <v>1.2E-2</v>
      </c>
      <c r="G84" s="59">
        <v>1.2E-2</v>
      </c>
      <c r="H84" s="59">
        <v>1.2E-2</v>
      </c>
      <c r="I84" s="59">
        <v>1.2E-2</v>
      </c>
      <c r="J84" s="59">
        <v>1.2E-2</v>
      </c>
      <c r="K84" s="59">
        <v>1.2E-2</v>
      </c>
      <c r="L84" s="59">
        <v>1.2E-2</v>
      </c>
      <c r="M84" s="59">
        <v>1.2E-2</v>
      </c>
      <c r="N84" s="59">
        <v>1.2E-2</v>
      </c>
      <c r="O84" s="59">
        <v>1.2E-2</v>
      </c>
    </row>
    <row r="85" spans="1:15" ht="15" customHeight="1" x14ac:dyDescent="0.35">
      <c r="B85" t="s">
        <v>123</v>
      </c>
      <c r="C85" s="58">
        <f t="shared" si="101"/>
        <v>3.3666930032481786E-2</v>
      </c>
      <c r="D85" s="58">
        <f t="shared" si="101"/>
        <v>3.2336636989753066E-2</v>
      </c>
      <c r="E85" s="58">
        <f t="shared" si="101"/>
        <v>3.8602368339046435E-2</v>
      </c>
      <c r="F85" s="59">
        <v>3.9E-2</v>
      </c>
      <c r="G85" s="59">
        <v>3.9E-2</v>
      </c>
      <c r="H85" s="59">
        <v>3.9E-2</v>
      </c>
      <c r="I85" s="59">
        <v>3.9E-2</v>
      </c>
      <c r="J85" s="59">
        <v>3.9E-2</v>
      </c>
      <c r="K85" s="59">
        <v>3.9E-2</v>
      </c>
      <c r="L85" s="59">
        <v>3.9E-2</v>
      </c>
      <c r="M85" s="59">
        <v>3.9E-2</v>
      </c>
      <c r="N85" s="59">
        <v>3.9E-2</v>
      </c>
      <c r="O85" s="59">
        <v>3.9E-2</v>
      </c>
    </row>
    <row r="86" spans="1:15" s="47" customFormat="1" ht="15" customHeight="1" x14ac:dyDescent="0.35">
      <c r="A86" s="11"/>
      <c r="B86" s="47" t="s">
        <v>144</v>
      </c>
      <c r="C86" s="58"/>
      <c r="D86" s="58"/>
      <c r="E86" s="58"/>
      <c r="F86" s="59">
        <v>0</v>
      </c>
      <c r="G86" s="59">
        <v>0</v>
      </c>
      <c r="H86" s="59">
        <v>0</v>
      </c>
      <c r="I86" s="59">
        <v>0</v>
      </c>
      <c r="J86" s="59">
        <v>0</v>
      </c>
      <c r="K86" s="59">
        <v>0</v>
      </c>
      <c r="L86" s="59">
        <v>0</v>
      </c>
      <c r="M86" s="59">
        <v>0</v>
      </c>
      <c r="N86" s="59">
        <v>0</v>
      </c>
      <c r="O86" s="59">
        <v>0</v>
      </c>
    </row>
    <row r="87" spans="1:15" s="47" customFormat="1" ht="15" customHeight="1" x14ac:dyDescent="0.35">
      <c r="A87" s="11"/>
      <c r="B87" s="47" t="s">
        <v>125</v>
      </c>
      <c r="C87" s="58">
        <f t="shared" ref="C87:E88" si="102">C147/C$43</f>
        <v>1.6899306470020192E-2</v>
      </c>
      <c r="D87" s="58">
        <f t="shared" si="102"/>
        <v>6.5513186628590632E-3</v>
      </c>
      <c r="E87" s="58">
        <f t="shared" si="102"/>
        <v>9.5434714864443757E-3</v>
      </c>
      <c r="F87" s="59">
        <v>0.01</v>
      </c>
      <c r="G87" s="59">
        <v>0.01</v>
      </c>
      <c r="H87" s="59">
        <v>0.01</v>
      </c>
      <c r="I87" s="59">
        <v>0.01</v>
      </c>
      <c r="J87" s="59">
        <v>0.01</v>
      </c>
      <c r="K87" s="59">
        <v>0.01</v>
      </c>
      <c r="L87" s="59">
        <v>0.01</v>
      </c>
      <c r="M87" s="59">
        <v>0.01</v>
      </c>
      <c r="N87" s="59">
        <v>0.01</v>
      </c>
      <c r="O87" s="59">
        <v>0.01</v>
      </c>
    </row>
    <row r="88" spans="1:15" s="47" customFormat="1" ht="15" customHeight="1" x14ac:dyDescent="0.35">
      <c r="A88" s="11"/>
      <c r="B88" s="47" t="s">
        <v>124</v>
      </c>
      <c r="C88" s="58">
        <f t="shared" si="102"/>
        <v>3.0682117461153548E-2</v>
      </c>
      <c r="D88" s="58">
        <f t="shared" si="102"/>
        <v>3.3512514698471357E-2</v>
      </c>
      <c r="E88" s="58">
        <f t="shared" si="102"/>
        <v>2.9993767528825183E-2</v>
      </c>
      <c r="F88" s="59">
        <v>0.03</v>
      </c>
      <c r="G88" s="59">
        <v>0.03</v>
      </c>
      <c r="H88" s="59">
        <v>0.03</v>
      </c>
      <c r="I88" s="59">
        <v>0.03</v>
      </c>
      <c r="J88" s="59">
        <v>0.03</v>
      </c>
      <c r="K88" s="59">
        <v>0.03</v>
      </c>
      <c r="L88" s="59">
        <v>0.03</v>
      </c>
      <c r="M88" s="59">
        <v>0.03</v>
      </c>
      <c r="N88" s="59">
        <v>0.03</v>
      </c>
      <c r="O88" s="59">
        <v>0.03</v>
      </c>
    </row>
    <row r="89" spans="1:15" s="47" customFormat="1" ht="15" customHeight="1" x14ac:dyDescent="0.35">
      <c r="A89" s="11"/>
      <c r="B89" s="53" t="s">
        <v>85</v>
      </c>
      <c r="F89" s="60">
        <v>20.6</v>
      </c>
      <c r="G89" s="60">
        <v>20.6</v>
      </c>
      <c r="H89" s="60">
        <v>20.6</v>
      </c>
      <c r="I89" s="60">
        <v>20.6</v>
      </c>
      <c r="J89" s="60">
        <v>20.6</v>
      </c>
      <c r="K89" s="60">
        <v>20.6</v>
      </c>
      <c r="L89" s="60">
        <v>20.6</v>
      </c>
      <c r="M89" s="60">
        <v>20.6</v>
      </c>
      <c r="N89" s="60">
        <v>20.6</v>
      </c>
      <c r="O89" s="60">
        <v>20.6</v>
      </c>
    </row>
    <row r="90" spans="1:15" ht="15" customHeight="1" x14ac:dyDescent="0.35">
      <c r="B90" s="47" t="s">
        <v>86</v>
      </c>
      <c r="F90" s="60">
        <v>0</v>
      </c>
      <c r="G90" s="60">
        <v>0</v>
      </c>
      <c r="H90" s="60">
        <v>0</v>
      </c>
      <c r="I90" s="60">
        <v>0</v>
      </c>
      <c r="J90" s="60">
        <v>0</v>
      </c>
      <c r="K90" s="60">
        <v>0</v>
      </c>
      <c r="L90" s="60">
        <v>0</v>
      </c>
      <c r="M90" s="60">
        <v>0</v>
      </c>
      <c r="N90" s="60">
        <v>0</v>
      </c>
      <c r="O90" s="60">
        <v>0</v>
      </c>
    </row>
    <row r="91" spans="1:15" s="47" customFormat="1" ht="15" customHeight="1" x14ac:dyDescent="0.35">
      <c r="A91" s="11"/>
    </row>
    <row r="92" spans="1:15" ht="15" customHeight="1" x14ac:dyDescent="0.35">
      <c r="A92" s="11" t="s">
        <v>42</v>
      </c>
    </row>
    <row r="93" spans="1:15" ht="15" customHeight="1" x14ac:dyDescent="0.35">
      <c r="B93" t="s">
        <v>126</v>
      </c>
      <c r="F93">
        <f>E96</f>
        <v>348.6</v>
      </c>
      <c r="G93" s="47">
        <f t="shared" ref="G93:O93" si="103">F96</f>
        <v>369.26071800000005</v>
      </c>
      <c r="H93" s="47">
        <f t="shared" si="103"/>
        <v>390.80688769800008</v>
      </c>
      <c r="I93" s="47">
        <f t="shared" si="103"/>
        <v>412.66153426069809</v>
      </c>
      <c r="J93" s="47">
        <f t="shared" si="103"/>
        <v>435.00276755460123</v>
      </c>
      <c r="K93" s="47">
        <f t="shared" si="103"/>
        <v>457.98672896568871</v>
      </c>
      <c r="L93" s="47">
        <f t="shared" si="103"/>
        <v>481.75277482822185</v>
      </c>
      <c r="M93" s="47">
        <f t="shared" si="103"/>
        <v>505.62598790671075</v>
      </c>
      <c r="N93" s="47">
        <f t="shared" si="103"/>
        <v>529.82740160909407</v>
      </c>
      <c r="O93" s="47">
        <f t="shared" si="103"/>
        <v>554.54814278180277</v>
      </c>
    </row>
    <row r="94" spans="1:15" ht="15" customHeight="1" x14ac:dyDescent="0.35">
      <c r="B94" t="s">
        <v>127</v>
      </c>
      <c r="C94" s="47">
        <v>87.3</v>
      </c>
      <c r="D94">
        <v>70.599999999999994</v>
      </c>
      <c r="E94">
        <v>85.8</v>
      </c>
      <c r="F94">
        <f>F78*F43</f>
        <v>90.032118000000011</v>
      </c>
      <c r="G94" s="47">
        <f t="shared" ref="G94:O94" si="104">G78*G43</f>
        <v>95.029052580000013</v>
      </c>
      <c r="H94" s="47">
        <f t="shared" si="104"/>
        <v>99.625217214600013</v>
      </c>
      <c r="I94" s="47">
        <f t="shared" si="104"/>
        <v>104.46087861178202</v>
      </c>
      <c r="J94" s="47">
        <f t="shared" si="104"/>
        <v>109.54951215445315</v>
      </c>
      <c r="K94" s="47">
        <f t="shared" si="104"/>
        <v>114.90540492670515</v>
      </c>
      <c r="L94" s="47">
        <f t="shared" si="104"/>
        <v>119.742015269305</v>
      </c>
      <c r="M94" s="47">
        <f t="shared" si="104"/>
        <v>124.82098529581876</v>
      </c>
      <c r="N94" s="47">
        <f t="shared" si="104"/>
        <v>130.15639409291833</v>
      </c>
      <c r="O94" s="47">
        <f t="shared" si="104"/>
        <v>135.7632197006067</v>
      </c>
    </row>
    <row r="95" spans="1:15" ht="15" customHeight="1" x14ac:dyDescent="0.35">
      <c r="B95" t="s">
        <v>93</v>
      </c>
      <c r="F95">
        <f>F28*E96</f>
        <v>-69.371400000000008</v>
      </c>
      <c r="G95" s="47">
        <f t="shared" ref="G95:O95" si="105">G28*F96</f>
        <v>-73.482882882000013</v>
      </c>
      <c r="H95" s="47">
        <f t="shared" si="105"/>
        <v>-77.77057065190202</v>
      </c>
      <c r="I95" s="47">
        <f t="shared" si="105"/>
        <v>-82.11964531787892</v>
      </c>
      <c r="J95" s="47">
        <f t="shared" si="105"/>
        <v>-86.565550743365648</v>
      </c>
      <c r="K95" s="47">
        <f t="shared" si="105"/>
        <v>-91.139359064172055</v>
      </c>
      <c r="L95" s="47">
        <f t="shared" si="105"/>
        <v>-95.868802190816155</v>
      </c>
      <c r="M95" s="47">
        <f t="shared" si="105"/>
        <v>-100.61957159343544</v>
      </c>
      <c r="N95" s="47">
        <f t="shared" si="105"/>
        <v>-105.43565292020972</v>
      </c>
      <c r="O95" s="47">
        <f t="shared" si="105"/>
        <v>-110.35508041357876</v>
      </c>
    </row>
    <row r="96" spans="1:15" ht="15" customHeight="1" x14ac:dyDescent="0.35">
      <c r="B96" t="s">
        <v>128</v>
      </c>
      <c r="E96">
        <f>E130</f>
        <v>348.6</v>
      </c>
      <c r="F96">
        <f>SUM(F93:F95)</f>
        <v>369.26071800000005</v>
      </c>
      <c r="G96" s="47">
        <f t="shared" ref="G96:O96" si="106">SUM(G93:G95)</f>
        <v>390.80688769800008</v>
      </c>
      <c r="H96" s="47">
        <f t="shared" si="106"/>
        <v>412.66153426069809</v>
      </c>
      <c r="I96" s="47">
        <f t="shared" si="106"/>
        <v>435.00276755460123</v>
      </c>
      <c r="J96" s="47">
        <f t="shared" si="106"/>
        <v>457.98672896568871</v>
      </c>
      <c r="K96" s="47">
        <f t="shared" si="106"/>
        <v>481.75277482822185</v>
      </c>
      <c r="L96" s="47">
        <f t="shared" si="106"/>
        <v>505.62598790671075</v>
      </c>
      <c r="M96" s="47">
        <f t="shared" si="106"/>
        <v>529.82740160909407</v>
      </c>
      <c r="N96" s="47">
        <f t="shared" si="106"/>
        <v>554.54814278180277</v>
      </c>
      <c r="O96" s="47">
        <f t="shared" si="106"/>
        <v>579.95628206883066</v>
      </c>
    </row>
    <row r="97" spans="1:15" ht="15" customHeight="1" x14ac:dyDescent="0.35">
      <c r="G97" s="47"/>
      <c r="H97" s="47"/>
      <c r="I97" s="47"/>
      <c r="J97" s="47"/>
      <c r="K97" s="47"/>
      <c r="L97" s="47"/>
      <c r="M97" s="47"/>
      <c r="N97" s="47"/>
      <c r="O97" s="47"/>
    </row>
    <row r="98" spans="1:15" ht="15" customHeight="1" x14ac:dyDescent="0.35">
      <c r="B98" t="s">
        <v>131</v>
      </c>
      <c r="F98">
        <f>E101</f>
        <v>119.2</v>
      </c>
      <c r="G98" s="47">
        <f t="shared" ref="G98:O98" si="107">F101</f>
        <v>113.3</v>
      </c>
      <c r="H98" s="47">
        <f t="shared" si="107"/>
        <v>107.7</v>
      </c>
      <c r="I98" s="47">
        <f t="shared" si="107"/>
        <v>102.10000000000001</v>
      </c>
      <c r="J98" s="47">
        <f t="shared" si="107"/>
        <v>96.500000000000014</v>
      </c>
      <c r="K98" s="47">
        <f t="shared" si="107"/>
        <v>90.90000000000002</v>
      </c>
      <c r="L98" s="47">
        <f t="shared" si="107"/>
        <v>85.300000000000026</v>
      </c>
      <c r="M98" s="47">
        <f t="shared" si="107"/>
        <v>79.700000000000031</v>
      </c>
      <c r="N98" s="47">
        <f t="shared" si="107"/>
        <v>74.100000000000037</v>
      </c>
      <c r="O98" s="47">
        <f t="shared" si="107"/>
        <v>68.500000000000043</v>
      </c>
    </row>
    <row r="99" spans="1:15" ht="15" customHeight="1" x14ac:dyDescent="0.35">
      <c r="B99" t="s">
        <v>129</v>
      </c>
      <c r="F99">
        <f>F80</f>
        <v>0</v>
      </c>
      <c r="G99" s="47">
        <f t="shared" ref="G99:O99" si="108">G80</f>
        <v>0</v>
      </c>
      <c r="H99" s="47">
        <f t="shared" si="108"/>
        <v>0</v>
      </c>
      <c r="I99" s="47">
        <f t="shared" si="108"/>
        <v>0</v>
      </c>
      <c r="J99" s="47">
        <f t="shared" si="108"/>
        <v>0</v>
      </c>
      <c r="K99" s="47">
        <f t="shared" si="108"/>
        <v>0</v>
      </c>
      <c r="L99" s="47">
        <f t="shared" si="108"/>
        <v>0</v>
      </c>
      <c r="M99" s="47">
        <f t="shared" si="108"/>
        <v>0</v>
      </c>
      <c r="N99" s="47">
        <f t="shared" si="108"/>
        <v>0</v>
      </c>
      <c r="O99" s="47">
        <f t="shared" si="108"/>
        <v>0</v>
      </c>
    </row>
    <row r="100" spans="1:15" ht="15" customHeight="1" x14ac:dyDescent="0.35">
      <c r="B100" t="s">
        <v>94</v>
      </c>
      <c r="F100">
        <f>F29*-1</f>
        <v>-5.9</v>
      </c>
      <c r="G100" s="47">
        <f t="shared" ref="G100:O100" si="109">G29*-1</f>
        <v>-5.6</v>
      </c>
      <c r="H100" s="47">
        <f t="shared" si="109"/>
        <v>-5.6</v>
      </c>
      <c r="I100" s="47">
        <f t="shared" si="109"/>
        <v>-5.6</v>
      </c>
      <c r="J100" s="47">
        <f t="shared" si="109"/>
        <v>-5.6</v>
      </c>
      <c r="K100" s="47">
        <f t="shared" si="109"/>
        <v>-5.6</v>
      </c>
      <c r="L100" s="47">
        <f t="shared" si="109"/>
        <v>-5.6</v>
      </c>
      <c r="M100" s="47">
        <f t="shared" si="109"/>
        <v>-5.6</v>
      </c>
      <c r="N100" s="47">
        <f t="shared" si="109"/>
        <v>-5.6</v>
      </c>
      <c r="O100" s="47">
        <f t="shared" si="109"/>
        <v>-5.6</v>
      </c>
    </row>
    <row r="101" spans="1:15" ht="15" customHeight="1" x14ac:dyDescent="0.35">
      <c r="B101" t="s">
        <v>130</v>
      </c>
      <c r="E101">
        <f>E132</f>
        <v>119.2</v>
      </c>
      <c r="F101">
        <f>SUM(F98:F100)</f>
        <v>113.3</v>
      </c>
      <c r="G101" s="47">
        <f t="shared" ref="G101:O101" si="110">SUM(G98:G100)</f>
        <v>107.7</v>
      </c>
      <c r="H101" s="47">
        <f t="shared" si="110"/>
        <v>102.10000000000001</v>
      </c>
      <c r="I101" s="47">
        <f t="shared" si="110"/>
        <v>96.500000000000014</v>
      </c>
      <c r="J101" s="47">
        <f t="shared" si="110"/>
        <v>90.90000000000002</v>
      </c>
      <c r="K101" s="47">
        <f t="shared" si="110"/>
        <v>85.300000000000026</v>
      </c>
      <c r="L101" s="47">
        <f t="shared" si="110"/>
        <v>79.700000000000031</v>
      </c>
      <c r="M101" s="47">
        <f t="shared" si="110"/>
        <v>74.100000000000037</v>
      </c>
      <c r="N101" s="47">
        <f t="shared" si="110"/>
        <v>68.500000000000043</v>
      </c>
      <c r="O101" s="47">
        <f t="shared" si="110"/>
        <v>62.900000000000041</v>
      </c>
    </row>
    <row r="102" spans="1:15" ht="15" customHeight="1" x14ac:dyDescent="0.35">
      <c r="G102" s="47"/>
      <c r="H102" s="47"/>
      <c r="I102" s="47"/>
      <c r="J102" s="47"/>
      <c r="K102" s="47"/>
      <c r="L102" s="47"/>
      <c r="M102" s="47"/>
      <c r="N102" s="47"/>
      <c r="O102" s="47"/>
    </row>
    <row r="103" spans="1:15" ht="15" customHeight="1" x14ac:dyDescent="0.35">
      <c r="B103" t="s">
        <v>138</v>
      </c>
      <c r="F103">
        <f>E106</f>
        <v>719.2</v>
      </c>
      <c r="G103" s="47">
        <f t="shared" ref="G103:O103" si="111">F106</f>
        <v>826.23762766000004</v>
      </c>
      <c r="H103" s="47">
        <f t="shared" si="111"/>
        <v>937.91951019782016</v>
      </c>
      <c r="I103" s="47">
        <f t="shared" si="111"/>
        <v>1052.4008801214195</v>
      </c>
      <c r="J103" s="47">
        <f t="shared" si="111"/>
        <v>1169.6302341642186</v>
      </c>
      <c r="K103" s="47">
        <f t="shared" si="111"/>
        <v>1288.5029435704137</v>
      </c>
      <c r="L103" s="47">
        <f t="shared" si="111"/>
        <v>1408.8609253421491</v>
      </c>
      <c r="M103" s="47">
        <f t="shared" si="111"/>
        <v>1528.5910401314113</v>
      </c>
      <c r="N103" s="47">
        <f t="shared" si="111"/>
        <v>1647.4153952886172</v>
      </c>
      <c r="O103" s="47">
        <f t="shared" si="111"/>
        <v>1764.9711732032902</v>
      </c>
    </row>
    <row r="104" spans="1:15" ht="15" customHeight="1" x14ac:dyDescent="0.35">
      <c r="B104" t="s">
        <v>134</v>
      </c>
      <c r="F104">
        <f>F62</f>
        <v>158.91171366000003</v>
      </c>
      <c r="G104" s="47">
        <f t="shared" ref="G104:O104" si="112">G62</f>
        <v>168.74337713782015</v>
      </c>
      <c r="H104" s="47">
        <f t="shared" si="112"/>
        <v>177.2490139835995</v>
      </c>
      <c r="I104" s="47">
        <f t="shared" si="112"/>
        <v>186.27376250879914</v>
      </c>
      <c r="J104" s="47">
        <f t="shared" si="112"/>
        <v>194.82155871879507</v>
      </c>
      <c r="K104" s="47">
        <f t="shared" si="112"/>
        <v>203.90171601559541</v>
      </c>
      <c r="L104" s="47">
        <f t="shared" si="112"/>
        <v>211.6282224575082</v>
      </c>
      <c r="M104" s="47">
        <f t="shared" si="112"/>
        <v>219.91227359227639</v>
      </c>
      <c r="N104" s="47">
        <f t="shared" si="112"/>
        <v>228.75248819325074</v>
      </c>
      <c r="O104" s="47">
        <f t="shared" si="112"/>
        <v>238.15431716371057</v>
      </c>
    </row>
    <row r="105" spans="1:15" ht="15" customHeight="1" x14ac:dyDescent="0.35">
      <c r="B105" t="s">
        <v>136</v>
      </c>
      <c r="F105">
        <f>-F70*F67</f>
        <v>-51.874086000000005</v>
      </c>
      <c r="G105" s="47">
        <f t="shared" ref="G105:O105" si="113">-G70*G67</f>
        <v>-57.061494600000017</v>
      </c>
      <c r="H105" s="47">
        <f t="shared" si="113"/>
        <v>-62.767644060000016</v>
      </c>
      <c r="I105" s="47">
        <f t="shared" si="113"/>
        <v>-69.044408466000021</v>
      </c>
      <c r="J105" s="47">
        <f t="shared" si="113"/>
        <v>-75.948849312600032</v>
      </c>
      <c r="K105" s="47">
        <f t="shared" si="113"/>
        <v>-83.543734243860044</v>
      </c>
      <c r="L105" s="47">
        <f t="shared" si="113"/>
        <v>-91.898107668246055</v>
      </c>
      <c r="M105" s="47">
        <f t="shared" si="113"/>
        <v>-101.08791843507068</v>
      </c>
      <c r="N105" s="47">
        <f t="shared" si="113"/>
        <v>-111.19671027857775</v>
      </c>
      <c r="O105" s="47">
        <f t="shared" si="113"/>
        <v>-122.31638130643555</v>
      </c>
    </row>
    <row r="106" spans="1:15" ht="15" customHeight="1" x14ac:dyDescent="0.35">
      <c r="B106" s="47" t="s">
        <v>137</v>
      </c>
      <c r="E106">
        <f>E152</f>
        <v>719.2</v>
      </c>
      <c r="F106">
        <f>SUM(F103:F105)</f>
        <v>826.23762766000004</v>
      </c>
      <c r="G106" s="47">
        <f t="shared" ref="G106:O106" si="114">SUM(G103:G105)</f>
        <v>937.91951019782016</v>
      </c>
      <c r="H106" s="47">
        <f t="shared" si="114"/>
        <v>1052.4008801214195</v>
      </c>
      <c r="I106" s="47">
        <f t="shared" si="114"/>
        <v>1169.6302341642186</v>
      </c>
      <c r="J106" s="47">
        <f t="shared" si="114"/>
        <v>1288.5029435704137</v>
      </c>
      <c r="K106" s="47">
        <f t="shared" si="114"/>
        <v>1408.8609253421491</v>
      </c>
      <c r="L106" s="47">
        <f t="shared" si="114"/>
        <v>1528.5910401314113</v>
      </c>
      <c r="M106" s="47">
        <f t="shared" si="114"/>
        <v>1647.4153952886172</v>
      </c>
      <c r="N106" s="47">
        <f t="shared" si="114"/>
        <v>1764.9711732032902</v>
      </c>
      <c r="O106" s="47">
        <f t="shared" si="114"/>
        <v>1880.8091090605653</v>
      </c>
    </row>
    <row r="107" spans="1:15" ht="15" customHeight="1" x14ac:dyDescent="0.35">
      <c r="G107" s="47"/>
      <c r="H107" s="47"/>
      <c r="I107" s="47"/>
      <c r="J107" s="47"/>
      <c r="K107" s="47"/>
      <c r="L107" s="47"/>
      <c r="M107" s="47"/>
      <c r="N107" s="47"/>
      <c r="O107" s="47"/>
    </row>
    <row r="108" spans="1:15" ht="15" customHeight="1" x14ac:dyDescent="0.35">
      <c r="B108" t="str">
        <f>B124</f>
        <v>Accounts reveivable</v>
      </c>
      <c r="C108" s="47">
        <f t="shared" ref="C108:F108" si="115">C124</f>
        <v>186.6</v>
      </c>
      <c r="D108" s="47">
        <f t="shared" si="115"/>
        <v>219.3</v>
      </c>
      <c r="E108" s="47">
        <f t="shared" si="115"/>
        <v>252.3</v>
      </c>
      <c r="F108" s="47">
        <f t="shared" si="115"/>
        <v>261.6126301369863</v>
      </c>
      <c r="G108" s="47">
        <f t="shared" ref="G108:O108" si="116">G124</f>
        <v>276.13257287671235</v>
      </c>
      <c r="H108" s="47">
        <f t="shared" si="116"/>
        <v>289.48797032054796</v>
      </c>
      <c r="I108" s="47">
        <f t="shared" si="116"/>
        <v>303.53929027915069</v>
      </c>
      <c r="J108" s="47">
        <f t="shared" si="116"/>
        <v>318.32568911630221</v>
      </c>
      <c r="K108" s="47">
        <f t="shared" si="116"/>
        <v>333.88868181275876</v>
      </c>
      <c r="L108" s="47">
        <f t="shared" si="116"/>
        <v>347.94275918851594</v>
      </c>
      <c r="M108" s="47">
        <f t="shared" si="116"/>
        <v>362.701078070042</v>
      </c>
      <c r="N108" s="47">
        <f t="shared" si="116"/>
        <v>378.20454904542481</v>
      </c>
      <c r="O108" s="47">
        <f t="shared" si="116"/>
        <v>394.49669485439881</v>
      </c>
    </row>
    <row r="109" spans="1:15" ht="15" customHeight="1" x14ac:dyDescent="0.35">
      <c r="B109" s="47" t="str">
        <f t="shared" ref="B109:F111" si="117">B125</f>
        <v>Inventories, net</v>
      </c>
      <c r="C109" s="47">
        <f t="shared" si="117"/>
        <v>152.4</v>
      </c>
      <c r="D109" s="47">
        <f t="shared" si="117"/>
        <v>162.4</v>
      </c>
      <c r="E109" s="47">
        <f t="shared" si="117"/>
        <v>184.2</v>
      </c>
      <c r="F109" s="47">
        <f t="shared" si="117"/>
        <v>194.6397968219178</v>
      </c>
      <c r="G109" s="47">
        <f t="shared" ref="G109:O109" si="118">G125</f>
        <v>205.44263422027399</v>
      </c>
      <c r="H109" s="47">
        <f t="shared" si="118"/>
        <v>215.37904991848768</v>
      </c>
      <c r="I109" s="47">
        <f t="shared" si="118"/>
        <v>225.83323196768811</v>
      </c>
      <c r="J109" s="47">
        <f t="shared" si="118"/>
        <v>236.83431270252888</v>
      </c>
      <c r="K109" s="47">
        <f t="shared" si="118"/>
        <v>248.41317926869252</v>
      </c>
      <c r="L109" s="47">
        <f t="shared" si="118"/>
        <v>258.86941283625589</v>
      </c>
      <c r="M109" s="47">
        <f t="shared" si="118"/>
        <v>269.84960208411127</v>
      </c>
      <c r="N109" s="47">
        <f t="shared" si="118"/>
        <v>281.38418448979604</v>
      </c>
      <c r="O109" s="47">
        <f t="shared" si="118"/>
        <v>293.50554097167276</v>
      </c>
    </row>
    <row r="110" spans="1:15" ht="15" customHeight="1" x14ac:dyDescent="0.35">
      <c r="B110" s="47" t="str">
        <f t="shared" si="117"/>
        <v>Prepaid taxes</v>
      </c>
      <c r="C110" s="47">
        <f t="shared" si="117"/>
        <v>17.7</v>
      </c>
      <c r="D110" s="47">
        <f t="shared" si="117"/>
        <v>9.9</v>
      </c>
      <c r="E110" s="47">
        <f t="shared" si="117"/>
        <v>9.1999999999999993</v>
      </c>
      <c r="F110" s="47">
        <f t="shared" si="117"/>
        <v>10.912984</v>
      </c>
      <c r="G110" s="47">
        <f t="shared" ref="G110:O110" si="119">G126</f>
        <v>11.518673040000001</v>
      </c>
      <c r="H110" s="47">
        <f t="shared" si="119"/>
        <v>12.075783904800002</v>
      </c>
      <c r="I110" s="47">
        <f t="shared" si="119"/>
        <v>12.661924680216002</v>
      </c>
      <c r="J110" s="47">
        <f t="shared" si="119"/>
        <v>13.278728745994322</v>
      </c>
      <c r="K110" s="47">
        <f t="shared" si="119"/>
        <v>13.927927869903654</v>
      </c>
      <c r="L110" s="47">
        <f t="shared" si="119"/>
        <v>14.514183669006666</v>
      </c>
      <c r="M110" s="47">
        <f t="shared" si="119"/>
        <v>15.129816399493182</v>
      </c>
      <c r="N110" s="47">
        <f t="shared" si="119"/>
        <v>15.776532617323436</v>
      </c>
      <c r="O110" s="47">
        <f t="shared" si="119"/>
        <v>16.456147842497781</v>
      </c>
    </row>
    <row r="111" spans="1:15" ht="15" customHeight="1" x14ac:dyDescent="0.35">
      <c r="B111" s="47" t="str">
        <f t="shared" si="117"/>
        <v>Other current operating assets</v>
      </c>
      <c r="C111" s="47">
        <f t="shared" si="117"/>
        <v>30.4</v>
      </c>
      <c r="D111" s="47">
        <f t="shared" si="117"/>
        <v>41.3</v>
      </c>
      <c r="E111" s="47">
        <f t="shared" si="117"/>
        <v>47.6</v>
      </c>
      <c r="F111" s="47">
        <f t="shared" si="117"/>
        <v>51.836674000000002</v>
      </c>
      <c r="G111" s="47">
        <f t="shared" ref="G111:O111" si="120">G127</f>
        <v>54.713696940000005</v>
      </c>
      <c r="H111" s="47">
        <f t="shared" si="120"/>
        <v>57.359973547800003</v>
      </c>
      <c r="I111" s="47">
        <f t="shared" si="120"/>
        <v>60.144142231026002</v>
      </c>
      <c r="J111" s="47">
        <f t="shared" si="120"/>
        <v>63.073961543473025</v>
      </c>
      <c r="K111" s="47">
        <f t="shared" si="120"/>
        <v>66.157657382042345</v>
      </c>
      <c r="L111" s="47">
        <f t="shared" si="120"/>
        <v>68.942372427781663</v>
      </c>
      <c r="M111" s="47">
        <f t="shared" si="120"/>
        <v>71.866627897592608</v>
      </c>
      <c r="N111" s="47">
        <f t="shared" si="120"/>
        <v>74.938529932286315</v>
      </c>
      <c r="O111" s="47">
        <f t="shared" si="120"/>
        <v>78.16670225186445</v>
      </c>
    </row>
    <row r="112" spans="1:15" s="47" customFormat="1" ht="15" customHeight="1" x14ac:dyDescent="0.35">
      <c r="A112" s="11"/>
      <c r="B112" s="50" t="s">
        <v>148</v>
      </c>
      <c r="C112" s="50">
        <f>SUM(C108:C111)</f>
        <v>387.09999999999997</v>
      </c>
      <c r="D112" s="50">
        <f t="shared" ref="D112:F112" si="121">SUM(D108:D111)</f>
        <v>432.90000000000003</v>
      </c>
      <c r="E112" s="50">
        <f t="shared" si="121"/>
        <v>493.3</v>
      </c>
      <c r="F112" s="50">
        <f t="shared" si="121"/>
        <v>519.00208495890411</v>
      </c>
      <c r="G112" s="50">
        <f t="shared" ref="G112" si="122">SUM(G108:G111)</f>
        <v>547.80757707698638</v>
      </c>
      <c r="H112" s="50">
        <f t="shared" ref="H112" si="123">SUM(H108:H111)</f>
        <v>574.30277769163558</v>
      </c>
      <c r="I112" s="50">
        <f t="shared" ref="I112" si="124">SUM(I108:I111)</f>
        <v>602.17858915808074</v>
      </c>
      <c r="J112" s="50">
        <f t="shared" ref="J112" si="125">SUM(J108:J111)</f>
        <v>631.51269210829844</v>
      </c>
      <c r="K112" s="50">
        <f t="shared" ref="K112" si="126">SUM(K108:K111)</f>
        <v>662.38744633339729</v>
      </c>
      <c r="L112" s="50">
        <f t="shared" ref="L112" si="127">SUM(L108:L111)</f>
        <v>690.26872812156012</v>
      </c>
      <c r="M112" s="50">
        <f t="shared" ref="M112" si="128">SUM(M108:M111)</f>
        <v>719.54712445123903</v>
      </c>
      <c r="N112" s="50">
        <f t="shared" ref="N112" si="129">SUM(N108:N111)</f>
        <v>750.30379608483065</v>
      </c>
      <c r="O112" s="50">
        <f t="shared" ref="O112" si="130">SUM(O108:O111)</f>
        <v>782.62508592043378</v>
      </c>
    </row>
    <row r="113" spans="1:15" s="47" customFormat="1" ht="15" customHeight="1" x14ac:dyDescent="0.35">
      <c r="A113" s="11"/>
    </row>
    <row r="114" spans="1:15" s="47" customFormat="1" ht="15" customHeight="1" x14ac:dyDescent="0.35">
      <c r="A114" s="11"/>
      <c r="B114" s="47" t="str">
        <f>B138</f>
        <v>Accounts payable</v>
      </c>
      <c r="C114" s="47">
        <f t="shared" ref="C114:F114" si="131">C138</f>
        <v>148.4</v>
      </c>
      <c r="D114" s="47">
        <f t="shared" si="131"/>
        <v>171.4</v>
      </c>
      <c r="E114" s="47">
        <f t="shared" si="131"/>
        <v>177.7</v>
      </c>
      <c r="F114" s="47">
        <f t="shared" si="131"/>
        <v>194.6397968219178</v>
      </c>
      <c r="G114" s="47">
        <f t="shared" ref="G114:O114" si="132">G138</f>
        <v>205.44263422027399</v>
      </c>
      <c r="H114" s="47">
        <f t="shared" si="132"/>
        <v>215.37904991848768</v>
      </c>
      <c r="I114" s="47">
        <f t="shared" si="132"/>
        <v>225.83323196768811</v>
      </c>
      <c r="J114" s="47">
        <f t="shared" si="132"/>
        <v>236.83431270252888</v>
      </c>
      <c r="K114" s="47">
        <f t="shared" si="132"/>
        <v>248.41317926869252</v>
      </c>
      <c r="L114" s="47">
        <f t="shared" si="132"/>
        <v>258.86941283625589</v>
      </c>
      <c r="M114" s="47">
        <f t="shared" si="132"/>
        <v>269.84960208411127</v>
      </c>
      <c r="N114" s="47">
        <f t="shared" si="132"/>
        <v>281.38418448979604</v>
      </c>
      <c r="O114" s="47">
        <f t="shared" si="132"/>
        <v>293.50554097167276</v>
      </c>
    </row>
    <row r="115" spans="1:15" s="47" customFormat="1" ht="15" customHeight="1" x14ac:dyDescent="0.35">
      <c r="A115" s="11"/>
      <c r="B115" s="47" t="str">
        <f>B139</f>
        <v>Accrued compensation and benefits</v>
      </c>
      <c r="C115" s="47">
        <f t="shared" ref="C115:F118" si="133">C139</f>
        <v>79.7</v>
      </c>
      <c r="D115" s="47">
        <f t="shared" si="133"/>
        <v>86.3</v>
      </c>
      <c r="E115" s="47">
        <f t="shared" si="133"/>
        <v>85.5</v>
      </c>
      <c r="F115" s="47">
        <f t="shared" si="133"/>
        <v>90.032118000000011</v>
      </c>
      <c r="G115" s="47">
        <f t="shared" ref="G115:O115" si="134">G139</f>
        <v>95.029052580000013</v>
      </c>
      <c r="H115" s="47">
        <f t="shared" si="134"/>
        <v>99.625217214600013</v>
      </c>
      <c r="I115" s="47">
        <f t="shared" si="134"/>
        <v>104.46087861178202</v>
      </c>
      <c r="J115" s="47">
        <f t="shared" si="134"/>
        <v>109.54951215445315</v>
      </c>
      <c r="K115" s="47">
        <f t="shared" si="134"/>
        <v>114.90540492670515</v>
      </c>
      <c r="L115" s="47">
        <f t="shared" si="134"/>
        <v>119.742015269305</v>
      </c>
      <c r="M115" s="47">
        <f t="shared" si="134"/>
        <v>124.82098529581876</v>
      </c>
      <c r="N115" s="47">
        <f t="shared" si="134"/>
        <v>130.15639409291833</v>
      </c>
      <c r="O115" s="47">
        <f t="shared" si="134"/>
        <v>135.7632197006067</v>
      </c>
    </row>
    <row r="116" spans="1:15" s="47" customFormat="1" ht="15" customHeight="1" x14ac:dyDescent="0.35">
      <c r="A116" s="11"/>
      <c r="B116" s="47" t="str">
        <f>B140</f>
        <v>Accrued warranty</v>
      </c>
      <c r="C116" s="47">
        <f t="shared" si="133"/>
        <v>47.7</v>
      </c>
      <c r="D116" s="47">
        <f t="shared" si="133"/>
        <v>51.5</v>
      </c>
      <c r="E116" s="47">
        <f t="shared" si="133"/>
        <v>53.1</v>
      </c>
      <c r="F116" s="47">
        <f t="shared" si="133"/>
        <v>57.293166000000006</v>
      </c>
      <c r="G116" s="47">
        <f t="shared" ref="G116:O116" si="135">G140</f>
        <v>60.473033460000011</v>
      </c>
      <c r="H116" s="47">
        <f t="shared" si="135"/>
        <v>63.397865500200005</v>
      </c>
      <c r="I116" s="47">
        <f t="shared" si="135"/>
        <v>66.475104571134011</v>
      </c>
      <c r="J116" s="47">
        <f t="shared" si="135"/>
        <v>69.713325916470197</v>
      </c>
      <c r="K116" s="47">
        <f t="shared" si="135"/>
        <v>73.12162131699418</v>
      </c>
      <c r="L116" s="47">
        <f t="shared" si="135"/>
        <v>76.199464262285005</v>
      </c>
      <c r="M116" s="47">
        <f t="shared" si="135"/>
        <v>79.431536097339205</v>
      </c>
      <c r="N116" s="47">
        <f t="shared" si="135"/>
        <v>82.826796240948042</v>
      </c>
      <c r="O116" s="47">
        <f t="shared" si="135"/>
        <v>86.394776173113343</v>
      </c>
    </row>
    <row r="117" spans="1:15" s="47" customFormat="1" ht="15" customHeight="1" x14ac:dyDescent="0.35">
      <c r="A117" s="11"/>
      <c r="B117" s="47" t="str">
        <f>B141</f>
        <v>Customer deposits</v>
      </c>
      <c r="C117" s="47">
        <f t="shared" si="133"/>
        <v>33.200000000000003</v>
      </c>
      <c r="D117" s="47">
        <f t="shared" si="133"/>
        <v>27.6</v>
      </c>
      <c r="E117" s="47">
        <f t="shared" si="133"/>
        <v>30.7</v>
      </c>
      <c r="F117" s="47">
        <f t="shared" si="133"/>
        <v>32.738952000000005</v>
      </c>
      <c r="G117" s="47">
        <f t="shared" ref="G117:O117" si="136">G141</f>
        <v>34.556019120000002</v>
      </c>
      <c r="H117" s="47">
        <f t="shared" si="136"/>
        <v>36.227351714400001</v>
      </c>
      <c r="I117" s="47">
        <f t="shared" si="136"/>
        <v>37.985774040648003</v>
      </c>
      <c r="J117" s="47">
        <f t="shared" si="136"/>
        <v>39.836186237982965</v>
      </c>
      <c r="K117" s="47">
        <f t="shared" si="136"/>
        <v>41.783783609710959</v>
      </c>
      <c r="L117" s="47">
        <f t="shared" si="136"/>
        <v>43.542551007020002</v>
      </c>
      <c r="M117" s="47">
        <f t="shared" si="136"/>
        <v>45.389449198479547</v>
      </c>
      <c r="N117" s="47">
        <f t="shared" si="136"/>
        <v>47.329597851970306</v>
      </c>
      <c r="O117" s="47">
        <f t="shared" si="136"/>
        <v>49.368443527493341</v>
      </c>
    </row>
    <row r="118" spans="1:15" s="47" customFormat="1" ht="15" customHeight="1" x14ac:dyDescent="0.35">
      <c r="A118" s="11"/>
      <c r="B118" s="47" t="str">
        <f>B142</f>
        <v>Other accrued liabilities</v>
      </c>
      <c r="C118" s="47">
        <f t="shared" si="133"/>
        <v>76.7</v>
      </c>
      <c r="D118" s="47">
        <f t="shared" si="133"/>
        <v>77</v>
      </c>
      <c r="E118" s="47">
        <f t="shared" si="133"/>
        <v>99.1</v>
      </c>
      <c r="F118" s="47">
        <f t="shared" si="133"/>
        <v>106.401594</v>
      </c>
      <c r="G118" s="47">
        <f t="shared" ref="G118:O118" si="137">G142</f>
        <v>112.30706214000001</v>
      </c>
      <c r="H118" s="47">
        <f t="shared" si="137"/>
        <v>117.73889307180001</v>
      </c>
      <c r="I118" s="47">
        <f t="shared" si="137"/>
        <v>123.45376563210601</v>
      </c>
      <c r="J118" s="47">
        <f t="shared" si="137"/>
        <v>129.46760527344463</v>
      </c>
      <c r="K118" s="47">
        <f t="shared" si="137"/>
        <v>135.79729673156061</v>
      </c>
      <c r="L118" s="47">
        <f t="shared" si="137"/>
        <v>141.513290772815</v>
      </c>
      <c r="M118" s="47">
        <f t="shared" si="137"/>
        <v>147.51570989505854</v>
      </c>
      <c r="N118" s="47">
        <f t="shared" si="137"/>
        <v>153.8211930189035</v>
      </c>
      <c r="O118" s="47">
        <f t="shared" si="137"/>
        <v>160.44744146435335</v>
      </c>
    </row>
    <row r="119" spans="1:15" s="47" customFormat="1" ht="15" customHeight="1" x14ac:dyDescent="0.35">
      <c r="A119" s="11"/>
      <c r="B119" s="50" t="s">
        <v>147</v>
      </c>
      <c r="C119" s="50">
        <f>SUM(C114:C118)</f>
        <v>385.7</v>
      </c>
      <c r="D119" s="50">
        <f t="shared" ref="D119:F119" si="138">SUM(D114:D118)</f>
        <v>413.8</v>
      </c>
      <c r="E119" s="50">
        <f t="shared" si="138"/>
        <v>446.1</v>
      </c>
      <c r="F119" s="50">
        <f t="shared" si="138"/>
        <v>481.10562682191778</v>
      </c>
      <c r="G119" s="50">
        <f t="shared" ref="G119" si="139">SUM(G114:G118)</f>
        <v>507.80780152027404</v>
      </c>
      <c r="H119" s="50">
        <f t="shared" ref="H119" si="140">SUM(H114:H118)</f>
        <v>532.36837741948773</v>
      </c>
      <c r="I119" s="50">
        <f t="shared" ref="I119" si="141">SUM(I114:I118)</f>
        <v>558.20875482335816</v>
      </c>
      <c r="J119" s="50">
        <f t="shared" ref="J119" si="142">SUM(J114:J118)</f>
        <v>585.40094228487987</v>
      </c>
      <c r="K119" s="50">
        <f t="shared" ref="K119" si="143">SUM(K114:K118)</f>
        <v>614.02128585366336</v>
      </c>
      <c r="L119" s="50">
        <f t="shared" ref="L119" si="144">SUM(L114:L118)</f>
        <v>639.86673414768086</v>
      </c>
      <c r="M119" s="50">
        <f t="shared" ref="M119" si="145">SUM(M114:M118)</f>
        <v>667.00728257080721</v>
      </c>
      <c r="N119" s="50">
        <f t="shared" ref="N119" si="146">SUM(N114:N118)</f>
        <v>695.51816569453626</v>
      </c>
      <c r="O119" s="50">
        <f t="shared" ref="O119" si="147">SUM(O114:O118)</f>
        <v>725.47942183723944</v>
      </c>
    </row>
    <row r="120" spans="1:15" s="47" customFormat="1" ht="15" customHeight="1" x14ac:dyDescent="0.35">
      <c r="A120" s="11"/>
      <c r="B120" s="51" t="s">
        <v>146</v>
      </c>
      <c r="C120" s="50">
        <f>C112-C119</f>
        <v>1.3999999999999773</v>
      </c>
      <c r="D120" s="50">
        <f t="shared" ref="D120:F120" si="148">D112-D119</f>
        <v>19.100000000000023</v>
      </c>
      <c r="E120" s="50">
        <f t="shared" si="148"/>
        <v>47.199999999999989</v>
      </c>
      <c r="F120" s="50">
        <f t="shared" si="148"/>
        <v>37.896458136986325</v>
      </c>
      <c r="G120" s="50">
        <f t="shared" ref="G120" si="149">G112-G119</f>
        <v>39.999775556712336</v>
      </c>
      <c r="H120" s="50">
        <f t="shared" ref="H120" si="150">H112-H119</f>
        <v>41.934400272147855</v>
      </c>
      <c r="I120" s="50">
        <f t="shared" ref="I120" si="151">I112-I119</f>
        <v>43.969834334722577</v>
      </c>
      <c r="J120" s="50">
        <f t="shared" ref="J120" si="152">J112-J119</f>
        <v>46.111749823418563</v>
      </c>
      <c r="K120" s="50">
        <f t="shared" ref="K120" si="153">K112-K119</f>
        <v>48.366160479733935</v>
      </c>
      <c r="L120" s="50">
        <f t="shared" ref="L120" si="154">L112-L119</f>
        <v>50.401993973879257</v>
      </c>
      <c r="M120" s="50">
        <f t="shared" ref="M120" si="155">M112-M119</f>
        <v>52.539841880431823</v>
      </c>
      <c r="N120" s="50">
        <f t="shared" ref="N120" si="156">N112-N119</f>
        <v>54.785630390294386</v>
      </c>
      <c r="O120" s="50">
        <f t="shared" ref="O120" si="157">O112-O119</f>
        <v>57.145664083194333</v>
      </c>
    </row>
    <row r="121" spans="1:15" ht="15" customHeight="1" x14ac:dyDescent="0.35">
      <c r="G121" s="47"/>
      <c r="H121" s="47"/>
      <c r="I121" s="47"/>
      <c r="J121" s="47"/>
      <c r="K121" s="47"/>
      <c r="L121" s="47"/>
      <c r="M121" s="47"/>
      <c r="N121" s="47"/>
      <c r="O121" s="47"/>
    </row>
    <row r="122" spans="1:15" ht="15" customHeight="1" x14ac:dyDescent="0.35">
      <c r="A122" s="11" t="s">
        <v>43</v>
      </c>
      <c r="G122" s="47"/>
      <c r="H122" s="47"/>
      <c r="I122" s="47"/>
      <c r="J122" s="47"/>
      <c r="K122" s="47"/>
      <c r="L122" s="47"/>
      <c r="M122" s="47"/>
      <c r="N122" s="47"/>
      <c r="O122" s="47"/>
    </row>
    <row r="123" spans="1:15" ht="15" customHeight="1" x14ac:dyDescent="0.35">
      <c r="B123" t="s">
        <v>111</v>
      </c>
      <c r="C123" s="47">
        <f>96.2+8.6</f>
        <v>104.8</v>
      </c>
      <c r="D123">
        <f>203.9+8.6</f>
        <v>212.5</v>
      </c>
      <c r="E123">
        <f>159.2+8.8</f>
        <v>168</v>
      </c>
      <c r="F123">
        <f>F187</f>
        <v>215.31029152301363</v>
      </c>
      <c r="G123" s="47">
        <f t="shared" ref="G123:O123" si="158">G187</f>
        <v>83.999577343107745</v>
      </c>
      <c r="H123" s="47">
        <f t="shared" si="158"/>
        <v>178.86278463657376</v>
      </c>
      <c r="I123" s="47">
        <f t="shared" si="158"/>
        <v>275.1768790770551</v>
      </c>
      <c r="J123" s="47">
        <f t="shared" si="158"/>
        <v>372.69175224124984</v>
      </c>
      <c r="K123" s="47">
        <f t="shared" si="158"/>
        <v>471.12126873323007</v>
      </c>
      <c r="L123" s="47">
        <f t="shared" si="158"/>
        <v>568.4048949408882</v>
      </c>
      <c r="M123" s="47">
        <f t="shared" si="158"/>
        <v>664.64631579402317</v>
      </c>
      <c r="N123" s="47">
        <f t="shared" si="158"/>
        <v>759.30272620442747</v>
      </c>
      <c r="O123" s="47">
        <f t="shared" si="158"/>
        <v>851.76864133351808</v>
      </c>
    </row>
    <row r="124" spans="1:15" ht="15" customHeight="1" x14ac:dyDescent="0.35">
      <c r="B124" t="s">
        <v>71</v>
      </c>
      <c r="C124" s="47">
        <v>186.6</v>
      </c>
      <c r="D124">
        <f>217.4+1.9</f>
        <v>219.3</v>
      </c>
      <c r="E124">
        <f>218+34.3</f>
        <v>252.3</v>
      </c>
      <c r="F124">
        <f>F73/365*F43</f>
        <v>261.6126301369863</v>
      </c>
      <c r="G124" s="47">
        <f t="shared" ref="G124:O124" si="159">G73/365*G43</f>
        <v>276.13257287671235</v>
      </c>
      <c r="H124" s="47">
        <f t="shared" si="159"/>
        <v>289.48797032054796</v>
      </c>
      <c r="I124" s="47">
        <f t="shared" si="159"/>
        <v>303.53929027915069</v>
      </c>
      <c r="J124" s="47">
        <f t="shared" si="159"/>
        <v>318.32568911630221</v>
      </c>
      <c r="K124" s="47">
        <f t="shared" si="159"/>
        <v>333.88868181275876</v>
      </c>
      <c r="L124" s="47">
        <f t="shared" si="159"/>
        <v>347.94275918851594</v>
      </c>
      <c r="M124" s="47">
        <f t="shared" si="159"/>
        <v>362.701078070042</v>
      </c>
      <c r="N124" s="47">
        <f t="shared" si="159"/>
        <v>378.20454904542481</v>
      </c>
      <c r="O124" s="47">
        <f t="shared" si="159"/>
        <v>394.49669485439881</v>
      </c>
    </row>
    <row r="125" spans="1:15" ht="15" customHeight="1" x14ac:dyDescent="0.35">
      <c r="B125" t="s">
        <v>69</v>
      </c>
      <c r="C125" s="47">
        <v>152.4</v>
      </c>
      <c r="D125">
        <v>162.4</v>
      </c>
      <c r="E125">
        <v>184.2</v>
      </c>
      <c r="F125">
        <f>F74/365*F44*-1</f>
        <v>194.6397968219178</v>
      </c>
      <c r="G125" s="47">
        <f t="shared" ref="G125:O125" si="160">G74/365*G44*-1</f>
        <v>205.44263422027399</v>
      </c>
      <c r="H125" s="47">
        <f t="shared" si="160"/>
        <v>215.37904991848768</v>
      </c>
      <c r="I125" s="47">
        <f t="shared" si="160"/>
        <v>225.83323196768811</v>
      </c>
      <c r="J125" s="47">
        <f t="shared" si="160"/>
        <v>236.83431270252888</v>
      </c>
      <c r="K125" s="47">
        <f t="shared" si="160"/>
        <v>248.41317926869252</v>
      </c>
      <c r="L125" s="47">
        <f t="shared" si="160"/>
        <v>258.86941283625589</v>
      </c>
      <c r="M125" s="47">
        <f t="shared" si="160"/>
        <v>269.84960208411127</v>
      </c>
      <c r="N125" s="47">
        <f t="shared" si="160"/>
        <v>281.38418448979604</v>
      </c>
      <c r="O125" s="47">
        <f t="shared" si="160"/>
        <v>293.50554097167276</v>
      </c>
    </row>
    <row r="126" spans="1:15" ht="15" customHeight="1" x14ac:dyDescent="0.35">
      <c r="B126" t="s">
        <v>70</v>
      </c>
      <c r="C126" s="47">
        <v>17.7</v>
      </c>
      <c r="D126">
        <v>9.9</v>
      </c>
      <c r="E126">
        <v>9.1999999999999993</v>
      </c>
      <c r="F126">
        <f>F75*F$43</f>
        <v>10.912984</v>
      </c>
      <c r="G126" s="47">
        <f t="shared" ref="G126:O126" si="161">G75*G$43</f>
        <v>11.518673040000001</v>
      </c>
      <c r="H126" s="47">
        <f t="shared" si="161"/>
        <v>12.075783904800002</v>
      </c>
      <c r="I126" s="47">
        <f t="shared" si="161"/>
        <v>12.661924680216002</v>
      </c>
      <c r="J126" s="47">
        <f t="shared" si="161"/>
        <v>13.278728745994322</v>
      </c>
      <c r="K126" s="47">
        <f t="shared" si="161"/>
        <v>13.927927869903654</v>
      </c>
      <c r="L126" s="47">
        <f t="shared" si="161"/>
        <v>14.514183669006666</v>
      </c>
      <c r="M126" s="47">
        <f t="shared" si="161"/>
        <v>15.129816399493182</v>
      </c>
      <c r="N126" s="47">
        <f t="shared" si="161"/>
        <v>15.776532617323436</v>
      </c>
      <c r="O126" s="47">
        <f t="shared" si="161"/>
        <v>16.456147842497781</v>
      </c>
    </row>
    <row r="127" spans="1:15" ht="15" customHeight="1" x14ac:dyDescent="0.35">
      <c r="B127" t="s">
        <v>145</v>
      </c>
      <c r="C127" s="47">
        <v>30.4</v>
      </c>
      <c r="D127">
        <v>41.3</v>
      </c>
      <c r="E127">
        <v>47.6</v>
      </c>
      <c r="F127" s="47">
        <f>F76*F$43</f>
        <v>51.836674000000002</v>
      </c>
      <c r="G127" s="47">
        <f t="shared" ref="G127:O127" si="162">G76*G$43</f>
        <v>54.713696940000005</v>
      </c>
      <c r="H127" s="47">
        <f t="shared" si="162"/>
        <v>57.359973547800003</v>
      </c>
      <c r="I127" s="47">
        <f t="shared" si="162"/>
        <v>60.144142231026002</v>
      </c>
      <c r="J127" s="47">
        <f t="shared" si="162"/>
        <v>63.073961543473025</v>
      </c>
      <c r="K127" s="47">
        <f t="shared" si="162"/>
        <v>66.157657382042345</v>
      </c>
      <c r="L127" s="47">
        <f t="shared" si="162"/>
        <v>68.942372427781663</v>
      </c>
      <c r="M127" s="47">
        <f t="shared" si="162"/>
        <v>71.866627897592608</v>
      </c>
      <c r="N127" s="47">
        <f t="shared" si="162"/>
        <v>74.938529932286315</v>
      </c>
      <c r="O127" s="47">
        <f t="shared" si="162"/>
        <v>78.16670225186445</v>
      </c>
    </row>
    <row r="128" spans="1:15" s="47" customFormat="1" ht="15" customHeight="1" x14ac:dyDescent="0.35">
      <c r="A128" s="11"/>
      <c r="B128" s="50" t="s">
        <v>74</v>
      </c>
      <c r="C128" s="50">
        <f>SUM(C123:C127)</f>
        <v>491.89999999999992</v>
      </c>
      <c r="D128" s="50">
        <f>SUM(D123:D127)</f>
        <v>645.4</v>
      </c>
      <c r="E128" s="50">
        <f>SUM(E123:E127)</f>
        <v>661.30000000000007</v>
      </c>
      <c r="F128" s="50">
        <f>SUM(F123:F127)</f>
        <v>734.31237648191779</v>
      </c>
      <c r="G128" s="50">
        <f t="shared" ref="G128:O128" si="163">SUM(G123:G127)</f>
        <v>631.80715442009409</v>
      </c>
      <c r="H128" s="50">
        <f t="shared" si="163"/>
        <v>753.16556232820938</v>
      </c>
      <c r="I128" s="50">
        <f t="shared" si="163"/>
        <v>877.35546823513585</v>
      </c>
      <c r="J128" s="50">
        <f t="shared" si="163"/>
        <v>1004.2044443495483</v>
      </c>
      <c r="K128" s="50">
        <f t="shared" si="163"/>
        <v>1133.5087150666275</v>
      </c>
      <c r="L128" s="50">
        <f t="shared" si="163"/>
        <v>1258.6736230624483</v>
      </c>
      <c r="M128" s="50">
        <f t="shared" si="163"/>
        <v>1384.1934402452623</v>
      </c>
      <c r="N128" s="50">
        <f t="shared" si="163"/>
        <v>1509.606522289258</v>
      </c>
      <c r="O128" s="50">
        <f t="shared" si="163"/>
        <v>1634.3937272539522</v>
      </c>
    </row>
    <row r="129" spans="1:15" ht="15" customHeight="1" x14ac:dyDescent="0.35">
      <c r="G129" s="47"/>
      <c r="H129" s="47"/>
      <c r="I129" s="47"/>
      <c r="J129" s="47"/>
      <c r="K129" s="47"/>
      <c r="L129" s="47"/>
      <c r="M129" s="47"/>
      <c r="N129" s="47"/>
      <c r="O129" s="47"/>
    </row>
    <row r="130" spans="1:15" ht="15" customHeight="1" x14ac:dyDescent="0.35">
      <c r="B130" t="s">
        <v>72</v>
      </c>
      <c r="C130">
        <v>314.60000000000002</v>
      </c>
      <c r="D130">
        <v>331.4</v>
      </c>
      <c r="E130">
        <v>348.6</v>
      </c>
      <c r="F130">
        <f>F96</f>
        <v>369.26071800000005</v>
      </c>
      <c r="G130" s="47">
        <f t="shared" ref="G130:O130" si="164">G96</f>
        <v>390.80688769800008</v>
      </c>
      <c r="H130" s="47">
        <f t="shared" si="164"/>
        <v>412.66153426069809</v>
      </c>
      <c r="I130" s="47">
        <f t="shared" si="164"/>
        <v>435.00276755460123</v>
      </c>
      <c r="J130" s="47">
        <f t="shared" si="164"/>
        <v>457.98672896568871</v>
      </c>
      <c r="K130" s="47">
        <f t="shared" si="164"/>
        <v>481.75277482822185</v>
      </c>
      <c r="L130" s="47">
        <f t="shared" si="164"/>
        <v>505.62598790671075</v>
      </c>
      <c r="M130" s="47">
        <f t="shared" si="164"/>
        <v>529.82740160909407</v>
      </c>
      <c r="N130" s="47">
        <f t="shared" si="164"/>
        <v>554.54814278180277</v>
      </c>
      <c r="O130" s="47">
        <f t="shared" si="164"/>
        <v>579.95628206883066</v>
      </c>
    </row>
    <row r="131" spans="1:15" ht="15" customHeight="1" x14ac:dyDescent="0.35">
      <c r="B131" t="s">
        <v>73</v>
      </c>
      <c r="C131">
        <v>304.5</v>
      </c>
      <c r="D131">
        <v>304.10000000000002</v>
      </c>
      <c r="E131">
        <v>303.8</v>
      </c>
      <c r="F131">
        <f>E131+F79</f>
        <v>303.8</v>
      </c>
      <c r="G131" s="47">
        <f t="shared" ref="G131:O131" si="165">F131+G79</f>
        <v>303.8</v>
      </c>
      <c r="H131" s="47">
        <f t="shared" si="165"/>
        <v>303.8</v>
      </c>
      <c r="I131" s="47">
        <f t="shared" si="165"/>
        <v>303.8</v>
      </c>
      <c r="J131" s="47">
        <f t="shared" si="165"/>
        <v>303.8</v>
      </c>
      <c r="K131" s="47">
        <f t="shared" si="165"/>
        <v>303.8</v>
      </c>
      <c r="L131" s="47">
        <f t="shared" si="165"/>
        <v>303.8</v>
      </c>
      <c r="M131" s="47">
        <f t="shared" si="165"/>
        <v>303.8</v>
      </c>
      <c r="N131" s="47">
        <f t="shared" si="165"/>
        <v>303.8</v>
      </c>
      <c r="O131" s="47">
        <f t="shared" si="165"/>
        <v>303.8</v>
      </c>
    </row>
    <row r="132" spans="1:15" ht="15" customHeight="1" x14ac:dyDescent="0.35">
      <c r="B132" t="s">
        <v>90</v>
      </c>
      <c r="C132">
        <f>78.1+45.4</f>
        <v>123.5</v>
      </c>
      <c r="D132">
        <v>119.4</v>
      </c>
      <c r="E132" s="47">
        <v>119.2</v>
      </c>
      <c r="F132">
        <f>F101</f>
        <v>113.3</v>
      </c>
      <c r="G132" s="47">
        <f t="shared" ref="G132:O132" si="166">G101</f>
        <v>107.7</v>
      </c>
      <c r="H132" s="47">
        <f t="shared" si="166"/>
        <v>102.10000000000001</v>
      </c>
      <c r="I132" s="47">
        <f t="shared" si="166"/>
        <v>96.500000000000014</v>
      </c>
      <c r="J132" s="47">
        <f t="shared" si="166"/>
        <v>90.90000000000002</v>
      </c>
      <c r="K132" s="47">
        <f t="shared" si="166"/>
        <v>85.300000000000026</v>
      </c>
      <c r="L132" s="47">
        <f t="shared" si="166"/>
        <v>79.700000000000031</v>
      </c>
      <c r="M132" s="47">
        <f t="shared" si="166"/>
        <v>74.100000000000037</v>
      </c>
      <c r="N132" s="47">
        <f t="shared" si="166"/>
        <v>68.500000000000043</v>
      </c>
      <c r="O132" s="47">
        <f t="shared" si="166"/>
        <v>62.900000000000041</v>
      </c>
    </row>
    <row r="133" spans="1:15" s="47" customFormat="1" ht="15" customHeight="1" x14ac:dyDescent="0.35">
      <c r="A133" s="11"/>
      <c r="B133" s="47" t="s">
        <v>141</v>
      </c>
      <c r="C133" s="47">
        <v>0</v>
      </c>
      <c r="D133" s="47">
        <v>0</v>
      </c>
      <c r="E133" s="47">
        <v>265</v>
      </c>
      <c r="F133" s="47">
        <f>(1+F77)*E133</f>
        <v>265</v>
      </c>
      <c r="G133" s="47">
        <f t="shared" ref="G133:O133" si="167">(1+G77)*F133</f>
        <v>265</v>
      </c>
      <c r="H133" s="47">
        <f t="shared" si="167"/>
        <v>265</v>
      </c>
      <c r="I133" s="47">
        <f t="shared" si="167"/>
        <v>265</v>
      </c>
      <c r="J133" s="47">
        <f t="shared" si="167"/>
        <v>265</v>
      </c>
      <c r="K133" s="47">
        <f t="shared" si="167"/>
        <v>265</v>
      </c>
      <c r="L133" s="47">
        <f t="shared" si="167"/>
        <v>265</v>
      </c>
      <c r="M133" s="47">
        <f t="shared" si="167"/>
        <v>265</v>
      </c>
      <c r="N133" s="47">
        <f t="shared" si="167"/>
        <v>265</v>
      </c>
      <c r="O133" s="47">
        <f t="shared" si="167"/>
        <v>265</v>
      </c>
    </row>
    <row r="134" spans="1:15" ht="15" customHeight="1" x14ac:dyDescent="0.35">
      <c r="B134" t="s">
        <v>132</v>
      </c>
      <c r="C134">
        <v>71.8</v>
      </c>
      <c r="D134">
        <v>79.2</v>
      </c>
      <c r="E134">
        <v>136.4</v>
      </c>
      <c r="F134">
        <f>E134+F33</f>
        <v>141.4</v>
      </c>
      <c r="G134" s="47">
        <f t="shared" ref="G134:O134" si="168">F134+G33</f>
        <v>147.4</v>
      </c>
      <c r="H134" s="47">
        <f t="shared" si="168"/>
        <v>154.4</v>
      </c>
      <c r="I134" s="47">
        <f t="shared" si="168"/>
        <v>162.4</v>
      </c>
      <c r="J134" s="47">
        <f t="shared" si="168"/>
        <v>170.4</v>
      </c>
      <c r="K134" s="47">
        <f t="shared" si="168"/>
        <v>178.4</v>
      </c>
      <c r="L134" s="47">
        <f t="shared" si="168"/>
        <v>186.4</v>
      </c>
      <c r="M134" s="47">
        <f t="shared" si="168"/>
        <v>194.4</v>
      </c>
      <c r="N134" s="47">
        <f t="shared" si="168"/>
        <v>202.4</v>
      </c>
      <c r="O134" s="47">
        <f t="shared" si="168"/>
        <v>210.4</v>
      </c>
    </row>
    <row r="135" spans="1:15" ht="15" customHeight="1" thickBot="1" x14ac:dyDescent="0.4">
      <c r="B135" s="54" t="s">
        <v>75</v>
      </c>
      <c r="C135" s="54">
        <f>SUM(C130:C134,C128)</f>
        <v>1306.3</v>
      </c>
      <c r="D135" s="54">
        <f>SUM(D130:D134,D128)</f>
        <v>1479.5</v>
      </c>
      <c r="E135" s="54">
        <f>SUM(E130:E134,E128)</f>
        <v>1834.3000000000002</v>
      </c>
      <c r="F135" s="54">
        <f>SUM(F130:F134,F128)</f>
        <v>1927.0730944819179</v>
      </c>
      <c r="G135" s="54">
        <f t="shared" ref="G135:O135" si="169">SUM(G130:G134,G128)</f>
        <v>1846.5140421180943</v>
      </c>
      <c r="H135" s="54">
        <f t="shared" si="169"/>
        <v>1991.1270965889075</v>
      </c>
      <c r="I135" s="54">
        <f t="shared" si="169"/>
        <v>2140.0582357897374</v>
      </c>
      <c r="J135" s="54">
        <f t="shared" si="169"/>
        <v>2292.2911733152373</v>
      </c>
      <c r="K135" s="54">
        <f t="shared" si="169"/>
        <v>2447.7614898948495</v>
      </c>
      <c r="L135" s="54">
        <f t="shared" si="169"/>
        <v>2599.199610969159</v>
      </c>
      <c r="M135" s="54">
        <f t="shared" si="169"/>
        <v>2751.3208418543563</v>
      </c>
      <c r="N135" s="54">
        <f t="shared" si="169"/>
        <v>2903.8546650710609</v>
      </c>
      <c r="O135" s="54">
        <f t="shared" si="169"/>
        <v>3056.450009322783</v>
      </c>
    </row>
    <row r="136" spans="1:15" ht="15" customHeight="1" thickTop="1" x14ac:dyDescent="0.35">
      <c r="G136" s="47"/>
      <c r="H136" s="47"/>
      <c r="I136" s="47"/>
      <c r="J136" s="47"/>
      <c r="K136" s="47"/>
      <c r="L136" s="47"/>
      <c r="M136" s="47"/>
      <c r="N136" s="47"/>
      <c r="O136" s="47"/>
    </row>
    <row r="137" spans="1:15" s="47" customFormat="1" ht="15" customHeight="1" x14ac:dyDescent="0.35">
      <c r="A137" s="11"/>
      <c r="B137" s="47" t="s">
        <v>169</v>
      </c>
      <c r="C137" s="47">
        <v>0</v>
      </c>
      <c r="D137" s="47">
        <v>0</v>
      </c>
      <c r="E137" s="47">
        <v>6.9</v>
      </c>
      <c r="F137" s="47">
        <f>F211</f>
        <v>0</v>
      </c>
      <c r="G137" s="47">
        <f t="shared" ref="G137:O137" si="170">G211</f>
        <v>0</v>
      </c>
      <c r="H137" s="47">
        <f t="shared" si="170"/>
        <v>0</v>
      </c>
      <c r="I137" s="47">
        <f t="shared" si="170"/>
        <v>0</v>
      </c>
      <c r="J137" s="47">
        <f t="shared" si="170"/>
        <v>0</v>
      </c>
      <c r="K137" s="47">
        <f t="shared" si="170"/>
        <v>0</v>
      </c>
      <c r="L137" s="47">
        <f t="shared" si="170"/>
        <v>0</v>
      </c>
      <c r="M137" s="47">
        <f t="shared" si="170"/>
        <v>0</v>
      </c>
      <c r="N137" s="47">
        <f t="shared" si="170"/>
        <v>0</v>
      </c>
      <c r="O137" s="47">
        <f t="shared" si="170"/>
        <v>0</v>
      </c>
    </row>
    <row r="138" spans="1:15" ht="15" customHeight="1" x14ac:dyDescent="0.35">
      <c r="B138" t="s">
        <v>76</v>
      </c>
      <c r="C138">
        <v>148.4</v>
      </c>
      <c r="D138" s="47">
        <v>171.4</v>
      </c>
      <c r="E138">
        <v>177.7</v>
      </c>
      <c r="F138">
        <f>F81/365*F44*-1</f>
        <v>194.6397968219178</v>
      </c>
      <c r="G138" s="47">
        <f t="shared" ref="G138:O138" si="171">G81/365*G44*-1</f>
        <v>205.44263422027399</v>
      </c>
      <c r="H138" s="47">
        <f t="shared" si="171"/>
        <v>215.37904991848768</v>
      </c>
      <c r="I138" s="47">
        <f t="shared" si="171"/>
        <v>225.83323196768811</v>
      </c>
      <c r="J138" s="47">
        <f t="shared" si="171"/>
        <v>236.83431270252888</v>
      </c>
      <c r="K138" s="47">
        <f t="shared" si="171"/>
        <v>248.41317926869252</v>
      </c>
      <c r="L138" s="47">
        <f t="shared" si="171"/>
        <v>258.86941283625589</v>
      </c>
      <c r="M138" s="47">
        <f t="shared" si="171"/>
        <v>269.84960208411127</v>
      </c>
      <c r="N138" s="47">
        <f t="shared" si="171"/>
        <v>281.38418448979604</v>
      </c>
      <c r="O138" s="47">
        <f t="shared" si="171"/>
        <v>293.50554097167276</v>
      </c>
    </row>
    <row r="139" spans="1:15" ht="15" customHeight="1" x14ac:dyDescent="0.35">
      <c r="B139" t="s">
        <v>77</v>
      </c>
      <c r="C139">
        <v>79.7</v>
      </c>
      <c r="D139" s="47">
        <v>86.3</v>
      </c>
      <c r="E139">
        <v>85.5</v>
      </c>
      <c r="F139">
        <f>F82*F$43</f>
        <v>90.032118000000011</v>
      </c>
      <c r="G139" s="47">
        <f t="shared" ref="G139:O139" si="172">G82*G$43</f>
        <v>95.029052580000013</v>
      </c>
      <c r="H139" s="47">
        <f t="shared" si="172"/>
        <v>99.625217214600013</v>
      </c>
      <c r="I139" s="47">
        <f t="shared" si="172"/>
        <v>104.46087861178202</v>
      </c>
      <c r="J139" s="47">
        <f t="shared" si="172"/>
        <v>109.54951215445315</v>
      </c>
      <c r="K139" s="47">
        <f t="shared" si="172"/>
        <v>114.90540492670515</v>
      </c>
      <c r="L139" s="47">
        <f t="shared" si="172"/>
        <v>119.742015269305</v>
      </c>
      <c r="M139" s="47">
        <f t="shared" si="172"/>
        <v>124.82098529581876</v>
      </c>
      <c r="N139" s="47">
        <f t="shared" si="172"/>
        <v>130.15639409291833</v>
      </c>
      <c r="O139" s="47">
        <f t="shared" si="172"/>
        <v>135.7632197006067</v>
      </c>
    </row>
    <row r="140" spans="1:15" ht="15" customHeight="1" x14ac:dyDescent="0.35">
      <c r="B140" t="s">
        <v>78</v>
      </c>
      <c r="C140">
        <v>47.7</v>
      </c>
      <c r="D140" s="47">
        <v>51.5</v>
      </c>
      <c r="E140">
        <v>53.1</v>
      </c>
      <c r="F140" s="47">
        <f>F83*F$43</f>
        <v>57.293166000000006</v>
      </c>
      <c r="G140" s="47">
        <f t="shared" ref="G140:O140" si="173">G83*G$43</f>
        <v>60.473033460000011</v>
      </c>
      <c r="H140" s="47">
        <f t="shared" si="173"/>
        <v>63.397865500200005</v>
      </c>
      <c r="I140" s="47">
        <f t="shared" si="173"/>
        <v>66.475104571134011</v>
      </c>
      <c r="J140" s="47">
        <f t="shared" si="173"/>
        <v>69.713325916470197</v>
      </c>
      <c r="K140" s="47">
        <f t="shared" si="173"/>
        <v>73.12162131699418</v>
      </c>
      <c r="L140" s="47">
        <f t="shared" si="173"/>
        <v>76.199464262285005</v>
      </c>
      <c r="M140" s="47">
        <f t="shared" si="173"/>
        <v>79.431536097339205</v>
      </c>
      <c r="N140" s="47">
        <f t="shared" si="173"/>
        <v>82.826796240948042</v>
      </c>
      <c r="O140" s="47">
        <f t="shared" si="173"/>
        <v>86.394776173113343</v>
      </c>
    </row>
    <row r="141" spans="1:15" ht="15" customHeight="1" x14ac:dyDescent="0.35">
      <c r="B141" t="s">
        <v>79</v>
      </c>
      <c r="C141">
        <v>33.200000000000003</v>
      </c>
      <c r="D141" s="47">
        <v>27.6</v>
      </c>
      <c r="E141">
        <v>30.7</v>
      </c>
      <c r="F141" s="47">
        <f>F84*F$43</f>
        <v>32.738952000000005</v>
      </c>
      <c r="G141" s="47">
        <f t="shared" ref="G141:O141" si="174">G84*G$43</f>
        <v>34.556019120000002</v>
      </c>
      <c r="H141" s="47">
        <f t="shared" si="174"/>
        <v>36.227351714400001</v>
      </c>
      <c r="I141" s="47">
        <f t="shared" si="174"/>
        <v>37.985774040648003</v>
      </c>
      <c r="J141" s="47">
        <f t="shared" si="174"/>
        <v>39.836186237982965</v>
      </c>
      <c r="K141" s="47">
        <f t="shared" si="174"/>
        <v>41.783783609710959</v>
      </c>
      <c r="L141" s="47">
        <f t="shared" si="174"/>
        <v>43.542551007020002</v>
      </c>
      <c r="M141" s="47">
        <f t="shared" si="174"/>
        <v>45.389449198479547</v>
      </c>
      <c r="N141" s="47">
        <f t="shared" si="174"/>
        <v>47.329597851970306</v>
      </c>
      <c r="O141" s="47">
        <f t="shared" si="174"/>
        <v>49.368443527493341</v>
      </c>
    </row>
    <row r="142" spans="1:15" ht="15" customHeight="1" x14ac:dyDescent="0.35">
      <c r="B142" t="s">
        <v>80</v>
      </c>
      <c r="C142">
        <v>76.7</v>
      </c>
      <c r="D142" s="47">
        <v>77</v>
      </c>
      <c r="E142">
        <v>99.1</v>
      </c>
      <c r="F142" s="47">
        <f>F85*F$43</f>
        <v>106.401594</v>
      </c>
      <c r="G142" s="47">
        <f t="shared" ref="G142:O142" si="175">G85*G$43</f>
        <v>112.30706214000001</v>
      </c>
      <c r="H142" s="47">
        <f t="shared" si="175"/>
        <v>117.73889307180001</v>
      </c>
      <c r="I142" s="47">
        <f t="shared" si="175"/>
        <v>123.45376563210601</v>
      </c>
      <c r="J142" s="47">
        <f t="shared" si="175"/>
        <v>129.46760527344463</v>
      </c>
      <c r="K142" s="47">
        <f t="shared" si="175"/>
        <v>135.79729673156061</v>
      </c>
      <c r="L142" s="47">
        <f t="shared" si="175"/>
        <v>141.513290772815</v>
      </c>
      <c r="M142" s="47">
        <f t="shared" si="175"/>
        <v>147.51570989505854</v>
      </c>
      <c r="N142" s="47">
        <f t="shared" si="175"/>
        <v>153.8211930189035</v>
      </c>
      <c r="O142" s="47">
        <f t="shared" si="175"/>
        <v>160.44744146435335</v>
      </c>
    </row>
    <row r="143" spans="1:15" ht="15" customHeight="1" x14ac:dyDescent="0.35">
      <c r="B143" s="50" t="s">
        <v>81</v>
      </c>
      <c r="C143" s="50">
        <f>SUM(C137:C142)</f>
        <v>385.7</v>
      </c>
      <c r="D143" s="50">
        <f t="shared" ref="D143:F143" si="176">SUM(D137:D142)</f>
        <v>413.8</v>
      </c>
      <c r="E143" s="50">
        <f t="shared" si="176"/>
        <v>453</v>
      </c>
      <c r="F143" s="50">
        <f t="shared" si="176"/>
        <v>481.10562682191778</v>
      </c>
      <c r="G143" s="50">
        <f t="shared" ref="G143" si="177">SUM(G137:G142)</f>
        <v>507.80780152027404</v>
      </c>
      <c r="H143" s="50">
        <f t="shared" ref="H143" si="178">SUM(H137:H142)</f>
        <v>532.36837741948773</v>
      </c>
      <c r="I143" s="50">
        <f t="shared" ref="I143" si="179">SUM(I137:I142)</f>
        <v>558.20875482335816</v>
      </c>
      <c r="J143" s="50">
        <f t="shared" ref="J143" si="180">SUM(J137:J142)</f>
        <v>585.40094228487987</v>
      </c>
      <c r="K143" s="50">
        <f t="shared" ref="K143" si="181">SUM(K137:K142)</f>
        <v>614.02128585366336</v>
      </c>
      <c r="L143" s="50">
        <f t="shared" ref="L143" si="182">SUM(L137:L142)</f>
        <v>639.86673414768086</v>
      </c>
      <c r="M143" s="50">
        <f t="shared" ref="M143" si="183">SUM(M137:M142)</f>
        <v>667.00728257080721</v>
      </c>
      <c r="N143" s="50">
        <f t="shared" ref="N143" si="184">SUM(N137:N142)</f>
        <v>695.51816569453626</v>
      </c>
      <c r="O143" s="50">
        <f t="shared" ref="O143" si="185">SUM(O137:O142)</f>
        <v>725.47942183723944</v>
      </c>
    </row>
    <row r="144" spans="1:15" ht="15" customHeight="1" x14ac:dyDescent="0.35">
      <c r="G144" s="47"/>
      <c r="H144" s="47"/>
      <c r="I144" s="47"/>
      <c r="J144" s="47"/>
      <c r="K144" s="47"/>
      <c r="L144" s="47"/>
      <c r="M144" s="47"/>
      <c r="N144" s="47"/>
      <c r="O144" s="47"/>
    </row>
    <row r="145" spans="1:15" ht="15" customHeight="1" x14ac:dyDescent="0.35">
      <c r="B145" t="s">
        <v>139</v>
      </c>
      <c r="C145">
        <v>199.9</v>
      </c>
      <c r="D145">
        <v>275</v>
      </c>
      <c r="E145">
        <v>275</v>
      </c>
      <c r="F145">
        <f>F228</f>
        <v>225</v>
      </c>
      <c r="G145" s="47">
        <f t="shared" ref="G145:O145" si="186">G228</f>
        <v>0</v>
      </c>
      <c r="H145" s="47">
        <f t="shared" si="186"/>
        <v>0</v>
      </c>
      <c r="I145" s="47">
        <f t="shared" si="186"/>
        <v>0</v>
      </c>
      <c r="J145" s="47">
        <f t="shared" si="186"/>
        <v>0</v>
      </c>
      <c r="K145" s="47">
        <f t="shared" si="186"/>
        <v>0</v>
      </c>
      <c r="L145" s="47">
        <f t="shared" si="186"/>
        <v>0</v>
      </c>
      <c r="M145" s="47">
        <f t="shared" si="186"/>
        <v>0</v>
      </c>
      <c r="N145" s="47">
        <f t="shared" si="186"/>
        <v>0</v>
      </c>
      <c r="O145" s="47">
        <f t="shared" si="186"/>
        <v>0</v>
      </c>
    </row>
    <row r="146" spans="1:15" s="47" customFormat="1" ht="15" customHeight="1" x14ac:dyDescent="0.35">
      <c r="A146" s="11"/>
      <c r="B146" s="47" t="s">
        <v>142</v>
      </c>
      <c r="C146" s="47">
        <v>0</v>
      </c>
      <c r="D146" s="47">
        <v>0</v>
      </c>
      <c r="E146" s="47">
        <v>265</v>
      </c>
      <c r="F146" s="47">
        <f>(1+F86)*E146</f>
        <v>265</v>
      </c>
      <c r="G146" s="47">
        <f t="shared" ref="G146:O146" si="187">(1+G86)*F146</f>
        <v>265</v>
      </c>
      <c r="H146" s="47">
        <f t="shared" si="187"/>
        <v>265</v>
      </c>
      <c r="I146" s="47">
        <f t="shared" si="187"/>
        <v>265</v>
      </c>
      <c r="J146" s="47">
        <f t="shared" si="187"/>
        <v>265</v>
      </c>
      <c r="K146" s="47">
        <f t="shared" si="187"/>
        <v>265</v>
      </c>
      <c r="L146" s="47">
        <f t="shared" si="187"/>
        <v>265</v>
      </c>
      <c r="M146" s="47">
        <f t="shared" si="187"/>
        <v>265</v>
      </c>
      <c r="N146" s="47">
        <f t="shared" si="187"/>
        <v>265</v>
      </c>
      <c r="O146" s="47">
        <f t="shared" si="187"/>
        <v>265</v>
      </c>
    </row>
    <row r="147" spans="1:15" ht="15" customHeight="1" x14ac:dyDescent="0.35">
      <c r="B147" t="s">
        <v>82</v>
      </c>
      <c r="C147">
        <v>38.5</v>
      </c>
      <c r="D147">
        <v>15.6</v>
      </c>
      <c r="E147">
        <v>24.5</v>
      </c>
      <c r="F147">
        <f>F87*F$43</f>
        <v>27.28246</v>
      </c>
      <c r="G147" s="47">
        <f t="shared" ref="G147:O147" si="188">G87*G$43</f>
        <v>28.796682600000004</v>
      </c>
      <c r="H147" s="47">
        <f t="shared" si="188"/>
        <v>30.189459762000002</v>
      </c>
      <c r="I147" s="47">
        <f t="shared" si="188"/>
        <v>31.654811700540005</v>
      </c>
      <c r="J147" s="47">
        <f t="shared" si="188"/>
        <v>33.196821864985807</v>
      </c>
      <c r="K147" s="47">
        <f t="shared" si="188"/>
        <v>34.819819674759131</v>
      </c>
      <c r="L147" s="47">
        <f t="shared" si="188"/>
        <v>36.285459172516667</v>
      </c>
      <c r="M147" s="47">
        <f t="shared" si="188"/>
        <v>37.824540998732957</v>
      </c>
      <c r="N147" s="47">
        <f t="shared" si="188"/>
        <v>39.441331543308586</v>
      </c>
      <c r="O147" s="47">
        <f t="shared" si="188"/>
        <v>41.140369606244448</v>
      </c>
    </row>
    <row r="148" spans="1:15" ht="15" customHeight="1" x14ac:dyDescent="0.35">
      <c r="B148" t="s">
        <v>83</v>
      </c>
      <c r="C148">
        <v>69.900000000000006</v>
      </c>
      <c r="D148">
        <v>79.8</v>
      </c>
      <c r="E148">
        <v>77</v>
      </c>
      <c r="F148" s="47">
        <f>F88*F$43</f>
        <v>81.847380000000001</v>
      </c>
      <c r="G148" s="47">
        <f t="shared" ref="G148:O148" si="189">G88*G$43</f>
        <v>86.390047800000005</v>
      </c>
      <c r="H148" s="47">
        <f t="shared" si="189"/>
        <v>90.568379285999995</v>
      </c>
      <c r="I148" s="47">
        <f t="shared" si="189"/>
        <v>94.964435101620012</v>
      </c>
      <c r="J148" s="47">
        <f t="shared" si="189"/>
        <v>99.590465594957408</v>
      </c>
      <c r="K148" s="47">
        <f t="shared" si="189"/>
        <v>104.45945902427739</v>
      </c>
      <c r="L148" s="47">
        <f t="shared" si="189"/>
        <v>108.85637751755</v>
      </c>
      <c r="M148" s="47">
        <f t="shared" si="189"/>
        <v>113.47362299619886</v>
      </c>
      <c r="N148" s="47">
        <f t="shared" si="189"/>
        <v>118.32399462992576</v>
      </c>
      <c r="O148" s="47">
        <f t="shared" si="189"/>
        <v>123.42110881873334</v>
      </c>
    </row>
    <row r="149" spans="1:15" ht="15" customHeight="1" thickBot="1" x14ac:dyDescent="0.4">
      <c r="B149" s="54" t="s">
        <v>84</v>
      </c>
      <c r="C149" s="54">
        <f>SUM(C145:C148,C143)</f>
        <v>694</v>
      </c>
      <c r="D149" s="54">
        <f>SUM(D145:D148,D143)</f>
        <v>784.2</v>
      </c>
      <c r="E149" s="54">
        <f>SUM(E145:E148,E143)</f>
        <v>1094.5</v>
      </c>
      <c r="F149" s="54">
        <f>SUM(F145:F148,F143)</f>
        <v>1080.2354668219177</v>
      </c>
      <c r="G149" s="54">
        <f t="shared" ref="G149:O149" si="190">SUM(G145:G148,G143)</f>
        <v>887.99453192027408</v>
      </c>
      <c r="H149" s="54">
        <f t="shared" si="190"/>
        <v>918.12621646748767</v>
      </c>
      <c r="I149" s="54">
        <f t="shared" si="190"/>
        <v>949.82800162551814</v>
      </c>
      <c r="J149" s="54">
        <f t="shared" si="190"/>
        <v>983.18822974482305</v>
      </c>
      <c r="K149" s="54">
        <f t="shared" si="190"/>
        <v>1018.3005645526998</v>
      </c>
      <c r="L149" s="54">
        <f t="shared" si="190"/>
        <v>1050.0085708377476</v>
      </c>
      <c r="M149" s="54">
        <f t="shared" si="190"/>
        <v>1083.305446565739</v>
      </c>
      <c r="N149" s="54">
        <f t="shared" si="190"/>
        <v>1118.2834918677706</v>
      </c>
      <c r="O149" s="54">
        <f t="shared" si="190"/>
        <v>1155.0409002622173</v>
      </c>
    </row>
    <row r="150" spans="1:15" s="47" customFormat="1" ht="15" customHeight="1" thickTop="1" x14ac:dyDescent="0.35">
      <c r="A150" s="11"/>
      <c r="B150" s="53"/>
      <c r="C150" s="53"/>
      <c r="D150" s="53"/>
      <c r="E150" s="53"/>
    </row>
    <row r="151" spans="1:15" s="47" customFormat="1" ht="15" customHeight="1" x14ac:dyDescent="0.35">
      <c r="A151" s="11"/>
      <c r="B151" s="53" t="s">
        <v>85</v>
      </c>
      <c r="C151" s="53">
        <v>24.6</v>
      </c>
      <c r="D151" s="19">
        <v>30.5</v>
      </c>
      <c r="E151" s="19">
        <v>20.6</v>
      </c>
      <c r="F151" s="47">
        <f>F89</f>
        <v>20.6</v>
      </c>
      <c r="G151" s="47">
        <f t="shared" ref="G151:O151" si="191">G89</f>
        <v>20.6</v>
      </c>
      <c r="H151" s="47">
        <f t="shared" si="191"/>
        <v>20.6</v>
      </c>
      <c r="I151" s="47">
        <f t="shared" si="191"/>
        <v>20.6</v>
      </c>
      <c r="J151" s="47">
        <f t="shared" si="191"/>
        <v>20.6</v>
      </c>
      <c r="K151" s="47">
        <f t="shared" si="191"/>
        <v>20.6</v>
      </c>
      <c r="L151" s="47">
        <f t="shared" si="191"/>
        <v>20.6</v>
      </c>
      <c r="M151" s="47">
        <f t="shared" si="191"/>
        <v>20.6</v>
      </c>
      <c r="N151" s="47">
        <f t="shared" si="191"/>
        <v>20.6</v>
      </c>
      <c r="O151" s="47">
        <f t="shared" si="191"/>
        <v>20.6</v>
      </c>
    </row>
    <row r="152" spans="1:15" s="47" customFormat="1" ht="15" customHeight="1" x14ac:dyDescent="0.35">
      <c r="A152" s="11"/>
      <c r="B152" s="19" t="s">
        <v>87</v>
      </c>
      <c r="C152" s="53">
        <v>587.5</v>
      </c>
      <c r="D152" s="53">
        <v>664.6</v>
      </c>
      <c r="E152" s="53">
        <v>719.2</v>
      </c>
      <c r="F152" s="47">
        <f>F106</f>
        <v>826.23762766000004</v>
      </c>
      <c r="G152" s="47">
        <f t="shared" ref="G152:O152" si="192">G106</f>
        <v>937.91951019782016</v>
      </c>
      <c r="H152" s="47">
        <f t="shared" si="192"/>
        <v>1052.4008801214195</v>
      </c>
      <c r="I152" s="47">
        <f t="shared" si="192"/>
        <v>1169.6302341642186</v>
      </c>
      <c r="J152" s="47">
        <f t="shared" si="192"/>
        <v>1288.5029435704137</v>
      </c>
      <c r="K152" s="47">
        <f t="shared" si="192"/>
        <v>1408.8609253421491</v>
      </c>
      <c r="L152" s="47">
        <f t="shared" si="192"/>
        <v>1528.5910401314113</v>
      </c>
      <c r="M152" s="47">
        <f t="shared" si="192"/>
        <v>1647.4153952886172</v>
      </c>
      <c r="N152" s="47">
        <f t="shared" si="192"/>
        <v>1764.9711732032902</v>
      </c>
      <c r="O152" s="47">
        <f t="shared" si="192"/>
        <v>1880.8091090605653</v>
      </c>
    </row>
    <row r="153" spans="1:15" s="47" customFormat="1" ht="15" customHeight="1" x14ac:dyDescent="0.35">
      <c r="A153" s="11"/>
      <c r="B153" s="47" t="s">
        <v>86</v>
      </c>
      <c r="C153" s="19">
        <v>0.2</v>
      </c>
      <c r="D153" s="19">
        <v>0.2</v>
      </c>
      <c r="E153" s="19">
        <v>0</v>
      </c>
      <c r="F153" s="47">
        <f>F90</f>
        <v>0</v>
      </c>
      <c r="G153" s="47">
        <f t="shared" ref="G153:O153" si="193">G90</f>
        <v>0</v>
      </c>
      <c r="H153" s="47">
        <f t="shared" si="193"/>
        <v>0</v>
      </c>
      <c r="I153" s="47">
        <f t="shared" si="193"/>
        <v>0</v>
      </c>
      <c r="J153" s="47">
        <f t="shared" si="193"/>
        <v>0</v>
      </c>
      <c r="K153" s="47">
        <f t="shared" si="193"/>
        <v>0</v>
      </c>
      <c r="L153" s="47">
        <f t="shared" si="193"/>
        <v>0</v>
      </c>
      <c r="M153" s="47">
        <f t="shared" si="193"/>
        <v>0</v>
      </c>
      <c r="N153" s="47">
        <f t="shared" si="193"/>
        <v>0</v>
      </c>
      <c r="O153" s="47">
        <f t="shared" si="193"/>
        <v>0</v>
      </c>
    </row>
    <row r="154" spans="1:15" ht="15" customHeight="1" x14ac:dyDescent="0.35">
      <c r="B154" s="50" t="s">
        <v>88</v>
      </c>
      <c r="C154" s="50">
        <f>SUM(C151:C153)</f>
        <v>612.30000000000007</v>
      </c>
      <c r="D154" s="50">
        <f>SUM(D151:D153)</f>
        <v>695.30000000000007</v>
      </c>
      <c r="E154" s="50">
        <f>SUM(E151:E153)</f>
        <v>739.80000000000007</v>
      </c>
      <c r="F154" s="50">
        <f>SUM(F151:F153)</f>
        <v>846.83762766000007</v>
      </c>
      <c r="G154" s="50">
        <f t="shared" ref="G154:O154" si="194">SUM(G151:G153)</f>
        <v>958.51951019782018</v>
      </c>
      <c r="H154" s="50">
        <f t="shared" si="194"/>
        <v>1073.0008801214194</v>
      </c>
      <c r="I154" s="50">
        <f t="shared" si="194"/>
        <v>1190.2302341642185</v>
      </c>
      <c r="J154" s="50">
        <f t="shared" si="194"/>
        <v>1309.1029435704136</v>
      </c>
      <c r="K154" s="50">
        <f t="shared" si="194"/>
        <v>1429.460925342149</v>
      </c>
      <c r="L154" s="50">
        <f t="shared" si="194"/>
        <v>1549.1910401314112</v>
      </c>
      <c r="M154" s="50">
        <f t="shared" si="194"/>
        <v>1668.0153952886171</v>
      </c>
      <c r="N154" s="50">
        <f t="shared" si="194"/>
        <v>1785.5711732032901</v>
      </c>
      <c r="O154" s="50">
        <f t="shared" si="194"/>
        <v>1901.4091090605652</v>
      </c>
    </row>
    <row r="155" spans="1:15" ht="15" customHeight="1" x14ac:dyDescent="0.35">
      <c r="B155" s="50" t="s">
        <v>89</v>
      </c>
      <c r="C155" s="50">
        <f>SUM(C154,C149)</f>
        <v>1306.3000000000002</v>
      </c>
      <c r="D155" s="50">
        <f>SUM(D154,D149)</f>
        <v>1479.5</v>
      </c>
      <c r="E155" s="50">
        <f>SUM(E154,E149)</f>
        <v>1834.3000000000002</v>
      </c>
      <c r="F155" s="50">
        <f>SUM(F154,F149)</f>
        <v>1927.0730944819179</v>
      </c>
      <c r="G155" s="50">
        <f t="shared" ref="G155:O155" si="195">SUM(G154,G149)</f>
        <v>1846.5140421180943</v>
      </c>
      <c r="H155" s="50">
        <f t="shared" si="195"/>
        <v>1991.1270965889071</v>
      </c>
      <c r="I155" s="50">
        <f t="shared" si="195"/>
        <v>2140.0582357897365</v>
      </c>
      <c r="J155" s="50">
        <f t="shared" si="195"/>
        <v>2292.2911733152368</v>
      </c>
      <c r="K155" s="50">
        <f t="shared" si="195"/>
        <v>2447.7614898948486</v>
      </c>
      <c r="L155" s="50">
        <f t="shared" si="195"/>
        <v>2599.199610969159</v>
      </c>
      <c r="M155" s="50">
        <f t="shared" si="195"/>
        <v>2751.3208418543563</v>
      </c>
      <c r="N155" s="50">
        <f t="shared" si="195"/>
        <v>2903.8546650710605</v>
      </c>
      <c r="O155" s="50">
        <f t="shared" si="195"/>
        <v>3056.4500093227825</v>
      </c>
    </row>
    <row r="156" spans="1:15" s="47" customFormat="1" ht="15" customHeight="1" x14ac:dyDescent="0.35">
      <c r="A156" s="11"/>
      <c r="B156" s="53"/>
      <c r="C156" s="53"/>
      <c r="D156" s="53"/>
      <c r="E156" s="53"/>
    </row>
    <row r="157" spans="1:15" s="47" customFormat="1" ht="15" customHeight="1" x14ac:dyDescent="0.35">
      <c r="A157" s="11"/>
      <c r="B157" s="19" t="s">
        <v>91</v>
      </c>
      <c r="C157" s="53">
        <f>C135-C155</f>
        <v>0</v>
      </c>
      <c r="D157" s="53">
        <f>D135-D155</f>
        <v>0</v>
      </c>
      <c r="E157" s="53">
        <f>E135-E155</f>
        <v>0</v>
      </c>
      <c r="F157" s="53">
        <f>F135-F155</f>
        <v>0</v>
      </c>
      <c r="G157" s="53">
        <f t="shared" ref="G157:O157" si="196">G135-G155</f>
        <v>0</v>
      </c>
      <c r="H157" s="53">
        <f t="shared" si="196"/>
        <v>0</v>
      </c>
      <c r="I157" s="53">
        <f t="shared" si="196"/>
        <v>0</v>
      </c>
      <c r="J157" s="53">
        <f t="shared" si="196"/>
        <v>0</v>
      </c>
      <c r="K157" s="53">
        <f t="shared" si="196"/>
        <v>0</v>
      </c>
      <c r="L157" s="53">
        <f t="shared" si="196"/>
        <v>0</v>
      </c>
      <c r="M157" s="53">
        <f t="shared" si="196"/>
        <v>0</v>
      </c>
      <c r="N157" s="53">
        <f t="shared" si="196"/>
        <v>0</v>
      </c>
      <c r="O157" s="53">
        <f t="shared" si="196"/>
        <v>0</v>
      </c>
    </row>
    <row r="158" spans="1:15" ht="15" customHeight="1" x14ac:dyDescent="0.35">
      <c r="G158" s="47"/>
      <c r="H158" s="47"/>
      <c r="I158" s="47"/>
      <c r="J158" s="47"/>
      <c r="K158" s="47"/>
      <c r="L158" s="47"/>
      <c r="M158" s="47"/>
      <c r="N158" s="47"/>
      <c r="O158" s="47"/>
    </row>
    <row r="159" spans="1:15" ht="15" customHeight="1" x14ac:dyDescent="0.35">
      <c r="A159" s="11" t="s">
        <v>44</v>
      </c>
      <c r="G159" s="47"/>
      <c r="H159" s="47"/>
      <c r="I159" s="47"/>
      <c r="J159" s="47"/>
      <c r="K159" s="47"/>
      <c r="L159" s="47"/>
      <c r="M159" s="47"/>
      <c r="N159" s="47"/>
      <c r="O159" s="47"/>
    </row>
    <row r="160" spans="1:15" ht="15" customHeight="1" x14ac:dyDescent="0.35">
      <c r="B160" t="s">
        <v>149</v>
      </c>
      <c r="G160" s="47"/>
      <c r="H160" s="47"/>
      <c r="I160" s="47"/>
      <c r="J160" s="47"/>
      <c r="K160" s="47"/>
      <c r="L160" s="47"/>
      <c r="M160" s="47"/>
      <c r="N160" s="47"/>
      <c r="O160" s="47"/>
    </row>
    <row r="161" spans="1:15" ht="15" customHeight="1" x14ac:dyDescent="0.35">
      <c r="B161" s="52" t="str">
        <f>B62</f>
        <v>Net earnings attributable to common</v>
      </c>
      <c r="F161">
        <f>F62</f>
        <v>158.91171366000003</v>
      </c>
      <c r="G161" s="47">
        <f t="shared" ref="G161:O161" si="197">G62</f>
        <v>168.74337713782015</v>
      </c>
      <c r="H161" s="47">
        <f t="shared" si="197"/>
        <v>177.2490139835995</v>
      </c>
      <c r="I161" s="47">
        <f t="shared" si="197"/>
        <v>186.27376250879914</v>
      </c>
      <c r="J161" s="47">
        <f t="shared" si="197"/>
        <v>194.82155871879507</v>
      </c>
      <c r="K161" s="47">
        <f t="shared" si="197"/>
        <v>203.90171601559541</v>
      </c>
      <c r="L161" s="47">
        <f t="shared" si="197"/>
        <v>211.6282224575082</v>
      </c>
      <c r="M161" s="47">
        <f t="shared" si="197"/>
        <v>219.91227359227639</v>
      </c>
      <c r="N161" s="47">
        <f t="shared" si="197"/>
        <v>228.75248819325074</v>
      </c>
      <c r="O161" s="47">
        <f t="shared" si="197"/>
        <v>238.15431716371057</v>
      </c>
    </row>
    <row r="162" spans="1:15" ht="15" customHeight="1" x14ac:dyDescent="0.35">
      <c r="B162" s="52" t="str">
        <f>B51</f>
        <v>Depreciation</v>
      </c>
      <c r="F162">
        <f>F51*-1</f>
        <v>69.371400000000008</v>
      </c>
      <c r="G162" s="47">
        <f t="shared" ref="G162:O162" si="198">G51*-1</f>
        <v>73.482882882000013</v>
      </c>
      <c r="H162" s="47">
        <f t="shared" si="198"/>
        <v>77.77057065190202</v>
      </c>
      <c r="I162" s="47">
        <f t="shared" si="198"/>
        <v>82.11964531787892</v>
      </c>
      <c r="J162" s="47">
        <f t="shared" si="198"/>
        <v>86.565550743365648</v>
      </c>
      <c r="K162" s="47">
        <f t="shared" si="198"/>
        <v>91.139359064172055</v>
      </c>
      <c r="L162" s="47">
        <f t="shared" si="198"/>
        <v>95.868802190816155</v>
      </c>
      <c r="M162" s="47">
        <f t="shared" si="198"/>
        <v>100.61957159343544</v>
      </c>
      <c r="N162" s="47">
        <f t="shared" si="198"/>
        <v>105.43565292020972</v>
      </c>
      <c r="O162" s="47">
        <f t="shared" si="198"/>
        <v>110.35508041357876</v>
      </c>
    </row>
    <row r="163" spans="1:15" ht="15" customHeight="1" x14ac:dyDescent="0.35">
      <c r="B163" s="52" t="str">
        <f>B52</f>
        <v>Amortization</v>
      </c>
      <c r="F163" s="47">
        <f>F52*-1</f>
        <v>5.9</v>
      </c>
      <c r="G163" s="47">
        <f t="shared" ref="G163:O163" si="199">G52*-1</f>
        <v>5.6</v>
      </c>
      <c r="H163" s="47">
        <f t="shared" si="199"/>
        <v>5.6</v>
      </c>
      <c r="I163" s="47">
        <f t="shared" si="199"/>
        <v>5.6</v>
      </c>
      <c r="J163" s="47">
        <f t="shared" si="199"/>
        <v>5.6</v>
      </c>
      <c r="K163" s="47">
        <f t="shared" si="199"/>
        <v>5.6</v>
      </c>
      <c r="L163" s="47">
        <f t="shared" si="199"/>
        <v>5.6</v>
      </c>
      <c r="M163" s="47">
        <f t="shared" si="199"/>
        <v>5.6</v>
      </c>
      <c r="N163" s="47">
        <f t="shared" si="199"/>
        <v>5.6</v>
      </c>
      <c r="O163" s="47">
        <f t="shared" si="199"/>
        <v>5.6</v>
      </c>
    </row>
    <row r="164" spans="1:15" s="47" customFormat="1" ht="15" customHeight="1" x14ac:dyDescent="0.35">
      <c r="A164" s="11"/>
      <c r="B164" s="52" t="s">
        <v>158</v>
      </c>
      <c r="F164" s="47">
        <f>-F59</f>
        <v>-5</v>
      </c>
      <c r="G164" s="47">
        <f t="shared" ref="G164:O164" si="200">-G59</f>
        <v>-6</v>
      </c>
      <c r="H164" s="47">
        <f t="shared" si="200"/>
        <v>-7</v>
      </c>
      <c r="I164" s="47">
        <f t="shared" si="200"/>
        <v>-8</v>
      </c>
      <c r="J164" s="47">
        <f t="shared" si="200"/>
        <v>-8</v>
      </c>
      <c r="K164" s="47">
        <f t="shared" si="200"/>
        <v>-8</v>
      </c>
      <c r="L164" s="47">
        <f t="shared" si="200"/>
        <v>-8</v>
      </c>
      <c r="M164" s="47">
        <f t="shared" si="200"/>
        <v>-8</v>
      </c>
      <c r="N164" s="47">
        <f t="shared" si="200"/>
        <v>-8</v>
      </c>
      <c r="O164" s="47">
        <f t="shared" si="200"/>
        <v>-8</v>
      </c>
    </row>
    <row r="165" spans="1:15" s="47" customFormat="1" ht="15" customHeight="1" x14ac:dyDescent="0.35">
      <c r="A165" s="11"/>
      <c r="B165" s="52" t="s">
        <v>159</v>
      </c>
      <c r="F165" s="47">
        <f>-F61</f>
        <v>0</v>
      </c>
      <c r="G165" s="47">
        <f t="shared" ref="G165:O165" si="201">-G61</f>
        <v>0</v>
      </c>
      <c r="H165" s="47">
        <f t="shared" si="201"/>
        <v>0</v>
      </c>
      <c r="I165" s="47">
        <f t="shared" si="201"/>
        <v>0</v>
      </c>
      <c r="J165" s="47">
        <f t="shared" si="201"/>
        <v>0</v>
      </c>
      <c r="K165" s="47">
        <f t="shared" si="201"/>
        <v>0</v>
      </c>
      <c r="L165" s="47">
        <f t="shared" si="201"/>
        <v>0</v>
      </c>
      <c r="M165" s="47">
        <f t="shared" si="201"/>
        <v>0</v>
      </c>
      <c r="N165" s="47">
        <f t="shared" si="201"/>
        <v>0</v>
      </c>
      <c r="O165" s="47">
        <f t="shared" si="201"/>
        <v>0</v>
      </c>
    </row>
    <row r="166" spans="1:15" s="48" customFormat="1" ht="15" customHeight="1" x14ac:dyDescent="0.35">
      <c r="A166" s="11"/>
      <c r="B166" s="52" t="s">
        <v>150</v>
      </c>
      <c r="C166"/>
      <c r="D166"/>
      <c r="E166"/>
      <c r="F166">
        <f t="shared" ref="F166:O166" si="202">F147-E147</f>
        <v>2.7824600000000004</v>
      </c>
      <c r="G166" s="47">
        <f t="shared" si="202"/>
        <v>1.5142226000000036</v>
      </c>
      <c r="H166" s="47">
        <f t="shared" si="202"/>
        <v>1.392777161999998</v>
      </c>
      <c r="I166" s="47">
        <f t="shared" si="202"/>
        <v>1.4653519385400031</v>
      </c>
      <c r="J166" s="47">
        <f t="shared" si="202"/>
        <v>1.5420101644458022</v>
      </c>
      <c r="K166" s="47">
        <f t="shared" si="202"/>
        <v>1.6229978097733238</v>
      </c>
      <c r="L166" s="47">
        <f t="shared" si="202"/>
        <v>1.465639497757536</v>
      </c>
      <c r="M166" s="47">
        <f t="shared" si="202"/>
        <v>1.5390818262162895</v>
      </c>
      <c r="N166" s="47">
        <f t="shared" si="202"/>
        <v>1.616790544575629</v>
      </c>
      <c r="O166" s="47">
        <f t="shared" si="202"/>
        <v>1.6990380629358626</v>
      </c>
    </row>
    <row r="167" spans="1:15" s="48" customFormat="1" ht="15" customHeight="1" x14ac:dyDescent="0.35">
      <c r="A167" s="11"/>
      <c r="B167" s="52" t="s">
        <v>151</v>
      </c>
      <c r="C167"/>
      <c r="D167"/>
      <c r="E167"/>
      <c r="F167" s="47">
        <f t="shared" ref="F167:O167" si="203">F148-E148</f>
        <v>4.8473800000000011</v>
      </c>
      <c r="G167" s="47">
        <f t="shared" si="203"/>
        <v>4.5426678000000038</v>
      </c>
      <c r="H167" s="47">
        <f t="shared" si="203"/>
        <v>4.1783314859999905</v>
      </c>
      <c r="I167" s="47">
        <f t="shared" si="203"/>
        <v>4.3960558156200165</v>
      </c>
      <c r="J167" s="47">
        <f t="shared" si="203"/>
        <v>4.6260304933373959</v>
      </c>
      <c r="K167" s="47">
        <f t="shared" si="203"/>
        <v>4.8689934293199855</v>
      </c>
      <c r="L167" s="47">
        <f t="shared" si="203"/>
        <v>4.396918493272608</v>
      </c>
      <c r="M167" s="47">
        <f t="shared" si="203"/>
        <v>4.6172454786488544</v>
      </c>
      <c r="N167" s="47">
        <f t="shared" si="203"/>
        <v>4.8503716337269083</v>
      </c>
      <c r="O167" s="47">
        <f t="shared" si="203"/>
        <v>5.0971141888075806</v>
      </c>
    </row>
    <row r="168" spans="1:15" s="47" customFormat="1" ht="15" customHeight="1" x14ac:dyDescent="0.35">
      <c r="A168" s="11"/>
      <c r="B168" s="51" t="s">
        <v>153</v>
      </c>
      <c r="C168" s="50"/>
      <c r="D168" s="50"/>
      <c r="E168" s="50"/>
      <c r="F168" s="50">
        <f>SUM(F161:F167)</f>
        <v>236.81295366000001</v>
      </c>
      <c r="G168" s="50">
        <f t="shared" ref="G168:O168" si="204">SUM(G161:G167)</f>
        <v>247.88315041982017</v>
      </c>
      <c r="H168" s="50">
        <f t="shared" si="204"/>
        <v>259.19069328350156</v>
      </c>
      <c r="I168" s="50">
        <f t="shared" si="204"/>
        <v>271.85481558083808</v>
      </c>
      <c r="J168" s="50">
        <f t="shared" si="204"/>
        <v>285.15515011994393</v>
      </c>
      <c r="K168" s="50">
        <f t="shared" si="204"/>
        <v>299.13306631886076</v>
      </c>
      <c r="L168" s="50">
        <f t="shared" si="204"/>
        <v>310.95958263935449</v>
      </c>
      <c r="M168" s="50">
        <f t="shared" si="204"/>
        <v>324.28817249057698</v>
      </c>
      <c r="N168" s="50">
        <f t="shared" si="204"/>
        <v>338.25530329176303</v>
      </c>
      <c r="O168" s="50">
        <f t="shared" si="204"/>
        <v>352.90554982903279</v>
      </c>
    </row>
    <row r="169" spans="1:15" ht="15" customHeight="1" x14ac:dyDescent="0.35">
      <c r="B169" s="52" t="s">
        <v>152</v>
      </c>
      <c r="F169">
        <f t="shared" ref="F169:O169" si="205">E120-F120</f>
        <v>9.3035418630136633</v>
      </c>
      <c r="G169" s="47">
        <f t="shared" si="205"/>
        <v>-2.1033174197260109</v>
      </c>
      <c r="H169" s="47">
        <f t="shared" si="205"/>
        <v>-1.9346247154355183</v>
      </c>
      <c r="I169" s="47">
        <f t="shared" si="205"/>
        <v>-2.0354340625747227</v>
      </c>
      <c r="J169" s="47">
        <f t="shared" si="205"/>
        <v>-2.1419154886959859</v>
      </c>
      <c r="K169" s="47">
        <f t="shared" si="205"/>
        <v>-2.2544106563153719</v>
      </c>
      <c r="L169" s="47">
        <f t="shared" si="205"/>
        <v>-2.0358334941453222</v>
      </c>
      <c r="M169" s="47">
        <f t="shared" si="205"/>
        <v>-2.1378479065525653</v>
      </c>
      <c r="N169" s="47">
        <f t="shared" si="205"/>
        <v>-2.2457885098625638</v>
      </c>
      <c r="O169" s="47">
        <f t="shared" si="205"/>
        <v>-2.3600336928999468</v>
      </c>
    </row>
    <row r="170" spans="1:15" ht="15" customHeight="1" x14ac:dyDescent="0.35">
      <c r="B170" s="51" t="s">
        <v>154</v>
      </c>
      <c r="C170" s="50"/>
      <c r="D170" s="50"/>
      <c r="E170" s="50"/>
      <c r="F170" s="50">
        <f t="shared" ref="F170:O170" si="206">SUM(F168:F169)</f>
        <v>246.11649552301367</v>
      </c>
      <c r="G170" s="50">
        <f t="shared" si="206"/>
        <v>245.77983300009416</v>
      </c>
      <c r="H170" s="50">
        <f t="shared" si="206"/>
        <v>257.25606856806604</v>
      </c>
      <c r="I170" s="50">
        <f t="shared" si="206"/>
        <v>269.81938151826336</v>
      </c>
      <c r="J170" s="50">
        <f t="shared" si="206"/>
        <v>283.01323463124794</v>
      </c>
      <c r="K170" s="50">
        <f t="shared" si="206"/>
        <v>296.87865566254538</v>
      </c>
      <c r="L170" s="50">
        <f t="shared" si="206"/>
        <v>308.92374914520917</v>
      </c>
      <c r="M170" s="50">
        <f t="shared" si="206"/>
        <v>322.15032458402442</v>
      </c>
      <c r="N170" s="50">
        <f t="shared" si="206"/>
        <v>336.00951478190046</v>
      </c>
      <c r="O170" s="50">
        <f t="shared" si="206"/>
        <v>350.54551613613285</v>
      </c>
    </row>
    <row r="171" spans="1:15" ht="15" customHeight="1" x14ac:dyDescent="0.35">
      <c r="G171" s="47"/>
      <c r="H171" s="47"/>
      <c r="I171" s="47"/>
      <c r="J171" s="47"/>
      <c r="K171" s="47"/>
      <c r="L171" s="47"/>
      <c r="M171" s="47"/>
      <c r="N171" s="47"/>
      <c r="O171" s="47"/>
    </row>
    <row r="172" spans="1:15" ht="15" customHeight="1" x14ac:dyDescent="0.35">
      <c r="B172" s="62" t="s">
        <v>155</v>
      </c>
      <c r="G172" s="47"/>
      <c r="H172" s="47"/>
      <c r="I172" s="47"/>
      <c r="J172" s="47"/>
      <c r="K172" s="47"/>
      <c r="L172" s="47"/>
      <c r="M172" s="47"/>
      <c r="N172" s="47"/>
      <c r="O172" s="47"/>
    </row>
    <row r="173" spans="1:15" ht="15" customHeight="1" x14ac:dyDescent="0.35">
      <c r="B173" s="63" t="s">
        <v>112</v>
      </c>
      <c r="F173">
        <f t="shared" ref="F173:O173" si="207">-F94</f>
        <v>-90.032118000000011</v>
      </c>
      <c r="G173" s="47">
        <f t="shared" si="207"/>
        <v>-95.029052580000013</v>
      </c>
      <c r="H173" s="47">
        <f t="shared" si="207"/>
        <v>-99.625217214600013</v>
      </c>
      <c r="I173" s="47">
        <f t="shared" si="207"/>
        <v>-104.46087861178202</v>
      </c>
      <c r="J173" s="47">
        <f t="shared" si="207"/>
        <v>-109.54951215445315</v>
      </c>
      <c r="K173" s="47">
        <f t="shared" si="207"/>
        <v>-114.90540492670515</v>
      </c>
      <c r="L173" s="47">
        <f t="shared" si="207"/>
        <v>-119.742015269305</v>
      </c>
      <c r="M173" s="47">
        <f t="shared" si="207"/>
        <v>-124.82098529581876</v>
      </c>
      <c r="N173" s="47">
        <f t="shared" si="207"/>
        <v>-130.15639409291833</v>
      </c>
      <c r="O173" s="47">
        <f t="shared" si="207"/>
        <v>-135.7632197006067</v>
      </c>
    </row>
    <row r="174" spans="1:15" ht="15" customHeight="1" x14ac:dyDescent="0.35">
      <c r="B174" s="63" t="s">
        <v>157</v>
      </c>
      <c r="F174">
        <f t="shared" ref="F174:O174" si="208">-F99</f>
        <v>0</v>
      </c>
      <c r="G174" s="47">
        <f t="shared" si="208"/>
        <v>0</v>
      </c>
      <c r="H174" s="47">
        <f t="shared" si="208"/>
        <v>0</v>
      </c>
      <c r="I174" s="47">
        <f t="shared" si="208"/>
        <v>0</v>
      </c>
      <c r="J174" s="47">
        <f t="shared" si="208"/>
        <v>0</v>
      </c>
      <c r="K174" s="47">
        <f t="shared" si="208"/>
        <v>0</v>
      </c>
      <c r="L174" s="47">
        <f t="shared" si="208"/>
        <v>0</v>
      </c>
      <c r="M174" s="47">
        <f t="shared" si="208"/>
        <v>0</v>
      </c>
      <c r="N174" s="47">
        <f t="shared" si="208"/>
        <v>0</v>
      </c>
      <c r="O174" s="47">
        <f t="shared" si="208"/>
        <v>0</v>
      </c>
    </row>
    <row r="175" spans="1:15" ht="15" customHeight="1" x14ac:dyDescent="0.35">
      <c r="B175" s="63" t="s">
        <v>156</v>
      </c>
      <c r="F175">
        <f t="shared" ref="F175:O175" si="209">E133-F133</f>
        <v>0</v>
      </c>
      <c r="G175" s="47">
        <f t="shared" si="209"/>
        <v>0</v>
      </c>
      <c r="H175" s="47">
        <f t="shared" si="209"/>
        <v>0</v>
      </c>
      <c r="I175" s="47">
        <f t="shared" si="209"/>
        <v>0</v>
      </c>
      <c r="J175" s="47">
        <f t="shared" si="209"/>
        <v>0</v>
      </c>
      <c r="K175" s="47">
        <f t="shared" si="209"/>
        <v>0</v>
      </c>
      <c r="L175" s="47">
        <f t="shared" si="209"/>
        <v>0</v>
      </c>
      <c r="M175" s="47">
        <f t="shared" si="209"/>
        <v>0</v>
      </c>
      <c r="N175" s="47">
        <f t="shared" si="209"/>
        <v>0</v>
      </c>
      <c r="O175" s="47">
        <f t="shared" si="209"/>
        <v>0</v>
      </c>
    </row>
    <row r="176" spans="1:15" s="47" customFormat="1" ht="15" customHeight="1" x14ac:dyDescent="0.35">
      <c r="A176" s="11"/>
      <c r="B176" s="64" t="s">
        <v>160</v>
      </c>
      <c r="C176" s="50"/>
      <c r="D176" s="50"/>
      <c r="E176" s="50"/>
      <c r="F176" s="50">
        <f>SUM(F173:F175)</f>
        <v>-90.032118000000011</v>
      </c>
      <c r="G176" s="50">
        <f t="shared" ref="G176:O176" si="210">SUM(G173:G175)</f>
        <v>-95.029052580000013</v>
      </c>
      <c r="H176" s="50">
        <f t="shared" si="210"/>
        <v>-99.625217214600013</v>
      </c>
      <c r="I176" s="50">
        <f t="shared" si="210"/>
        <v>-104.46087861178202</v>
      </c>
      <c r="J176" s="50">
        <f t="shared" si="210"/>
        <v>-109.54951215445315</v>
      </c>
      <c r="K176" s="50">
        <f t="shared" si="210"/>
        <v>-114.90540492670515</v>
      </c>
      <c r="L176" s="50">
        <f t="shared" si="210"/>
        <v>-119.742015269305</v>
      </c>
      <c r="M176" s="50">
        <f t="shared" si="210"/>
        <v>-124.82098529581876</v>
      </c>
      <c r="N176" s="50">
        <f t="shared" si="210"/>
        <v>-130.15639409291833</v>
      </c>
      <c r="O176" s="50">
        <f t="shared" si="210"/>
        <v>-135.7632197006067</v>
      </c>
    </row>
    <row r="177" spans="1:15" s="47" customFormat="1" ht="15" customHeight="1" x14ac:dyDescent="0.35">
      <c r="A177" s="11"/>
      <c r="B177" s="62"/>
    </row>
    <row r="178" spans="1:15" s="47" customFormat="1" ht="15" customHeight="1" x14ac:dyDescent="0.35">
      <c r="A178" s="11"/>
      <c r="B178" s="62" t="s">
        <v>161</v>
      </c>
    </row>
    <row r="179" spans="1:15" s="47" customFormat="1" ht="15" customHeight="1" x14ac:dyDescent="0.35">
      <c r="A179" s="11"/>
      <c r="B179" s="63" t="s">
        <v>190</v>
      </c>
      <c r="F179" s="47">
        <f t="shared" ref="F179:O179" si="211">F137-E137</f>
        <v>-6.9</v>
      </c>
      <c r="G179" s="47">
        <f t="shared" si="211"/>
        <v>0</v>
      </c>
      <c r="H179" s="47">
        <f t="shared" si="211"/>
        <v>0</v>
      </c>
      <c r="I179" s="47">
        <f t="shared" si="211"/>
        <v>0</v>
      </c>
      <c r="J179" s="47">
        <f t="shared" si="211"/>
        <v>0</v>
      </c>
      <c r="K179" s="47">
        <f t="shared" si="211"/>
        <v>0</v>
      </c>
      <c r="L179" s="47">
        <f t="shared" si="211"/>
        <v>0</v>
      </c>
      <c r="M179" s="47">
        <f t="shared" si="211"/>
        <v>0</v>
      </c>
      <c r="N179" s="47">
        <f t="shared" si="211"/>
        <v>0</v>
      </c>
      <c r="O179" s="47">
        <f t="shared" si="211"/>
        <v>0</v>
      </c>
    </row>
    <row r="180" spans="1:15" s="47" customFormat="1" ht="15" customHeight="1" x14ac:dyDescent="0.35">
      <c r="A180" s="11"/>
      <c r="B180" s="63" t="s">
        <v>162</v>
      </c>
      <c r="F180" s="47">
        <f t="shared" ref="F180:O180" si="212">F145-E145</f>
        <v>-50</v>
      </c>
      <c r="G180" s="47">
        <f t="shared" si="212"/>
        <v>-225</v>
      </c>
      <c r="H180" s="47">
        <f t="shared" si="212"/>
        <v>0</v>
      </c>
      <c r="I180" s="47">
        <f t="shared" si="212"/>
        <v>0</v>
      </c>
      <c r="J180" s="47">
        <f t="shared" si="212"/>
        <v>0</v>
      </c>
      <c r="K180" s="47">
        <f t="shared" si="212"/>
        <v>0</v>
      </c>
      <c r="L180" s="47">
        <f t="shared" si="212"/>
        <v>0</v>
      </c>
      <c r="M180" s="47">
        <f t="shared" si="212"/>
        <v>0</v>
      </c>
      <c r="N180" s="47">
        <f t="shared" si="212"/>
        <v>0</v>
      </c>
      <c r="O180" s="47">
        <f t="shared" si="212"/>
        <v>0</v>
      </c>
    </row>
    <row r="181" spans="1:15" s="47" customFormat="1" ht="15" customHeight="1" x14ac:dyDescent="0.35">
      <c r="A181" s="11"/>
      <c r="B181" s="63" t="s">
        <v>226</v>
      </c>
      <c r="F181" s="47">
        <f>'3 Statement Model'!F146-'3 Statement Model'!E146</f>
        <v>0</v>
      </c>
      <c r="G181" s="47">
        <f>'3 Statement Model'!G146-'3 Statement Model'!F146</f>
        <v>0</v>
      </c>
      <c r="H181" s="47">
        <f>'3 Statement Model'!H146-'3 Statement Model'!G146</f>
        <v>0</v>
      </c>
      <c r="I181" s="47">
        <f>'3 Statement Model'!I146-'3 Statement Model'!H146</f>
        <v>0</v>
      </c>
      <c r="J181" s="47">
        <f>'3 Statement Model'!J146-'3 Statement Model'!I146</f>
        <v>0</v>
      </c>
      <c r="K181" s="47">
        <f>'3 Statement Model'!K146-'3 Statement Model'!J146</f>
        <v>0</v>
      </c>
      <c r="L181" s="47">
        <f>'3 Statement Model'!L146-'3 Statement Model'!K146</f>
        <v>0</v>
      </c>
      <c r="M181" s="47">
        <f>'3 Statement Model'!M146-'3 Statement Model'!L146</f>
        <v>0</v>
      </c>
      <c r="N181" s="47">
        <f>'3 Statement Model'!N146-'3 Statement Model'!M146</f>
        <v>0</v>
      </c>
      <c r="O181" s="47">
        <f>'3 Statement Model'!O146-'3 Statement Model'!N146</f>
        <v>0</v>
      </c>
    </row>
    <row r="182" spans="1:15" s="47" customFormat="1" ht="15" customHeight="1" x14ac:dyDescent="0.35">
      <c r="A182" s="11"/>
      <c r="B182" s="63" t="s">
        <v>163</v>
      </c>
      <c r="F182" s="47">
        <f t="shared" ref="F182:O182" si="213">F105</f>
        <v>-51.874086000000005</v>
      </c>
      <c r="G182" s="47">
        <f t="shared" si="213"/>
        <v>-57.061494600000017</v>
      </c>
      <c r="H182" s="47">
        <f t="shared" si="213"/>
        <v>-62.767644060000016</v>
      </c>
      <c r="I182" s="47">
        <f t="shared" si="213"/>
        <v>-69.044408466000021</v>
      </c>
      <c r="J182" s="47">
        <f t="shared" si="213"/>
        <v>-75.948849312600032</v>
      </c>
      <c r="K182" s="47">
        <f t="shared" si="213"/>
        <v>-83.543734243860044</v>
      </c>
      <c r="L182" s="47">
        <f t="shared" si="213"/>
        <v>-91.898107668246055</v>
      </c>
      <c r="M182" s="47">
        <f t="shared" si="213"/>
        <v>-101.08791843507068</v>
      </c>
      <c r="N182" s="47">
        <f t="shared" si="213"/>
        <v>-111.19671027857775</v>
      </c>
      <c r="O182" s="47">
        <f t="shared" si="213"/>
        <v>-122.31638130643555</v>
      </c>
    </row>
    <row r="183" spans="1:15" s="47" customFormat="1" ht="15" customHeight="1" x14ac:dyDescent="0.35">
      <c r="A183" s="11"/>
      <c r="B183" s="64" t="s">
        <v>164</v>
      </c>
      <c r="C183" s="50"/>
      <c r="D183" s="50"/>
      <c r="E183" s="50"/>
      <c r="F183" s="50">
        <f>SUM(F179:F182)</f>
        <v>-108.77408600000001</v>
      </c>
      <c r="G183" s="50">
        <f t="shared" ref="G183:O183" si="214">SUM(G179:G182)</f>
        <v>-282.0614946</v>
      </c>
      <c r="H183" s="50">
        <f t="shared" si="214"/>
        <v>-62.767644060000016</v>
      </c>
      <c r="I183" s="50">
        <f t="shared" si="214"/>
        <v>-69.044408466000021</v>
      </c>
      <c r="J183" s="50">
        <f t="shared" si="214"/>
        <v>-75.948849312600032</v>
      </c>
      <c r="K183" s="50">
        <f t="shared" si="214"/>
        <v>-83.543734243860044</v>
      </c>
      <c r="L183" s="50">
        <f t="shared" si="214"/>
        <v>-91.898107668246055</v>
      </c>
      <c r="M183" s="50">
        <f t="shared" si="214"/>
        <v>-101.08791843507068</v>
      </c>
      <c r="N183" s="50">
        <f t="shared" si="214"/>
        <v>-111.19671027857775</v>
      </c>
      <c r="O183" s="50">
        <f t="shared" si="214"/>
        <v>-122.31638130643555</v>
      </c>
    </row>
    <row r="184" spans="1:15" s="47" customFormat="1" ht="15" customHeight="1" x14ac:dyDescent="0.35">
      <c r="A184" s="11"/>
      <c r="B184" s="62"/>
    </row>
    <row r="185" spans="1:15" s="47" customFormat="1" ht="15" customHeight="1" x14ac:dyDescent="0.35">
      <c r="A185" s="11"/>
      <c r="B185" s="62" t="s">
        <v>165</v>
      </c>
      <c r="F185" s="47">
        <f>E187</f>
        <v>168</v>
      </c>
      <c r="G185" s="47">
        <f t="shared" ref="G185:O185" si="215">F187</f>
        <v>215.31029152301363</v>
      </c>
      <c r="H185" s="47">
        <f t="shared" si="215"/>
        <v>83.999577343107745</v>
      </c>
      <c r="I185" s="47">
        <f t="shared" si="215"/>
        <v>178.86278463657376</v>
      </c>
      <c r="J185" s="47">
        <f t="shared" si="215"/>
        <v>275.1768790770551</v>
      </c>
      <c r="K185" s="47">
        <f t="shared" si="215"/>
        <v>372.69175224124984</v>
      </c>
      <c r="L185" s="47">
        <f t="shared" si="215"/>
        <v>471.12126873323007</v>
      </c>
      <c r="M185" s="47">
        <f t="shared" si="215"/>
        <v>568.4048949408882</v>
      </c>
      <c r="N185" s="47">
        <f t="shared" si="215"/>
        <v>664.64631579402317</v>
      </c>
      <c r="O185" s="47">
        <f t="shared" si="215"/>
        <v>759.30272620442747</v>
      </c>
    </row>
    <row r="186" spans="1:15" s="47" customFormat="1" ht="15" customHeight="1" x14ac:dyDescent="0.35">
      <c r="A186" s="11"/>
      <c r="B186" s="62" t="s">
        <v>167</v>
      </c>
      <c r="F186" s="47">
        <f>SUM(F183,F176,F170)</f>
        <v>47.310291523013632</v>
      </c>
      <c r="G186" s="47">
        <f t="shared" ref="G186:O186" si="216">SUM(G183,G176,G170)</f>
        <v>-131.31071417990589</v>
      </c>
      <c r="H186" s="47">
        <f t="shared" si="216"/>
        <v>94.863207293466019</v>
      </c>
      <c r="I186" s="47">
        <f t="shared" si="216"/>
        <v>96.314094440481313</v>
      </c>
      <c r="J186" s="47">
        <f t="shared" si="216"/>
        <v>97.514873164194739</v>
      </c>
      <c r="K186" s="47">
        <f t="shared" si="216"/>
        <v>98.429516491980195</v>
      </c>
      <c r="L186" s="47">
        <f t="shared" si="216"/>
        <v>97.283626207658131</v>
      </c>
      <c r="M186" s="47">
        <f t="shared" si="216"/>
        <v>96.241420853134969</v>
      </c>
      <c r="N186" s="47">
        <f t="shared" si="216"/>
        <v>94.656410410404362</v>
      </c>
      <c r="O186" s="47">
        <f t="shared" si="216"/>
        <v>92.465915129090604</v>
      </c>
    </row>
    <row r="187" spans="1:15" s="47" customFormat="1" ht="15" customHeight="1" x14ac:dyDescent="0.35">
      <c r="A187" s="11"/>
      <c r="B187" s="62" t="s">
        <v>166</v>
      </c>
      <c r="E187" s="47">
        <f>E123</f>
        <v>168</v>
      </c>
      <c r="F187" s="47">
        <f>SUM(F185:F186)</f>
        <v>215.31029152301363</v>
      </c>
      <c r="G187" s="47">
        <f t="shared" ref="G187:O187" si="217">SUM(G185:G186)</f>
        <v>83.999577343107745</v>
      </c>
      <c r="H187" s="47">
        <f t="shared" si="217"/>
        <v>178.86278463657376</v>
      </c>
      <c r="I187" s="47">
        <f t="shared" si="217"/>
        <v>275.1768790770551</v>
      </c>
      <c r="J187" s="47">
        <f t="shared" si="217"/>
        <v>372.69175224124984</v>
      </c>
      <c r="K187" s="47">
        <f t="shared" si="217"/>
        <v>471.12126873323007</v>
      </c>
      <c r="L187" s="47">
        <f t="shared" si="217"/>
        <v>568.4048949408882</v>
      </c>
      <c r="M187" s="47">
        <f t="shared" si="217"/>
        <v>664.64631579402317</v>
      </c>
      <c r="N187" s="47">
        <f t="shared" si="217"/>
        <v>759.30272620442747</v>
      </c>
      <c r="O187" s="47">
        <f t="shared" si="217"/>
        <v>851.76864133351808</v>
      </c>
    </row>
    <row r="188" spans="1:15" s="47" customFormat="1" ht="15" customHeight="1" x14ac:dyDescent="0.35">
      <c r="A188" s="11"/>
      <c r="B188" s="62"/>
    </row>
    <row r="189" spans="1:15" ht="15" customHeight="1" x14ac:dyDescent="0.35">
      <c r="A189" s="11" t="s">
        <v>45</v>
      </c>
    </row>
    <row r="190" spans="1:15" ht="15" customHeight="1" x14ac:dyDescent="0.35">
      <c r="B190" t="s">
        <v>140</v>
      </c>
      <c r="F190" s="59">
        <v>0.01</v>
      </c>
      <c r="G190" s="59">
        <v>0.01</v>
      </c>
      <c r="H190" s="59">
        <v>0.01</v>
      </c>
      <c r="I190" s="59">
        <v>0.01</v>
      </c>
      <c r="J190" s="59">
        <v>0.01</v>
      </c>
      <c r="K190" s="59">
        <v>0.01</v>
      </c>
      <c r="L190" s="59">
        <v>0.01</v>
      </c>
      <c r="M190" s="59">
        <v>0.01</v>
      </c>
      <c r="N190" s="59">
        <v>0.01</v>
      </c>
      <c r="O190" s="59">
        <v>0.01</v>
      </c>
    </row>
    <row r="191" spans="1:15" s="47" customFormat="1" ht="15" customHeight="1" x14ac:dyDescent="0.35">
      <c r="A191" s="11"/>
      <c r="B191" s="47" t="s">
        <v>180</v>
      </c>
      <c r="F191" s="59">
        <v>0.05</v>
      </c>
      <c r="G191" s="59">
        <v>0.05</v>
      </c>
      <c r="H191" s="59">
        <v>0.05</v>
      </c>
      <c r="I191" s="59">
        <v>0.05</v>
      </c>
      <c r="J191" s="59">
        <v>0.05</v>
      </c>
      <c r="K191" s="59">
        <v>0.05</v>
      </c>
      <c r="L191" s="59">
        <v>0.05</v>
      </c>
      <c r="M191" s="59">
        <v>0.05</v>
      </c>
      <c r="N191" s="59">
        <v>0.05</v>
      </c>
      <c r="O191" s="59">
        <v>0.05</v>
      </c>
    </row>
    <row r="192" spans="1:15" ht="15" customHeight="1" x14ac:dyDescent="0.35">
      <c r="B192" t="s">
        <v>170</v>
      </c>
      <c r="F192" s="59">
        <v>0.05</v>
      </c>
      <c r="G192" s="59">
        <v>0.05</v>
      </c>
      <c r="H192" s="59">
        <v>0.05</v>
      </c>
      <c r="I192" s="59">
        <v>0.05</v>
      </c>
      <c r="J192" s="59">
        <v>0.05</v>
      </c>
      <c r="K192" s="59">
        <v>0.05</v>
      </c>
      <c r="L192" s="59">
        <v>0.05</v>
      </c>
      <c r="M192" s="59">
        <v>0.05</v>
      </c>
      <c r="N192" s="59">
        <v>0.05</v>
      </c>
      <c r="O192" s="59">
        <v>0.05</v>
      </c>
    </row>
    <row r="193" spans="1:15" s="47" customFormat="1" ht="15" customHeight="1" x14ac:dyDescent="0.35">
      <c r="A193" s="11"/>
      <c r="B193" s="47" t="s">
        <v>168</v>
      </c>
      <c r="F193" s="59">
        <v>0.06</v>
      </c>
      <c r="G193" s="59">
        <v>0.06</v>
      </c>
      <c r="H193" s="59">
        <v>0.06</v>
      </c>
      <c r="I193" s="59">
        <v>0.06</v>
      </c>
      <c r="J193" s="59">
        <v>0.06</v>
      </c>
      <c r="K193" s="59">
        <v>0.06</v>
      </c>
      <c r="L193" s="59">
        <v>0.06</v>
      </c>
      <c r="M193" s="59">
        <v>0.06</v>
      </c>
      <c r="N193" s="59">
        <v>0.06</v>
      </c>
      <c r="O193" s="59">
        <v>0.06</v>
      </c>
    </row>
    <row r="194" spans="1:15" ht="15" customHeight="1" x14ac:dyDescent="0.35">
      <c r="B194" t="s">
        <v>173</v>
      </c>
      <c r="F194" s="60">
        <v>0</v>
      </c>
      <c r="G194" s="60">
        <v>-225</v>
      </c>
      <c r="H194" s="60">
        <v>0</v>
      </c>
      <c r="I194" s="60">
        <v>0</v>
      </c>
      <c r="J194" s="60">
        <v>0</v>
      </c>
      <c r="K194" s="60">
        <v>0</v>
      </c>
      <c r="L194" s="60">
        <v>0</v>
      </c>
      <c r="M194" s="60">
        <v>0</v>
      </c>
      <c r="N194" s="60">
        <v>0</v>
      </c>
      <c r="O194" s="60">
        <v>0</v>
      </c>
    </row>
    <row r="195" spans="1:15" ht="15" customHeight="1" x14ac:dyDescent="0.35">
      <c r="B195" t="s">
        <v>174</v>
      </c>
      <c r="F195" s="60">
        <v>-50</v>
      </c>
      <c r="G195" s="60">
        <v>0</v>
      </c>
      <c r="H195" s="60">
        <v>0</v>
      </c>
      <c r="I195" s="60">
        <v>0</v>
      </c>
      <c r="J195" s="60">
        <v>0</v>
      </c>
      <c r="K195" s="60">
        <v>0</v>
      </c>
      <c r="L195" s="60">
        <v>0</v>
      </c>
      <c r="M195" s="60">
        <v>0</v>
      </c>
      <c r="N195" s="60">
        <v>0</v>
      </c>
      <c r="O195" s="60">
        <v>0</v>
      </c>
    </row>
    <row r="197" spans="1:15" ht="15" customHeight="1" x14ac:dyDescent="0.35">
      <c r="A197" s="11" t="s">
        <v>46</v>
      </c>
    </row>
    <row r="199" spans="1:15" ht="15" customHeight="1" x14ac:dyDescent="0.35">
      <c r="B199" t="s">
        <v>171</v>
      </c>
    </row>
    <row r="200" spans="1:15" ht="15" customHeight="1" x14ac:dyDescent="0.35">
      <c r="B200" t="s">
        <v>165</v>
      </c>
      <c r="F200">
        <f t="shared" ref="F200:O200" si="218">E123</f>
        <v>168</v>
      </c>
      <c r="G200" s="47">
        <f t="shared" si="218"/>
        <v>215.31029152301363</v>
      </c>
      <c r="H200" s="47">
        <f t="shared" si="218"/>
        <v>83.999577343107745</v>
      </c>
      <c r="I200" s="47">
        <f t="shared" si="218"/>
        <v>178.86278463657376</v>
      </c>
      <c r="J200" s="47">
        <f t="shared" si="218"/>
        <v>275.1768790770551</v>
      </c>
      <c r="K200" s="47">
        <f t="shared" si="218"/>
        <v>372.69175224124984</v>
      </c>
      <c r="L200" s="47">
        <f t="shared" si="218"/>
        <v>471.12126873323007</v>
      </c>
      <c r="M200" s="47">
        <f t="shared" si="218"/>
        <v>568.4048949408882</v>
      </c>
      <c r="N200" s="47">
        <f t="shared" si="218"/>
        <v>664.64631579402317</v>
      </c>
      <c r="O200" s="47">
        <f t="shared" si="218"/>
        <v>759.30272620442747</v>
      </c>
    </row>
    <row r="201" spans="1:15" ht="15" customHeight="1" x14ac:dyDescent="0.35">
      <c r="B201" t="s">
        <v>154</v>
      </c>
      <c r="F201">
        <f>F170</f>
        <v>246.11649552301367</v>
      </c>
      <c r="G201" s="47">
        <f t="shared" ref="G201:O201" si="219">G170</f>
        <v>245.77983300009416</v>
      </c>
      <c r="H201" s="47">
        <f t="shared" si="219"/>
        <v>257.25606856806604</v>
      </c>
      <c r="I201" s="47">
        <f t="shared" si="219"/>
        <v>269.81938151826336</v>
      </c>
      <c r="J201" s="47">
        <f t="shared" si="219"/>
        <v>283.01323463124794</v>
      </c>
      <c r="K201" s="47">
        <f t="shared" si="219"/>
        <v>296.87865566254538</v>
      </c>
      <c r="L201" s="47">
        <f t="shared" si="219"/>
        <v>308.92374914520917</v>
      </c>
      <c r="M201" s="47">
        <f t="shared" si="219"/>
        <v>322.15032458402442</v>
      </c>
      <c r="N201" s="47">
        <f t="shared" si="219"/>
        <v>336.00951478190046</v>
      </c>
      <c r="O201" s="47">
        <f t="shared" si="219"/>
        <v>350.54551613613285</v>
      </c>
    </row>
    <row r="202" spans="1:15" ht="15" customHeight="1" x14ac:dyDescent="0.35">
      <c r="B202" t="s">
        <v>160</v>
      </c>
      <c r="F202">
        <f>F176</f>
        <v>-90.032118000000011</v>
      </c>
      <c r="G202" s="47">
        <f t="shared" ref="G202:O202" si="220">G176</f>
        <v>-95.029052580000013</v>
      </c>
      <c r="H202" s="47">
        <f t="shared" si="220"/>
        <v>-99.625217214600013</v>
      </c>
      <c r="I202" s="47">
        <f t="shared" si="220"/>
        <v>-104.46087861178202</v>
      </c>
      <c r="J202" s="47">
        <f t="shared" si="220"/>
        <v>-109.54951215445315</v>
      </c>
      <c r="K202" s="47">
        <f t="shared" si="220"/>
        <v>-114.90540492670515</v>
      </c>
      <c r="L202" s="47">
        <f t="shared" si="220"/>
        <v>-119.742015269305</v>
      </c>
      <c r="M202" s="47">
        <f t="shared" si="220"/>
        <v>-124.82098529581876</v>
      </c>
      <c r="N202" s="47">
        <f t="shared" si="220"/>
        <v>-130.15639409291833</v>
      </c>
      <c r="O202" s="47">
        <f t="shared" si="220"/>
        <v>-135.7632197006067</v>
      </c>
    </row>
    <row r="203" spans="1:15" ht="15" customHeight="1" x14ac:dyDescent="0.35">
      <c r="B203" t="s">
        <v>136</v>
      </c>
      <c r="F203">
        <f>F182</f>
        <v>-51.874086000000005</v>
      </c>
      <c r="G203" s="47">
        <f t="shared" ref="G203:O203" si="221">G182</f>
        <v>-57.061494600000017</v>
      </c>
      <c r="H203" s="47">
        <f t="shared" si="221"/>
        <v>-62.767644060000016</v>
      </c>
      <c r="I203" s="47">
        <f t="shared" si="221"/>
        <v>-69.044408466000021</v>
      </c>
      <c r="J203" s="47">
        <f t="shared" si="221"/>
        <v>-75.948849312600032</v>
      </c>
      <c r="K203" s="47">
        <f t="shared" si="221"/>
        <v>-83.543734243860044</v>
      </c>
      <c r="L203" s="47">
        <f t="shared" si="221"/>
        <v>-91.898107668246055</v>
      </c>
      <c r="M203" s="47">
        <f t="shared" si="221"/>
        <v>-101.08791843507068</v>
      </c>
      <c r="N203" s="47">
        <f t="shared" si="221"/>
        <v>-111.19671027857775</v>
      </c>
      <c r="O203" s="47">
        <f t="shared" si="221"/>
        <v>-122.31638130643555</v>
      </c>
    </row>
    <row r="204" spans="1:15" ht="15" customHeight="1" x14ac:dyDescent="0.35">
      <c r="B204" t="s">
        <v>172</v>
      </c>
      <c r="F204">
        <f>SUM(F200:F203)</f>
        <v>272.21029152301367</v>
      </c>
      <c r="G204" s="47">
        <f t="shared" ref="G204:O204" si="222">SUM(G200:G203)</f>
        <v>308.99957734310777</v>
      </c>
      <c r="H204" s="47">
        <f t="shared" si="222"/>
        <v>178.86278463657379</v>
      </c>
      <c r="I204" s="47">
        <f t="shared" si="222"/>
        <v>275.17687907705499</v>
      </c>
      <c r="J204" s="47">
        <f t="shared" si="222"/>
        <v>372.69175224124979</v>
      </c>
      <c r="K204" s="47">
        <f t="shared" si="222"/>
        <v>471.12126873323007</v>
      </c>
      <c r="L204" s="47">
        <f t="shared" si="222"/>
        <v>568.40489494088808</v>
      </c>
      <c r="M204" s="47">
        <f t="shared" si="222"/>
        <v>664.64631579402317</v>
      </c>
      <c r="N204" s="47">
        <f t="shared" si="222"/>
        <v>759.30272620442747</v>
      </c>
      <c r="O204" s="47">
        <f t="shared" si="222"/>
        <v>851.76864133351808</v>
      </c>
    </row>
    <row r="205" spans="1:15" ht="15" customHeight="1" x14ac:dyDescent="0.35">
      <c r="G205" s="47"/>
      <c r="H205" s="47"/>
      <c r="I205" s="47"/>
      <c r="J205" s="47"/>
      <c r="K205" s="47"/>
      <c r="L205" s="47"/>
      <c r="M205" s="47"/>
      <c r="N205" s="47"/>
      <c r="O205" s="47"/>
    </row>
    <row r="206" spans="1:15" ht="15" customHeight="1" x14ac:dyDescent="0.35">
      <c r="B206" t="s">
        <v>176</v>
      </c>
      <c r="F206">
        <f>SUM(F194:F195)</f>
        <v>-50</v>
      </c>
      <c r="G206" s="47">
        <f t="shared" ref="G206:O206" si="223">SUM(G194:G195)</f>
        <v>-225</v>
      </c>
      <c r="H206" s="47">
        <f t="shared" si="223"/>
        <v>0</v>
      </c>
      <c r="I206" s="47">
        <f t="shared" si="223"/>
        <v>0</v>
      </c>
      <c r="J206" s="47">
        <f t="shared" si="223"/>
        <v>0</v>
      </c>
      <c r="K206" s="47">
        <f t="shared" si="223"/>
        <v>0</v>
      </c>
      <c r="L206" s="47">
        <f t="shared" si="223"/>
        <v>0</v>
      </c>
      <c r="M206" s="47">
        <f t="shared" si="223"/>
        <v>0</v>
      </c>
      <c r="N206" s="47">
        <f t="shared" si="223"/>
        <v>0</v>
      </c>
      <c r="O206" s="47">
        <f t="shared" si="223"/>
        <v>0</v>
      </c>
    </row>
    <row r="207" spans="1:15" ht="15" customHeight="1" x14ac:dyDescent="0.35">
      <c r="B207" s="65" t="s">
        <v>175</v>
      </c>
      <c r="F207">
        <f>F204+F206</f>
        <v>222.21029152301367</v>
      </c>
      <c r="G207" s="47">
        <f t="shared" ref="G207:O207" si="224">G204+G206</f>
        <v>83.999577343107774</v>
      </c>
      <c r="H207" s="47">
        <f t="shared" si="224"/>
        <v>178.86278463657379</v>
      </c>
      <c r="I207" s="47">
        <f t="shared" si="224"/>
        <v>275.17687907705499</v>
      </c>
      <c r="J207" s="47">
        <f t="shared" si="224"/>
        <v>372.69175224124979</v>
      </c>
      <c r="K207" s="47">
        <f t="shared" si="224"/>
        <v>471.12126873323007</v>
      </c>
      <c r="L207" s="47">
        <f t="shared" si="224"/>
        <v>568.40489494088808</v>
      </c>
      <c r="M207" s="47">
        <f t="shared" si="224"/>
        <v>664.64631579402317</v>
      </c>
      <c r="N207" s="47">
        <f t="shared" si="224"/>
        <v>759.30272620442747</v>
      </c>
      <c r="O207" s="47">
        <f t="shared" si="224"/>
        <v>851.76864133351808</v>
      </c>
    </row>
    <row r="208" spans="1:15" ht="15" customHeight="1" x14ac:dyDescent="0.35">
      <c r="G208" s="47"/>
      <c r="H208" s="47"/>
      <c r="I208" s="47"/>
      <c r="J208" s="47"/>
      <c r="K208" s="47"/>
      <c r="L208" s="47"/>
      <c r="M208" s="47"/>
      <c r="N208" s="47"/>
      <c r="O208" s="47"/>
    </row>
    <row r="209" spans="2:15" ht="15" customHeight="1" x14ac:dyDescent="0.35">
      <c r="B209" s="65" t="s">
        <v>182</v>
      </c>
      <c r="F209">
        <f>E211</f>
        <v>6.9</v>
      </c>
      <c r="G209" s="47">
        <f t="shared" ref="G209:O209" si="225">F211</f>
        <v>0</v>
      </c>
      <c r="H209" s="47">
        <f t="shared" si="225"/>
        <v>0</v>
      </c>
      <c r="I209" s="47">
        <f t="shared" si="225"/>
        <v>0</v>
      </c>
      <c r="J209" s="47">
        <f t="shared" si="225"/>
        <v>0</v>
      </c>
      <c r="K209" s="47">
        <f t="shared" si="225"/>
        <v>0</v>
      </c>
      <c r="L209" s="47">
        <f t="shared" si="225"/>
        <v>0</v>
      </c>
      <c r="M209" s="47">
        <f t="shared" si="225"/>
        <v>0</v>
      </c>
      <c r="N209" s="47">
        <f t="shared" si="225"/>
        <v>0</v>
      </c>
      <c r="O209" s="47">
        <f t="shared" si="225"/>
        <v>0</v>
      </c>
    </row>
    <row r="210" spans="2:15" ht="15" customHeight="1" x14ac:dyDescent="0.35">
      <c r="B210" s="65" t="s">
        <v>177</v>
      </c>
      <c r="F210">
        <f>-MIN(F207,F209)</f>
        <v>-6.9</v>
      </c>
      <c r="G210" s="47">
        <f t="shared" ref="G210:O210" si="226">-MIN(G207,G209)</f>
        <v>0</v>
      </c>
      <c r="H210" s="47">
        <f t="shared" si="226"/>
        <v>0</v>
      </c>
      <c r="I210" s="47">
        <f t="shared" si="226"/>
        <v>0</v>
      </c>
      <c r="J210" s="47">
        <f t="shared" si="226"/>
        <v>0</v>
      </c>
      <c r="K210" s="47">
        <f t="shared" si="226"/>
        <v>0</v>
      </c>
      <c r="L210" s="47">
        <f t="shared" si="226"/>
        <v>0</v>
      </c>
      <c r="M210" s="47">
        <f t="shared" si="226"/>
        <v>0</v>
      </c>
      <c r="N210" s="47">
        <f t="shared" si="226"/>
        <v>0</v>
      </c>
      <c r="O210" s="47">
        <f t="shared" si="226"/>
        <v>0</v>
      </c>
    </row>
    <row r="211" spans="2:15" ht="15" customHeight="1" x14ac:dyDescent="0.35">
      <c r="B211" s="65" t="s">
        <v>183</v>
      </c>
      <c r="E211">
        <f>E137</f>
        <v>6.9</v>
      </c>
      <c r="F211">
        <f>SUM(F209:F210)</f>
        <v>0</v>
      </c>
      <c r="G211" s="47">
        <f t="shared" ref="G211:O211" si="227">SUM(G209:G210)</f>
        <v>0</v>
      </c>
      <c r="H211" s="47">
        <f t="shared" si="227"/>
        <v>0</v>
      </c>
      <c r="I211" s="47">
        <f t="shared" si="227"/>
        <v>0</v>
      </c>
      <c r="J211" s="47">
        <f t="shared" si="227"/>
        <v>0</v>
      </c>
      <c r="K211" s="47">
        <f t="shared" si="227"/>
        <v>0</v>
      </c>
      <c r="L211" s="47">
        <f t="shared" si="227"/>
        <v>0</v>
      </c>
      <c r="M211" s="47">
        <f t="shared" si="227"/>
        <v>0</v>
      </c>
      <c r="N211" s="47">
        <f t="shared" si="227"/>
        <v>0</v>
      </c>
      <c r="O211" s="47">
        <f t="shared" si="227"/>
        <v>0</v>
      </c>
    </row>
    <row r="212" spans="2:15" ht="15" customHeight="1" x14ac:dyDescent="0.35">
      <c r="B212" s="65" t="s">
        <v>178</v>
      </c>
      <c r="F212" s="58">
        <f>F191</f>
        <v>0.05</v>
      </c>
      <c r="G212" s="58">
        <f t="shared" ref="G212:O212" si="228">G191</f>
        <v>0.05</v>
      </c>
      <c r="H212" s="58">
        <f t="shared" si="228"/>
        <v>0.05</v>
      </c>
      <c r="I212" s="58">
        <f t="shared" si="228"/>
        <v>0.05</v>
      </c>
      <c r="J212" s="58">
        <f t="shared" si="228"/>
        <v>0.05</v>
      </c>
      <c r="K212" s="58">
        <f t="shared" si="228"/>
        <v>0.05</v>
      </c>
      <c r="L212" s="58">
        <f t="shared" si="228"/>
        <v>0.05</v>
      </c>
      <c r="M212" s="58">
        <f t="shared" si="228"/>
        <v>0.05</v>
      </c>
      <c r="N212" s="58">
        <f t="shared" si="228"/>
        <v>0.05</v>
      </c>
      <c r="O212" s="58">
        <f t="shared" si="228"/>
        <v>0.05</v>
      </c>
    </row>
    <row r="213" spans="2:15" ht="15" customHeight="1" x14ac:dyDescent="0.35">
      <c r="B213" s="65" t="s">
        <v>56</v>
      </c>
      <c r="F213">
        <f>F212*(AVERAGE(E211:F211))</f>
        <v>0.17250000000000001</v>
      </c>
      <c r="G213" s="47">
        <f t="shared" ref="G213:O213" si="229">G212*(AVERAGE(F211:G211))</f>
        <v>0</v>
      </c>
      <c r="H213" s="47">
        <f t="shared" si="229"/>
        <v>0</v>
      </c>
      <c r="I213" s="47">
        <f t="shared" si="229"/>
        <v>0</v>
      </c>
      <c r="J213" s="47">
        <f t="shared" si="229"/>
        <v>0</v>
      </c>
      <c r="K213" s="47">
        <f t="shared" si="229"/>
        <v>0</v>
      </c>
      <c r="L213" s="47">
        <f t="shared" si="229"/>
        <v>0</v>
      </c>
      <c r="M213" s="47">
        <f t="shared" si="229"/>
        <v>0</v>
      </c>
      <c r="N213" s="47">
        <f t="shared" si="229"/>
        <v>0</v>
      </c>
      <c r="O213" s="47">
        <f t="shared" si="229"/>
        <v>0</v>
      </c>
    </row>
    <row r="214" spans="2:15" ht="15" customHeight="1" x14ac:dyDescent="0.35">
      <c r="B214" s="65"/>
      <c r="G214" s="47"/>
      <c r="H214" s="47"/>
      <c r="I214" s="47"/>
      <c r="J214" s="47"/>
      <c r="K214" s="47"/>
      <c r="L214" s="47"/>
      <c r="M214" s="47"/>
      <c r="N214" s="47"/>
      <c r="O214" s="47"/>
    </row>
    <row r="215" spans="2:15" ht="15" customHeight="1" x14ac:dyDescent="0.35">
      <c r="B215" s="65" t="s">
        <v>181</v>
      </c>
      <c r="F215">
        <f>E217</f>
        <v>225</v>
      </c>
      <c r="G215" s="47">
        <f t="shared" ref="G215:O215" si="230">F217</f>
        <v>225</v>
      </c>
      <c r="H215" s="47">
        <f t="shared" si="230"/>
        <v>0</v>
      </c>
      <c r="I215" s="47">
        <f t="shared" si="230"/>
        <v>0</v>
      </c>
      <c r="J215" s="47">
        <f t="shared" si="230"/>
        <v>0</v>
      </c>
      <c r="K215" s="47">
        <f t="shared" si="230"/>
        <v>0</v>
      </c>
      <c r="L215" s="47">
        <f t="shared" si="230"/>
        <v>0</v>
      </c>
      <c r="M215" s="47">
        <f t="shared" si="230"/>
        <v>0</v>
      </c>
      <c r="N215" s="47">
        <f t="shared" si="230"/>
        <v>0</v>
      </c>
      <c r="O215" s="47">
        <f t="shared" si="230"/>
        <v>0</v>
      </c>
    </row>
    <row r="216" spans="2:15" ht="15" customHeight="1" x14ac:dyDescent="0.35">
      <c r="B216" s="65" t="s">
        <v>179</v>
      </c>
      <c r="F216">
        <f>F194</f>
        <v>0</v>
      </c>
      <c r="G216" s="47">
        <f t="shared" ref="G216:O216" si="231">G194</f>
        <v>-225</v>
      </c>
      <c r="H216" s="47">
        <f t="shared" si="231"/>
        <v>0</v>
      </c>
      <c r="I216" s="47">
        <f t="shared" si="231"/>
        <v>0</v>
      </c>
      <c r="J216" s="47">
        <f t="shared" si="231"/>
        <v>0</v>
      </c>
      <c r="K216" s="47">
        <f t="shared" si="231"/>
        <v>0</v>
      </c>
      <c r="L216" s="47">
        <f t="shared" si="231"/>
        <v>0</v>
      </c>
      <c r="M216" s="47">
        <f t="shared" si="231"/>
        <v>0</v>
      </c>
      <c r="N216" s="47">
        <f t="shared" si="231"/>
        <v>0</v>
      </c>
      <c r="O216" s="47">
        <f t="shared" si="231"/>
        <v>0</v>
      </c>
    </row>
    <row r="217" spans="2:15" ht="15" customHeight="1" x14ac:dyDescent="0.35">
      <c r="B217" s="65" t="s">
        <v>184</v>
      </c>
      <c r="C217" s="66">
        <v>149.9</v>
      </c>
      <c r="D217" s="66">
        <v>225</v>
      </c>
      <c r="E217" s="66">
        <v>225</v>
      </c>
      <c r="F217">
        <f>SUM(F215:F216)</f>
        <v>225</v>
      </c>
      <c r="G217" s="47">
        <f t="shared" ref="G217:O217" si="232">SUM(G215:G216)</f>
        <v>0</v>
      </c>
      <c r="H217" s="47">
        <f t="shared" si="232"/>
        <v>0</v>
      </c>
      <c r="I217" s="47">
        <f t="shared" si="232"/>
        <v>0</v>
      </c>
      <c r="J217" s="47">
        <f t="shared" si="232"/>
        <v>0</v>
      </c>
      <c r="K217" s="47">
        <f t="shared" si="232"/>
        <v>0</v>
      </c>
      <c r="L217" s="47">
        <f t="shared" si="232"/>
        <v>0</v>
      </c>
      <c r="M217" s="47">
        <f t="shared" si="232"/>
        <v>0</v>
      </c>
      <c r="N217" s="47">
        <f t="shared" si="232"/>
        <v>0</v>
      </c>
      <c r="O217" s="47">
        <f t="shared" si="232"/>
        <v>0</v>
      </c>
    </row>
    <row r="218" spans="2:15" ht="15" customHeight="1" x14ac:dyDescent="0.35">
      <c r="B218" s="65" t="s">
        <v>178</v>
      </c>
      <c r="F218" s="58">
        <f>F192</f>
        <v>0.05</v>
      </c>
      <c r="G218" s="58">
        <f t="shared" ref="G218:O218" si="233">G192</f>
        <v>0.05</v>
      </c>
      <c r="H218" s="58">
        <f t="shared" si="233"/>
        <v>0.05</v>
      </c>
      <c r="I218" s="58">
        <f t="shared" si="233"/>
        <v>0.05</v>
      </c>
      <c r="J218" s="58">
        <f t="shared" si="233"/>
        <v>0.05</v>
      </c>
      <c r="K218" s="58">
        <f t="shared" si="233"/>
        <v>0.05</v>
      </c>
      <c r="L218" s="58">
        <f t="shared" si="233"/>
        <v>0.05</v>
      </c>
      <c r="M218" s="58">
        <f t="shared" si="233"/>
        <v>0.05</v>
      </c>
      <c r="N218" s="58">
        <f t="shared" si="233"/>
        <v>0.05</v>
      </c>
      <c r="O218" s="58">
        <f t="shared" si="233"/>
        <v>0.05</v>
      </c>
    </row>
    <row r="219" spans="2:15" ht="15" customHeight="1" x14ac:dyDescent="0.35">
      <c r="B219" s="65" t="s">
        <v>56</v>
      </c>
      <c r="F219" s="47">
        <f>F218*(AVERAGE(E217:F217))</f>
        <v>11.25</v>
      </c>
      <c r="G219" s="47">
        <f t="shared" ref="G219:O219" si="234">G218*(AVERAGE(F217:G217))</f>
        <v>5.625</v>
      </c>
      <c r="H219" s="47">
        <f t="shared" si="234"/>
        <v>0</v>
      </c>
      <c r="I219" s="47">
        <f t="shared" si="234"/>
        <v>0</v>
      </c>
      <c r="J219" s="47">
        <f t="shared" si="234"/>
        <v>0</v>
      </c>
      <c r="K219" s="47">
        <f t="shared" si="234"/>
        <v>0</v>
      </c>
      <c r="L219" s="47">
        <f t="shared" si="234"/>
        <v>0</v>
      </c>
      <c r="M219" s="47">
        <f t="shared" si="234"/>
        <v>0</v>
      </c>
      <c r="N219" s="47">
        <f t="shared" si="234"/>
        <v>0</v>
      </c>
      <c r="O219" s="47">
        <f t="shared" si="234"/>
        <v>0</v>
      </c>
    </row>
    <row r="220" spans="2:15" ht="15" customHeight="1" x14ac:dyDescent="0.35">
      <c r="G220" s="47"/>
      <c r="H220" s="47"/>
      <c r="I220" s="47"/>
      <c r="J220" s="47"/>
      <c r="K220" s="47"/>
      <c r="L220" s="47"/>
      <c r="M220" s="47"/>
      <c r="N220" s="47"/>
      <c r="O220" s="47"/>
    </row>
    <row r="221" spans="2:15" ht="15" customHeight="1" x14ac:dyDescent="0.35">
      <c r="B221" s="65" t="s">
        <v>185</v>
      </c>
      <c r="C221" s="47"/>
      <c r="D221" s="47"/>
      <c r="E221" s="47"/>
      <c r="F221" s="47">
        <f>E223</f>
        <v>50</v>
      </c>
      <c r="G221" s="47">
        <f t="shared" ref="G221:O221" si="235">F223</f>
        <v>0</v>
      </c>
      <c r="H221" s="47">
        <f t="shared" si="235"/>
        <v>0</v>
      </c>
      <c r="I221" s="47">
        <f t="shared" si="235"/>
        <v>0</v>
      </c>
      <c r="J221" s="47">
        <f t="shared" si="235"/>
        <v>0</v>
      </c>
      <c r="K221" s="47">
        <f t="shared" si="235"/>
        <v>0</v>
      </c>
      <c r="L221" s="47">
        <f t="shared" si="235"/>
        <v>0</v>
      </c>
      <c r="M221" s="47">
        <f t="shared" si="235"/>
        <v>0</v>
      </c>
      <c r="N221" s="47">
        <f t="shared" si="235"/>
        <v>0</v>
      </c>
      <c r="O221" s="47">
        <f t="shared" si="235"/>
        <v>0</v>
      </c>
    </row>
    <row r="222" spans="2:15" ht="15" customHeight="1" x14ac:dyDescent="0.35">
      <c r="B222" s="65" t="s">
        <v>179</v>
      </c>
      <c r="C222" s="47"/>
      <c r="D222" s="47"/>
      <c r="E222" s="47"/>
      <c r="F222" s="47">
        <f>F195</f>
        <v>-50</v>
      </c>
      <c r="G222" s="47">
        <f t="shared" ref="G222:O222" si="236">G195</f>
        <v>0</v>
      </c>
      <c r="H222" s="47">
        <f t="shared" si="236"/>
        <v>0</v>
      </c>
      <c r="I222" s="47">
        <f t="shared" si="236"/>
        <v>0</v>
      </c>
      <c r="J222" s="47">
        <f t="shared" si="236"/>
        <v>0</v>
      </c>
      <c r="K222" s="47">
        <f t="shared" si="236"/>
        <v>0</v>
      </c>
      <c r="L222" s="47">
        <f t="shared" si="236"/>
        <v>0</v>
      </c>
      <c r="M222" s="47">
        <f t="shared" si="236"/>
        <v>0</v>
      </c>
      <c r="N222" s="47">
        <f t="shared" si="236"/>
        <v>0</v>
      </c>
      <c r="O222" s="47">
        <f t="shared" si="236"/>
        <v>0</v>
      </c>
    </row>
    <row r="223" spans="2:15" ht="15" customHeight="1" x14ac:dyDescent="0.35">
      <c r="B223" s="65" t="s">
        <v>186</v>
      </c>
      <c r="C223" s="66">
        <v>50</v>
      </c>
      <c r="D223" s="66">
        <v>50</v>
      </c>
      <c r="E223" s="66">
        <v>50</v>
      </c>
      <c r="F223" s="47">
        <f>SUM(F221:F222)</f>
        <v>0</v>
      </c>
      <c r="G223" s="47">
        <f t="shared" ref="G223:O223" si="237">SUM(G221:G222)</f>
        <v>0</v>
      </c>
      <c r="H223" s="47">
        <f t="shared" si="237"/>
        <v>0</v>
      </c>
      <c r="I223" s="47">
        <f t="shared" si="237"/>
        <v>0</v>
      </c>
      <c r="J223" s="47">
        <f t="shared" si="237"/>
        <v>0</v>
      </c>
      <c r="K223" s="47">
        <f t="shared" si="237"/>
        <v>0</v>
      </c>
      <c r="L223" s="47">
        <f t="shared" si="237"/>
        <v>0</v>
      </c>
      <c r="M223" s="47">
        <f t="shared" si="237"/>
        <v>0</v>
      </c>
      <c r="N223" s="47">
        <f t="shared" si="237"/>
        <v>0</v>
      </c>
      <c r="O223" s="47">
        <f t="shared" si="237"/>
        <v>0</v>
      </c>
    </row>
    <row r="224" spans="2:15" ht="15" customHeight="1" x14ac:dyDescent="0.35">
      <c r="B224" s="65" t="s">
        <v>178</v>
      </c>
      <c r="C224" s="47"/>
      <c r="D224" s="47"/>
      <c r="E224" s="47"/>
      <c r="F224" s="58">
        <f>F193</f>
        <v>0.06</v>
      </c>
      <c r="G224" s="58">
        <f t="shared" ref="G224:O224" si="238">G193</f>
        <v>0.06</v>
      </c>
      <c r="H224" s="58">
        <f t="shared" si="238"/>
        <v>0.06</v>
      </c>
      <c r="I224" s="58">
        <f t="shared" si="238"/>
        <v>0.06</v>
      </c>
      <c r="J224" s="58">
        <f t="shared" si="238"/>
        <v>0.06</v>
      </c>
      <c r="K224" s="58">
        <f t="shared" si="238"/>
        <v>0.06</v>
      </c>
      <c r="L224" s="58">
        <f t="shared" si="238"/>
        <v>0.06</v>
      </c>
      <c r="M224" s="58">
        <f t="shared" si="238"/>
        <v>0.06</v>
      </c>
      <c r="N224" s="58">
        <f t="shared" si="238"/>
        <v>0.06</v>
      </c>
      <c r="O224" s="58">
        <f t="shared" si="238"/>
        <v>0.06</v>
      </c>
    </row>
    <row r="225" spans="1:15" ht="15" customHeight="1" x14ac:dyDescent="0.35">
      <c r="B225" s="65" t="s">
        <v>56</v>
      </c>
      <c r="C225" s="47"/>
      <c r="D225" s="47"/>
      <c r="E225" s="47"/>
      <c r="F225" s="47">
        <f>F224*(AVERAGE(E223:F223))</f>
        <v>1.5</v>
      </c>
      <c r="G225" s="47">
        <f t="shared" ref="G225:O225" si="239">G224*(AVERAGE(F223:G223))</f>
        <v>0</v>
      </c>
      <c r="H225" s="47">
        <f t="shared" si="239"/>
        <v>0</v>
      </c>
      <c r="I225" s="47">
        <f t="shared" si="239"/>
        <v>0</v>
      </c>
      <c r="J225" s="47">
        <f t="shared" si="239"/>
        <v>0</v>
      </c>
      <c r="K225" s="47">
        <f t="shared" si="239"/>
        <v>0</v>
      </c>
      <c r="L225" s="47">
        <f t="shared" si="239"/>
        <v>0</v>
      </c>
      <c r="M225" s="47">
        <f t="shared" si="239"/>
        <v>0</v>
      </c>
      <c r="N225" s="47">
        <f t="shared" si="239"/>
        <v>0</v>
      </c>
      <c r="O225" s="47">
        <f t="shared" si="239"/>
        <v>0</v>
      </c>
    </row>
    <row r="226" spans="1:15" ht="15" customHeight="1" x14ac:dyDescent="0.35">
      <c r="G226" s="47"/>
      <c r="H226" s="47"/>
      <c r="I226" s="47"/>
      <c r="J226" s="47"/>
      <c r="K226" s="47"/>
      <c r="L226" s="47"/>
      <c r="M226" s="47"/>
      <c r="N226" s="47"/>
      <c r="O226" s="47"/>
    </row>
    <row r="227" spans="1:15" ht="15" customHeight="1" x14ac:dyDescent="0.35">
      <c r="B227" s="67" t="s">
        <v>187</v>
      </c>
      <c r="C227" s="47">
        <f>C211</f>
        <v>0</v>
      </c>
      <c r="D227" s="47">
        <f>D211</f>
        <v>0</v>
      </c>
      <c r="E227">
        <f>E211</f>
        <v>6.9</v>
      </c>
      <c r="F227" s="47">
        <f>F211</f>
        <v>0</v>
      </c>
      <c r="G227" s="47">
        <f t="shared" ref="G227:O227" si="240">G211</f>
        <v>0</v>
      </c>
      <c r="H227" s="47">
        <f t="shared" si="240"/>
        <v>0</v>
      </c>
      <c r="I227" s="47">
        <f t="shared" si="240"/>
        <v>0</v>
      </c>
      <c r="J227" s="47">
        <f t="shared" si="240"/>
        <v>0</v>
      </c>
      <c r="K227" s="47">
        <f t="shared" si="240"/>
        <v>0</v>
      </c>
      <c r="L227" s="47">
        <f t="shared" si="240"/>
        <v>0</v>
      </c>
      <c r="M227" s="47">
        <f t="shared" si="240"/>
        <v>0</v>
      </c>
      <c r="N227" s="47">
        <f t="shared" si="240"/>
        <v>0</v>
      </c>
      <c r="O227" s="47">
        <f t="shared" si="240"/>
        <v>0</v>
      </c>
    </row>
    <row r="228" spans="1:15" ht="15" customHeight="1" x14ac:dyDescent="0.35">
      <c r="B228" s="67" t="s">
        <v>188</v>
      </c>
      <c r="C228" s="47">
        <f>SUM(C223,C217)</f>
        <v>199.9</v>
      </c>
      <c r="D228" s="47">
        <f>SUM(D223,D217)</f>
        <v>275</v>
      </c>
      <c r="E228">
        <f>SUM(E223,E217)</f>
        <v>275</v>
      </c>
      <c r="F228" s="47">
        <f>SUM(F223,F217)</f>
        <v>225</v>
      </c>
      <c r="G228" s="47">
        <f t="shared" ref="G228:O228" si="241">SUM(G223,G217)</f>
        <v>0</v>
      </c>
      <c r="H228" s="47">
        <f t="shared" si="241"/>
        <v>0</v>
      </c>
      <c r="I228" s="47">
        <f t="shared" si="241"/>
        <v>0</v>
      </c>
      <c r="J228" s="47">
        <f t="shared" si="241"/>
        <v>0</v>
      </c>
      <c r="K228" s="47">
        <f t="shared" si="241"/>
        <v>0</v>
      </c>
      <c r="L228" s="47">
        <f t="shared" si="241"/>
        <v>0</v>
      </c>
      <c r="M228" s="47">
        <f t="shared" si="241"/>
        <v>0</v>
      </c>
      <c r="N228" s="47">
        <f t="shared" si="241"/>
        <v>0</v>
      </c>
      <c r="O228" s="47">
        <f t="shared" si="241"/>
        <v>0</v>
      </c>
    </row>
    <row r="229" spans="1:15" s="47" customFormat="1" ht="15" customHeight="1" x14ac:dyDescent="0.35">
      <c r="A229" s="11"/>
      <c r="B229" s="67" t="s">
        <v>189</v>
      </c>
      <c r="F229" s="47">
        <f>SUM(F225,F219,F213)</f>
        <v>12.922499999999999</v>
      </c>
      <c r="G229" s="47">
        <f t="shared" ref="G229:O229" si="242">SUM(G225,G219,G213)</f>
        <v>5.625</v>
      </c>
      <c r="H229" s="47">
        <f t="shared" si="242"/>
        <v>0</v>
      </c>
      <c r="I229" s="47">
        <f t="shared" si="242"/>
        <v>0</v>
      </c>
      <c r="J229" s="47">
        <f t="shared" si="242"/>
        <v>0</v>
      </c>
      <c r="K229" s="47">
        <f t="shared" si="242"/>
        <v>0</v>
      </c>
      <c r="L229" s="47">
        <f t="shared" si="242"/>
        <v>0</v>
      </c>
      <c r="M229" s="47">
        <f t="shared" si="242"/>
        <v>0</v>
      </c>
      <c r="N229" s="47">
        <f t="shared" si="242"/>
        <v>0</v>
      </c>
      <c r="O229" s="47">
        <f t="shared" si="242"/>
        <v>0</v>
      </c>
    </row>
    <row r="230" spans="1:15" s="47" customFormat="1" ht="15" customHeight="1" x14ac:dyDescent="0.35">
      <c r="A230" s="11"/>
      <c r="B230" s="67"/>
    </row>
    <row r="231" spans="1:15" s="47" customFormat="1" ht="15" customHeight="1" x14ac:dyDescent="0.35">
      <c r="A231" s="11"/>
      <c r="B231" s="65" t="s">
        <v>213</v>
      </c>
      <c r="F231" s="47">
        <f>E233</f>
        <v>168</v>
      </c>
      <c r="G231" s="47">
        <f t="shared" ref="G231:O231" si="243">F233</f>
        <v>215.31029152301363</v>
      </c>
      <c r="H231" s="47">
        <f t="shared" si="243"/>
        <v>83.999577343107774</v>
      </c>
      <c r="I231" s="47">
        <f t="shared" si="243"/>
        <v>178.86278463657379</v>
      </c>
      <c r="J231" s="47">
        <f t="shared" si="243"/>
        <v>275.1768790770551</v>
      </c>
      <c r="K231" s="47">
        <f t="shared" si="243"/>
        <v>372.69175224124984</v>
      </c>
      <c r="L231" s="47">
        <f t="shared" si="243"/>
        <v>471.12126873323001</v>
      </c>
      <c r="M231" s="47">
        <f t="shared" si="243"/>
        <v>568.40489494088808</v>
      </c>
      <c r="N231" s="47">
        <f t="shared" si="243"/>
        <v>664.64631579402305</v>
      </c>
      <c r="O231" s="47">
        <f t="shared" si="243"/>
        <v>759.30272620442747</v>
      </c>
    </row>
    <row r="232" spans="1:15" s="47" customFormat="1" ht="15" customHeight="1" x14ac:dyDescent="0.35">
      <c r="A232" s="11"/>
      <c r="B232" s="65" t="s">
        <v>167</v>
      </c>
      <c r="F232" s="47">
        <f>F201+F202+F203+F210+F216+F222</f>
        <v>47.310291523013632</v>
      </c>
      <c r="G232" s="47">
        <f t="shared" ref="G232:O232" si="244">G201+G202+G203+G210+G216+G222</f>
        <v>-131.31071417990586</v>
      </c>
      <c r="H232" s="47">
        <f t="shared" si="244"/>
        <v>94.863207293466019</v>
      </c>
      <c r="I232" s="47">
        <f t="shared" si="244"/>
        <v>96.314094440481313</v>
      </c>
      <c r="J232" s="47">
        <f t="shared" si="244"/>
        <v>97.514873164194739</v>
      </c>
      <c r="K232" s="47">
        <f t="shared" si="244"/>
        <v>98.429516491980181</v>
      </c>
      <c r="L232" s="47">
        <f t="shared" si="244"/>
        <v>97.283626207658116</v>
      </c>
      <c r="M232" s="47">
        <f t="shared" si="244"/>
        <v>96.241420853134983</v>
      </c>
      <c r="N232" s="47">
        <f t="shared" si="244"/>
        <v>94.656410410404376</v>
      </c>
      <c r="O232" s="47">
        <f t="shared" si="244"/>
        <v>92.465915129090604</v>
      </c>
    </row>
    <row r="233" spans="1:15" s="47" customFormat="1" ht="15" customHeight="1" x14ac:dyDescent="0.35">
      <c r="A233" s="11"/>
      <c r="B233" s="65" t="s">
        <v>214</v>
      </c>
      <c r="E233" s="47">
        <f>E187</f>
        <v>168</v>
      </c>
      <c r="F233" s="47">
        <f>SUM(F231:F232)</f>
        <v>215.31029152301363</v>
      </c>
      <c r="G233" s="47">
        <f t="shared" ref="G233:O233" si="245">SUM(G231:G232)</f>
        <v>83.999577343107774</v>
      </c>
      <c r="H233" s="47">
        <f t="shared" si="245"/>
        <v>178.86278463657379</v>
      </c>
      <c r="I233" s="47">
        <f t="shared" si="245"/>
        <v>275.1768790770551</v>
      </c>
      <c r="J233" s="47">
        <f t="shared" si="245"/>
        <v>372.69175224124984</v>
      </c>
      <c r="K233" s="47">
        <f t="shared" si="245"/>
        <v>471.12126873323001</v>
      </c>
      <c r="L233" s="47">
        <f t="shared" si="245"/>
        <v>568.40489494088808</v>
      </c>
      <c r="M233" s="47">
        <f t="shared" si="245"/>
        <v>664.64631579402305</v>
      </c>
      <c r="N233" s="47">
        <f t="shared" si="245"/>
        <v>759.30272620442747</v>
      </c>
      <c r="O233" s="47">
        <f t="shared" si="245"/>
        <v>851.76864133351808</v>
      </c>
    </row>
    <row r="234" spans="1:15" s="47" customFormat="1" ht="15" customHeight="1" x14ac:dyDescent="0.35">
      <c r="A234" s="11"/>
      <c r="B234" s="65" t="s">
        <v>178</v>
      </c>
      <c r="F234" s="58">
        <f>F190</f>
        <v>0.01</v>
      </c>
      <c r="G234" s="58">
        <f t="shared" ref="G234:O234" si="246">G190</f>
        <v>0.01</v>
      </c>
      <c r="H234" s="58">
        <f t="shared" si="246"/>
        <v>0.01</v>
      </c>
      <c r="I234" s="58">
        <f t="shared" si="246"/>
        <v>0.01</v>
      </c>
      <c r="J234" s="58">
        <f t="shared" si="246"/>
        <v>0.01</v>
      </c>
      <c r="K234" s="58">
        <f t="shared" si="246"/>
        <v>0.01</v>
      </c>
      <c r="L234" s="58">
        <f t="shared" si="246"/>
        <v>0.01</v>
      </c>
      <c r="M234" s="58">
        <f t="shared" si="246"/>
        <v>0.01</v>
      </c>
      <c r="N234" s="58">
        <f t="shared" si="246"/>
        <v>0.01</v>
      </c>
      <c r="O234" s="58">
        <f t="shared" si="246"/>
        <v>0.01</v>
      </c>
    </row>
    <row r="235" spans="1:15" s="47" customFormat="1" ht="15" customHeight="1" x14ac:dyDescent="0.35">
      <c r="A235" s="11"/>
      <c r="B235" s="65" t="s">
        <v>215</v>
      </c>
      <c r="F235" s="47">
        <f>F234*(AVERAGE(E233:F233))</f>
        <v>1.9165514576150682</v>
      </c>
      <c r="G235" s="47">
        <f t="shared" ref="G235:O235" si="247">G234*(AVERAGE(F233:G233))</f>
        <v>1.496549344330607</v>
      </c>
      <c r="H235" s="47">
        <f t="shared" si="247"/>
        <v>1.3143118098984079</v>
      </c>
      <c r="I235" s="47">
        <f t="shared" si="247"/>
        <v>2.2701983185681445</v>
      </c>
      <c r="J235" s="47">
        <f t="shared" si="247"/>
        <v>3.2393431565915249</v>
      </c>
      <c r="K235" s="47">
        <f t="shared" si="247"/>
        <v>4.2190651048723993</v>
      </c>
      <c r="L235" s="47">
        <f t="shared" si="247"/>
        <v>5.197630818370591</v>
      </c>
      <c r="M235" s="47">
        <f t="shared" si="247"/>
        <v>6.1652560536745558</v>
      </c>
      <c r="N235" s="47">
        <f t="shared" si="247"/>
        <v>7.119745209992252</v>
      </c>
      <c r="O235" s="47">
        <f t="shared" si="247"/>
        <v>8.0553568376897289</v>
      </c>
    </row>
    <row r="236" spans="1:15" s="47" customFormat="1" ht="15" customHeight="1" x14ac:dyDescent="0.35">
      <c r="A236" s="11"/>
      <c r="B236" s="65"/>
    </row>
    <row r="237" spans="1:15" s="47" customFormat="1" ht="15" customHeight="1" x14ac:dyDescent="0.35">
      <c r="A237" s="11"/>
      <c r="B237" s="65" t="s">
        <v>216</v>
      </c>
      <c r="F237" s="47">
        <f t="shared" ref="F237:O237" si="248">F233-F123</f>
        <v>0</v>
      </c>
      <c r="G237" s="47">
        <f t="shared" si="248"/>
        <v>0</v>
      </c>
      <c r="H237" s="47">
        <f t="shared" si="248"/>
        <v>0</v>
      </c>
      <c r="I237" s="47">
        <f t="shared" si="248"/>
        <v>0</v>
      </c>
      <c r="J237" s="47">
        <f t="shared" si="248"/>
        <v>0</v>
      </c>
      <c r="K237" s="47">
        <f t="shared" si="248"/>
        <v>0</v>
      </c>
      <c r="L237" s="47">
        <f t="shared" si="248"/>
        <v>0</v>
      </c>
      <c r="M237" s="47">
        <f t="shared" si="248"/>
        <v>0</v>
      </c>
      <c r="N237" s="47">
        <f t="shared" si="248"/>
        <v>0</v>
      </c>
      <c r="O237" s="47">
        <f t="shared" si="248"/>
        <v>0</v>
      </c>
    </row>
    <row r="238" spans="1:15" s="47" customFormat="1" ht="15" customHeight="1" x14ac:dyDescent="0.35">
      <c r="A238" s="11"/>
      <c r="B238" s="67"/>
    </row>
    <row r="239" spans="1:15" ht="15" customHeight="1" x14ac:dyDescent="0.35">
      <c r="A239" s="11" t="s">
        <v>47</v>
      </c>
    </row>
    <row r="240" spans="1:15" ht="15" customHeight="1" x14ac:dyDescent="0.35">
      <c r="B240" s="65" t="str">
        <f>B41&amp;" growth"</f>
        <v>US growth</v>
      </c>
      <c r="D240" s="58">
        <f t="shared" ref="D240:O240" si="249">D41/C41-1</f>
        <v>2.8282350156795477E-2</v>
      </c>
      <c r="E240" s="58">
        <f t="shared" si="249"/>
        <v>7.3594568156970963E-2</v>
      </c>
      <c r="F240" s="58">
        <f t="shared" si="249"/>
        <v>6.0000000000000053E-2</v>
      </c>
      <c r="G240" s="58">
        <f t="shared" si="249"/>
        <v>5.0000000000000044E-2</v>
      </c>
      <c r="H240" s="58">
        <f t="shared" si="249"/>
        <v>4.0000000000000036E-2</v>
      </c>
      <c r="I240" s="58">
        <f t="shared" si="249"/>
        <v>4.0000000000000036E-2</v>
      </c>
      <c r="J240" s="58">
        <f t="shared" si="249"/>
        <v>4.0000000000000036E-2</v>
      </c>
      <c r="K240" s="58">
        <f t="shared" si="249"/>
        <v>4.0000000000000036E-2</v>
      </c>
      <c r="L240" s="58">
        <f t="shared" si="249"/>
        <v>3.0000000000000027E-2</v>
      </c>
      <c r="M240" s="58">
        <f t="shared" si="249"/>
        <v>3.0000000000000027E-2</v>
      </c>
      <c r="N240" s="58">
        <f t="shared" si="249"/>
        <v>3.0000000000000027E-2</v>
      </c>
      <c r="O240" s="58">
        <f t="shared" si="249"/>
        <v>3.0000000000000027E-2</v>
      </c>
    </row>
    <row r="241" spans="1:15" ht="15" customHeight="1" x14ac:dyDescent="0.35">
      <c r="B241" s="65" t="str">
        <f>B42&amp;" growth"</f>
        <v>International growth</v>
      </c>
      <c r="D241" s="58">
        <f t="shared" ref="D241:O241" si="250">D42/C42-1</f>
        <v>9.3861588165277787E-2</v>
      </c>
      <c r="E241" s="58">
        <f t="shared" si="250"/>
        <v>9.0315560391730276E-2</v>
      </c>
      <c r="F241" s="58">
        <f t="shared" si="250"/>
        <v>7.0000000000000062E-2</v>
      </c>
      <c r="G241" s="58">
        <f t="shared" si="250"/>
        <v>7.0000000000000062E-2</v>
      </c>
      <c r="H241" s="58">
        <f t="shared" si="250"/>
        <v>7.0000000000000062E-2</v>
      </c>
      <c r="I241" s="58">
        <f t="shared" si="250"/>
        <v>7.0000000000000062E-2</v>
      </c>
      <c r="J241" s="58">
        <f t="shared" si="250"/>
        <v>7.0000000000000062E-2</v>
      </c>
      <c r="K241" s="58">
        <f t="shared" si="250"/>
        <v>7.0000000000000062E-2</v>
      </c>
      <c r="L241" s="58">
        <f t="shared" si="250"/>
        <v>7.0000000000000062E-2</v>
      </c>
      <c r="M241" s="58">
        <f t="shared" si="250"/>
        <v>7.0000000000000062E-2</v>
      </c>
      <c r="N241" s="58">
        <f t="shared" si="250"/>
        <v>7.0000000000000062E-2</v>
      </c>
      <c r="O241" s="58">
        <f t="shared" si="250"/>
        <v>7.0000000000000062E-2</v>
      </c>
    </row>
    <row r="242" spans="1:15" ht="15" customHeight="1" x14ac:dyDescent="0.35">
      <c r="B242" s="65" t="str">
        <f>B43&amp;" growth"</f>
        <v>Total revenues growth</v>
      </c>
      <c r="D242" s="58">
        <f t="shared" ref="D242:O242" si="251">D43/C43-1</f>
        <v>4.5211131595118914E-2</v>
      </c>
      <c r="E242" s="58">
        <f t="shared" si="251"/>
        <v>7.8111876364858057E-2</v>
      </c>
      <c r="F242" s="58">
        <f t="shared" si="251"/>
        <v>6.2732159551262212E-2</v>
      </c>
      <c r="G242" s="58">
        <f t="shared" si="251"/>
        <v>5.5501688630717361E-2</v>
      </c>
      <c r="H242" s="58">
        <f t="shared" si="251"/>
        <v>4.8365889270870266E-2</v>
      </c>
      <c r="I242" s="58">
        <f t="shared" si="251"/>
        <v>4.8538528019122396E-2</v>
      </c>
      <c r="J242" s="58">
        <f t="shared" si="251"/>
        <v>4.8713294491639525E-2</v>
      </c>
      <c r="K242" s="58">
        <f t="shared" si="251"/>
        <v>4.8890156303943666E-2</v>
      </c>
      <c r="L242" s="58">
        <f t="shared" si="251"/>
        <v>4.2092104768135075E-2</v>
      </c>
      <c r="M242" s="58">
        <f t="shared" si="251"/>
        <v>4.2415939092814936E-2</v>
      </c>
      <c r="N242" s="58">
        <f t="shared" si="251"/>
        <v>4.2744485508225738E-2</v>
      </c>
      <c r="O242" s="58">
        <f t="shared" si="251"/>
        <v>4.307760403753691E-2</v>
      </c>
    </row>
    <row r="243" spans="1:15" s="47" customFormat="1" ht="15" customHeight="1" x14ac:dyDescent="0.35">
      <c r="A243" s="11"/>
      <c r="B243" s="65" t="s">
        <v>53</v>
      </c>
      <c r="C243" s="58">
        <f t="shared" ref="C243:O243" si="252">C45/C43</f>
        <v>0.40255464840663679</v>
      </c>
      <c r="D243" s="58">
        <f t="shared" si="252"/>
        <v>0.39219721149000503</v>
      </c>
      <c r="E243" s="58">
        <f t="shared" si="252"/>
        <v>0.38789342474291055</v>
      </c>
      <c r="F243" s="58">
        <f t="shared" si="252"/>
        <v>0.38</v>
      </c>
      <c r="G243" s="58">
        <f t="shared" si="252"/>
        <v>0.38</v>
      </c>
      <c r="H243" s="58">
        <f t="shared" si="252"/>
        <v>0.38</v>
      </c>
      <c r="I243" s="58">
        <f t="shared" si="252"/>
        <v>0.38000000000000006</v>
      </c>
      <c r="J243" s="58">
        <f t="shared" si="252"/>
        <v>0.37999999999999995</v>
      </c>
      <c r="K243" s="58">
        <f t="shared" si="252"/>
        <v>0.38000000000000006</v>
      </c>
      <c r="L243" s="58">
        <f t="shared" si="252"/>
        <v>0.38000000000000006</v>
      </c>
      <c r="M243" s="58">
        <f t="shared" si="252"/>
        <v>0.38</v>
      </c>
      <c r="N243" s="58">
        <f t="shared" si="252"/>
        <v>0.38</v>
      </c>
      <c r="O243" s="58">
        <f t="shared" si="252"/>
        <v>0.37999999999999995</v>
      </c>
    </row>
    <row r="244" spans="1:15" ht="15" customHeight="1" x14ac:dyDescent="0.35">
      <c r="B244" s="65" t="s">
        <v>191</v>
      </c>
      <c r="C244" s="58">
        <f t="shared" ref="C244:O244" si="253">C50/C43</f>
        <v>0.10973575629883237</v>
      </c>
      <c r="D244" s="58">
        <f t="shared" si="253"/>
        <v>0.1032252645724844</v>
      </c>
      <c r="E244" s="58">
        <f t="shared" si="253"/>
        <v>0.10735431598628858</v>
      </c>
      <c r="F244" s="58">
        <f t="shared" si="253"/>
        <v>9.9000000000000005E-2</v>
      </c>
      <c r="G244" s="58">
        <f t="shared" si="253"/>
        <v>9.9000000000000046E-2</v>
      </c>
      <c r="H244" s="58">
        <f t="shared" si="253"/>
        <v>9.9000000000000032E-2</v>
      </c>
      <c r="I244" s="58">
        <f t="shared" si="253"/>
        <v>9.9000000000000032E-2</v>
      </c>
      <c r="J244" s="58">
        <f t="shared" si="253"/>
        <v>9.8999999999999977E-2</v>
      </c>
      <c r="K244" s="58">
        <f t="shared" si="253"/>
        <v>9.9000000000000046E-2</v>
      </c>
      <c r="L244" s="58">
        <f t="shared" si="253"/>
        <v>9.9000000000000046E-2</v>
      </c>
      <c r="M244" s="58">
        <f t="shared" si="253"/>
        <v>9.9000000000000005E-2</v>
      </c>
      <c r="N244" s="58">
        <f t="shared" si="253"/>
        <v>9.8999999999999977E-2</v>
      </c>
      <c r="O244" s="58">
        <f t="shared" si="253"/>
        <v>9.8999999999999991E-2</v>
      </c>
    </row>
    <row r="245" spans="1:15" ht="15" customHeight="1" x14ac:dyDescent="0.35">
      <c r="B245" s="65" t="s">
        <v>192</v>
      </c>
      <c r="C245" s="58">
        <f t="shared" ref="C245:O245" si="254">C53/C43</f>
        <v>8.3882012114827445E-2</v>
      </c>
      <c r="D245" s="58">
        <f t="shared" si="254"/>
        <v>7.5130186460608039E-2</v>
      </c>
      <c r="E245" s="58">
        <f t="shared" si="254"/>
        <v>7.9269242754752278E-2</v>
      </c>
      <c r="F245" s="58">
        <f t="shared" si="254"/>
        <v>7.1410332499342075E-2</v>
      </c>
      <c r="G245" s="58">
        <f t="shared" si="254"/>
        <v>7.1537502329521857E-2</v>
      </c>
      <c r="H245" s="58">
        <f t="shared" si="254"/>
        <v>7.1384212467146602E-2</v>
      </c>
      <c r="I245" s="58">
        <f t="shared" si="254"/>
        <v>7.1288685161762511E-2</v>
      </c>
      <c r="J245" s="58">
        <f t="shared" si="254"/>
        <v>7.1236634242214339E-2</v>
      </c>
      <c r="K245" s="58">
        <f t="shared" si="254"/>
        <v>7.1217156789499927E-2</v>
      </c>
      <c r="L245" s="58">
        <f t="shared" si="254"/>
        <v>7.1035960270368986E-2</v>
      </c>
      <c r="M245" s="58">
        <f t="shared" si="254"/>
        <v>7.0917816108596363E-2</v>
      </c>
      <c r="N245" s="58">
        <f t="shared" si="254"/>
        <v>7.0847894435742617E-2</v>
      </c>
      <c r="O245" s="58">
        <f t="shared" si="254"/>
        <v>7.0814769404507566E-2</v>
      </c>
    </row>
    <row r="246" spans="1:15" ht="15" customHeight="1" x14ac:dyDescent="0.35">
      <c r="B246" s="65" t="s">
        <v>193</v>
      </c>
      <c r="C246" s="58">
        <f t="shared" ref="C246:O246" si="255">C62/C43</f>
        <v>5.4385040821701293E-2</v>
      </c>
      <c r="D246" s="58">
        <f t="shared" si="255"/>
        <v>5.3796405173861861E-2</v>
      </c>
      <c r="E246" s="58">
        <f t="shared" si="255"/>
        <v>6.2519476472421329E-2</v>
      </c>
      <c r="F246" s="58">
        <f t="shared" si="255"/>
        <v>5.824684198565673E-2</v>
      </c>
      <c r="G246" s="58">
        <f t="shared" si="255"/>
        <v>5.8598200175259123E-2</v>
      </c>
      <c r="H246" s="58">
        <f t="shared" si="255"/>
        <v>5.8712217900204332E-2</v>
      </c>
      <c r="I246" s="58">
        <f t="shared" si="255"/>
        <v>5.8845323191614965E-2</v>
      </c>
      <c r="J246" s="58">
        <f t="shared" si="255"/>
        <v>5.8686810295018696E-2</v>
      </c>
      <c r="K246" s="58">
        <f t="shared" si="255"/>
        <v>5.8559095917261064E-2</v>
      </c>
      <c r="L246" s="58">
        <f t="shared" si="255"/>
        <v>5.8323148523858191E-2</v>
      </c>
      <c r="M246" s="58">
        <f t="shared" si="255"/>
        <v>5.8140103696074724E-2</v>
      </c>
      <c r="N246" s="58">
        <f t="shared" si="255"/>
        <v>5.7998165691254329E-2</v>
      </c>
      <c r="O246" s="58">
        <f t="shared" si="255"/>
        <v>5.7888229844090311E-2</v>
      </c>
    </row>
    <row r="247" spans="1:15" ht="15" customHeight="1" x14ac:dyDescent="0.35">
      <c r="B247" s="67" t="s">
        <v>200</v>
      </c>
      <c r="C247" s="58">
        <f t="shared" ref="C247:O247" si="256">C62/C154</f>
        <v>0.20235178833904927</v>
      </c>
      <c r="D247" s="58">
        <f t="shared" si="256"/>
        <v>0.1842370199913704</v>
      </c>
      <c r="E247" s="58">
        <f t="shared" si="256"/>
        <v>0.2169505271695053</v>
      </c>
      <c r="F247" s="58">
        <f t="shared" si="256"/>
        <v>0.18765310901348148</v>
      </c>
      <c r="G247" s="58">
        <f t="shared" si="256"/>
        <v>0.17604584501675372</v>
      </c>
      <c r="H247" s="58">
        <f t="shared" si="256"/>
        <v>0.16518999869183912</v>
      </c>
      <c r="I247" s="58">
        <f t="shared" si="256"/>
        <v>0.15650229439819335</v>
      </c>
      <c r="J247" s="58">
        <f t="shared" si="256"/>
        <v>0.14882065591224153</v>
      </c>
      <c r="K247" s="58">
        <f t="shared" si="256"/>
        <v>0.14264238525218201</v>
      </c>
      <c r="L247" s="58">
        <f t="shared" si="256"/>
        <v>0.1366056328595579</v>
      </c>
      <c r="M247" s="58">
        <f t="shared" si="256"/>
        <v>0.13184067378120626</v>
      </c>
      <c r="N247" s="58">
        <f t="shared" si="256"/>
        <v>0.12811166064182808</v>
      </c>
      <c r="O247" s="58">
        <f t="shared" si="256"/>
        <v>0.12525148639967132</v>
      </c>
    </row>
    <row r="249" spans="1:15" ht="15" customHeight="1" x14ac:dyDescent="0.35">
      <c r="A249" s="11" t="s">
        <v>203</v>
      </c>
    </row>
    <row r="250" spans="1:15" s="47" customFormat="1" ht="15" customHeight="1" x14ac:dyDescent="0.35">
      <c r="A250" s="11"/>
      <c r="B250" s="67" t="s">
        <v>202</v>
      </c>
      <c r="C250" s="47">
        <f t="shared" ref="C250:O250" si="257">C128/C143</f>
        <v>1.2753435312418977</v>
      </c>
      <c r="D250" s="47">
        <f t="shared" si="257"/>
        <v>1.5596906718221362</v>
      </c>
      <c r="E250" s="47">
        <f t="shared" si="257"/>
        <v>1.459823399558499</v>
      </c>
      <c r="F250" s="47">
        <f t="shared" si="257"/>
        <v>1.5263017839401096</v>
      </c>
      <c r="G250" s="47">
        <f t="shared" si="257"/>
        <v>1.2441856003956437</v>
      </c>
      <c r="H250" s="47">
        <f t="shared" si="257"/>
        <v>1.4147451168662131</v>
      </c>
      <c r="I250" s="47">
        <f t="shared" si="257"/>
        <v>1.5717336223305378</v>
      </c>
      <c r="J250" s="47">
        <f t="shared" si="257"/>
        <v>1.7154130986363558</v>
      </c>
      <c r="K250" s="47">
        <f t="shared" si="257"/>
        <v>1.8460414014649826</v>
      </c>
      <c r="L250" s="47">
        <f t="shared" si="257"/>
        <v>1.967087138447718</v>
      </c>
      <c r="M250" s="47">
        <f t="shared" si="257"/>
        <v>2.0752298759171661</v>
      </c>
      <c r="N250" s="47">
        <f t="shared" si="257"/>
        <v>2.1704774896595009</v>
      </c>
      <c r="O250" s="47">
        <f t="shared" si="257"/>
        <v>2.2528464323838904</v>
      </c>
    </row>
    <row r="251" spans="1:15" ht="15" customHeight="1" x14ac:dyDescent="0.35">
      <c r="B251" s="65" t="s">
        <v>194</v>
      </c>
      <c r="C251">
        <f t="shared" ref="C251:O251" si="258">C120</f>
        <v>1.3999999999999773</v>
      </c>
      <c r="D251" s="47">
        <f t="shared" si="258"/>
        <v>19.100000000000023</v>
      </c>
      <c r="E251" s="47">
        <f t="shared" si="258"/>
        <v>47.199999999999989</v>
      </c>
      <c r="F251" s="47">
        <f t="shared" si="258"/>
        <v>37.896458136986325</v>
      </c>
      <c r="G251" s="47">
        <f t="shared" si="258"/>
        <v>39.999775556712336</v>
      </c>
      <c r="H251" s="47">
        <f t="shared" si="258"/>
        <v>41.934400272147855</v>
      </c>
      <c r="I251" s="47">
        <f t="shared" si="258"/>
        <v>43.969834334722577</v>
      </c>
      <c r="J251" s="47">
        <f t="shared" si="258"/>
        <v>46.111749823418563</v>
      </c>
      <c r="K251" s="47">
        <f t="shared" si="258"/>
        <v>48.366160479733935</v>
      </c>
      <c r="L251" s="47">
        <f t="shared" si="258"/>
        <v>50.401993973879257</v>
      </c>
      <c r="M251" s="47">
        <f t="shared" si="258"/>
        <v>52.539841880431823</v>
      </c>
      <c r="N251" s="47">
        <f t="shared" si="258"/>
        <v>54.785630390294386</v>
      </c>
      <c r="O251" s="47">
        <f t="shared" si="258"/>
        <v>57.145664083194333</v>
      </c>
    </row>
    <row r="252" spans="1:15" ht="15" customHeight="1" x14ac:dyDescent="0.35">
      <c r="B252" s="65" t="s">
        <v>195</v>
      </c>
      <c r="C252" s="58">
        <f t="shared" ref="C252:O252" si="259">C251/C43</f>
        <v>6.1452023527345156E-4</v>
      </c>
      <c r="D252" s="58">
        <f t="shared" si="259"/>
        <v>8.0211657987569393E-3</v>
      </c>
      <c r="E252" s="58">
        <f t="shared" si="259"/>
        <v>1.8385789965721405E-2</v>
      </c>
      <c r="F252" s="58">
        <f t="shared" si="259"/>
        <v>1.3890410958904118E-2</v>
      </c>
      <c r="G252" s="58">
        <f t="shared" si="259"/>
        <v>1.3890410958904111E-2</v>
      </c>
      <c r="H252" s="58">
        <f t="shared" si="259"/>
        <v>1.3890410958904078E-2</v>
      </c>
      <c r="I252" s="58">
        <f t="shared" si="259"/>
        <v>1.3890410958904075E-2</v>
      </c>
      <c r="J252" s="58">
        <f t="shared" si="259"/>
        <v>1.3890410958904087E-2</v>
      </c>
      <c r="K252" s="58">
        <f t="shared" si="259"/>
        <v>1.3890410958904115E-2</v>
      </c>
      <c r="L252" s="58">
        <f t="shared" si="259"/>
        <v>1.3890410958904094E-2</v>
      </c>
      <c r="M252" s="58">
        <f t="shared" si="259"/>
        <v>1.3890410958904115E-2</v>
      </c>
      <c r="N252" s="58">
        <f t="shared" si="259"/>
        <v>1.3890410958904108E-2</v>
      </c>
      <c r="O252" s="58">
        <f t="shared" si="259"/>
        <v>1.3890410958904108E-2</v>
      </c>
    </row>
    <row r="253" spans="1:15" ht="15" customHeight="1" x14ac:dyDescent="0.35">
      <c r="B253" s="65" t="s">
        <v>201</v>
      </c>
      <c r="C253" s="68">
        <f t="shared" ref="C253:O253" si="260">C43/C130</f>
        <v>7.241576605212968</v>
      </c>
      <c r="D253" s="68">
        <f t="shared" si="260"/>
        <v>7.1852745926372963</v>
      </c>
      <c r="E253" s="68">
        <f t="shared" si="260"/>
        <v>7.3643144004589773</v>
      </c>
      <c r="F253" s="68">
        <f t="shared" si="260"/>
        <v>7.3884003009494217</v>
      </c>
      <c r="G253" s="68">
        <f t="shared" si="260"/>
        <v>7.3685197232892499</v>
      </c>
      <c r="H253" s="68">
        <f t="shared" si="260"/>
        <v>7.3157920609406428</v>
      </c>
      <c r="I253" s="68">
        <f t="shared" si="260"/>
        <v>7.2769219098282436</v>
      </c>
      <c r="J253" s="68">
        <f t="shared" si="260"/>
        <v>7.2484244117634313</v>
      </c>
      <c r="K253" s="68">
        <f t="shared" si="260"/>
        <v>7.2277361946020555</v>
      </c>
      <c r="L253" s="68">
        <f t="shared" si="260"/>
        <v>7.1763437877744973</v>
      </c>
      <c r="M253" s="68">
        <f t="shared" si="260"/>
        <v>7.1390307265836448</v>
      </c>
      <c r="N253" s="68">
        <f t="shared" si="260"/>
        <v>7.1123367838646807</v>
      </c>
      <c r="O253" s="68">
        <f t="shared" si="260"/>
        <v>7.0937018665420384</v>
      </c>
    </row>
    <row r="254" spans="1:15" s="47" customFormat="1" ht="15" customHeight="1" x14ac:dyDescent="0.35">
      <c r="A254" s="11"/>
      <c r="B254" s="65" t="s">
        <v>204</v>
      </c>
      <c r="C254" s="58">
        <f t="shared" ref="C254:O254" si="261">C94/C43</f>
        <v>3.8319726099552281E-2</v>
      </c>
      <c r="D254" s="58">
        <f t="shared" si="261"/>
        <v>2.9648916512682682E-2</v>
      </c>
      <c r="E254" s="58">
        <f t="shared" si="261"/>
        <v>3.3421626674976626E-2</v>
      </c>
      <c r="F254" s="58">
        <f t="shared" si="261"/>
        <v>3.3000000000000002E-2</v>
      </c>
      <c r="G254" s="58">
        <f t="shared" si="261"/>
        <v>3.3000000000000002E-2</v>
      </c>
      <c r="H254" s="58">
        <f t="shared" si="261"/>
        <v>3.3000000000000002E-2</v>
      </c>
      <c r="I254" s="58">
        <f t="shared" si="261"/>
        <v>3.3000000000000002E-2</v>
      </c>
      <c r="J254" s="58">
        <f t="shared" si="261"/>
        <v>3.3000000000000002E-2</v>
      </c>
      <c r="K254" s="58">
        <f t="shared" si="261"/>
        <v>3.3000000000000002E-2</v>
      </c>
      <c r="L254" s="58">
        <f t="shared" si="261"/>
        <v>3.3000000000000002E-2</v>
      </c>
      <c r="M254" s="58">
        <f t="shared" si="261"/>
        <v>3.3000000000000002E-2</v>
      </c>
      <c r="N254" s="58">
        <f t="shared" si="261"/>
        <v>3.2999999999999995E-2</v>
      </c>
      <c r="O254" s="58">
        <f t="shared" si="261"/>
        <v>3.3000000000000002E-2</v>
      </c>
    </row>
    <row r="255" spans="1:15" s="47" customFormat="1" ht="15" customHeight="1" x14ac:dyDescent="0.35">
      <c r="A255" s="11"/>
      <c r="B255" s="65" t="s">
        <v>205</v>
      </c>
      <c r="C255" s="68">
        <f t="shared" ref="C255:O255" si="262">C94/C51*-1</f>
        <v>1.6502835538752363</v>
      </c>
      <c r="D255" s="68">
        <f t="shared" si="262"/>
        <v>1.1592775041050902</v>
      </c>
      <c r="E255" s="68">
        <f t="shared" si="262"/>
        <v>1.3019726858877085</v>
      </c>
      <c r="F255" s="68">
        <f t="shared" si="262"/>
        <v>1.2978276061892942</v>
      </c>
      <c r="G255" s="68">
        <f t="shared" si="262"/>
        <v>1.2932134512550246</v>
      </c>
      <c r="H255" s="68">
        <f t="shared" si="262"/>
        <v>1.2810143525951292</v>
      </c>
      <c r="I255" s="68">
        <f t="shared" si="262"/>
        <v>1.2720571089587867</v>
      </c>
      <c r="J255" s="68">
        <f t="shared" si="262"/>
        <v>1.2655093303712273</v>
      </c>
      <c r="K255" s="68">
        <f t="shared" si="262"/>
        <v>1.2607659973316161</v>
      </c>
      <c r="L255" s="68">
        <f t="shared" si="262"/>
        <v>1.2490196240375662</v>
      </c>
      <c r="M255" s="68">
        <f t="shared" si="262"/>
        <v>1.2405239191453907</v>
      </c>
      <c r="N255" s="68">
        <f t="shared" si="262"/>
        <v>1.234462826264437</v>
      </c>
      <c r="O255" s="68">
        <f t="shared" si="262"/>
        <v>1.2302398692638854</v>
      </c>
    </row>
    <row r="257" spans="1:15" s="47" customFormat="1" ht="15" customHeight="1" x14ac:dyDescent="0.35">
      <c r="A257" s="11" t="s">
        <v>206</v>
      </c>
    </row>
    <row r="258" spans="1:15" s="47" customFormat="1" ht="15" customHeight="1" x14ac:dyDescent="0.35">
      <c r="A258" s="11"/>
      <c r="B258" s="67" t="s">
        <v>153</v>
      </c>
      <c r="F258" s="47">
        <f t="shared" ref="F258:O258" si="263">F168</f>
        <v>236.81295366000001</v>
      </c>
      <c r="G258" s="47">
        <f t="shared" si="263"/>
        <v>247.88315041982017</v>
      </c>
      <c r="H258" s="47">
        <f t="shared" si="263"/>
        <v>259.19069328350156</v>
      </c>
      <c r="I258" s="47">
        <f t="shared" si="263"/>
        <v>271.85481558083808</v>
      </c>
      <c r="J258" s="47">
        <f t="shared" si="263"/>
        <v>285.15515011994393</v>
      </c>
      <c r="K258" s="47">
        <f t="shared" si="263"/>
        <v>299.13306631886076</v>
      </c>
      <c r="L258" s="47">
        <f t="shared" si="263"/>
        <v>310.95958263935449</v>
      </c>
      <c r="M258" s="47">
        <f t="shared" si="263"/>
        <v>324.28817249057698</v>
      </c>
      <c r="N258" s="47">
        <f t="shared" si="263"/>
        <v>338.25530329176303</v>
      </c>
      <c r="O258" s="47">
        <f t="shared" si="263"/>
        <v>352.90554982903279</v>
      </c>
    </row>
    <row r="259" spans="1:15" s="47" customFormat="1" ht="15" customHeight="1" x14ac:dyDescent="0.35">
      <c r="A259" s="11"/>
      <c r="B259" s="67" t="s">
        <v>207</v>
      </c>
      <c r="F259" s="47">
        <f>F170</f>
        <v>246.11649552301367</v>
      </c>
      <c r="G259" s="47">
        <f t="shared" ref="G259:O259" si="264">G170</f>
        <v>245.77983300009416</v>
      </c>
      <c r="H259" s="47">
        <f t="shared" si="264"/>
        <v>257.25606856806604</v>
      </c>
      <c r="I259" s="47">
        <f t="shared" si="264"/>
        <v>269.81938151826336</v>
      </c>
      <c r="J259" s="47">
        <f t="shared" si="264"/>
        <v>283.01323463124794</v>
      </c>
      <c r="K259" s="47">
        <f t="shared" si="264"/>
        <v>296.87865566254538</v>
      </c>
      <c r="L259" s="47">
        <f t="shared" si="264"/>
        <v>308.92374914520917</v>
      </c>
      <c r="M259" s="47">
        <f t="shared" si="264"/>
        <v>322.15032458402442</v>
      </c>
      <c r="N259" s="47">
        <f t="shared" si="264"/>
        <v>336.00951478190046</v>
      </c>
      <c r="O259" s="47">
        <f t="shared" si="264"/>
        <v>350.54551613613285</v>
      </c>
    </row>
    <row r="260" spans="1:15" s="47" customFormat="1" ht="15" customHeight="1" x14ac:dyDescent="0.35">
      <c r="A260" s="11"/>
      <c r="B260" s="67" t="s">
        <v>208</v>
      </c>
      <c r="F260" s="47">
        <f>F170+F176</f>
        <v>156.08437752301364</v>
      </c>
      <c r="G260" s="47">
        <f t="shared" ref="G260:O260" si="265">G170+G176</f>
        <v>150.75078042009415</v>
      </c>
      <c r="H260" s="47">
        <f t="shared" si="265"/>
        <v>157.63085135346603</v>
      </c>
      <c r="I260" s="47">
        <f t="shared" si="265"/>
        <v>165.35850290648133</v>
      </c>
      <c r="J260" s="47">
        <f t="shared" si="265"/>
        <v>173.46372247679477</v>
      </c>
      <c r="K260" s="47">
        <f t="shared" si="265"/>
        <v>181.97325073584022</v>
      </c>
      <c r="L260" s="47">
        <f t="shared" si="265"/>
        <v>189.18173387590417</v>
      </c>
      <c r="M260" s="47">
        <f t="shared" si="265"/>
        <v>197.32933928820566</v>
      </c>
      <c r="N260" s="47">
        <f t="shared" si="265"/>
        <v>205.85312068898213</v>
      </c>
      <c r="O260" s="47">
        <f t="shared" si="265"/>
        <v>214.78229643552615</v>
      </c>
    </row>
    <row r="261" spans="1:15" s="47" customFormat="1" ht="15" customHeight="1" x14ac:dyDescent="0.35">
      <c r="A261" s="11"/>
      <c r="B261" s="67" t="s">
        <v>209</v>
      </c>
      <c r="F261" s="47">
        <f>F260+F210+F216+F222</f>
        <v>99.184377523013637</v>
      </c>
      <c r="G261" s="47">
        <f t="shared" ref="G261:O261" si="266">G260+G210+G216+G222</f>
        <v>-74.249219579905855</v>
      </c>
      <c r="H261" s="47">
        <f t="shared" si="266"/>
        <v>157.63085135346603</v>
      </c>
      <c r="I261" s="47">
        <f t="shared" si="266"/>
        <v>165.35850290648133</v>
      </c>
      <c r="J261" s="47">
        <f t="shared" si="266"/>
        <v>173.46372247679477</v>
      </c>
      <c r="K261" s="47">
        <f t="shared" si="266"/>
        <v>181.97325073584022</v>
      </c>
      <c r="L261" s="47">
        <f t="shared" si="266"/>
        <v>189.18173387590417</v>
      </c>
      <c r="M261" s="47">
        <f t="shared" si="266"/>
        <v>197.32933928820566</v>
      </c>
      <c r="N261" s="47">
        <f t="shared" si="266"/>
        <v>205.85312068898213</v>
      </c>
      <c r="O261" s="47">
        <f t="shared" si="266"/>
        <v>214.78229643552615</v>
      </c>
    </row>
    <row r="262" spans="1:15" s="47" customFormat="1" ht="15" customHeight="1" x14ac:dyDescent="0.35">
      <c r="A262" s="11"/>
      <c r="B262" s="67" t="s">
        <v>210</v>
      </c>
      <c r="F262" s="47">
        <f>F260+F182</f>
        <v>104.21029152301364</v>
      </c>
      <c r="G262" s="47">
        <f t="shared" ref="G262:O262" si="267">G260+G182</f>
        <v>93.689285820094128</v>
      </c>
      <c r="H262" s="47">
        <f t="shared" si="267"/>
        <v>94.863207293466019</v>
      </c>
      <c r="I262" s="47">
        <f t="shared" si="267"/>
        <v>96.314094440481313</v>
      </c>
      <c r="J262" s="47">
        <f t="shared" si="267"/>
        <v>97.514873164194739</v>
      </c>
      <c r="K262" s="47">
        <f t="shared" si="267"/>
        <v>98.429516491980181</v>
      </c>
      <c r="L262" s="47">
        <f t="shared" si="267"/>
        <v>97.283626207658116</v>
      </c>
      <c r="M262" s="47">
        <f t="shared" si="267"/>
        <v>96.241420853134983</v>
      </c>
      <c r="N262" s="47">
        <f t="shared" si="267"/>
        <v>94.656410410404376</v>
      </c>
      <c r="O262" s="47">
        <f t="shared" si="267"/>
        <v>92.465915129090604</v>
      </c>
    </row>
    <row r="263" spans="1:15" s="47" customFormat="1" ht="15" customHeight="1" x14ac:dyDescent="0.35">
      <c r="A263" s="11"/>
    </row>
    <row r="264" spans="1:15" ht="15" customHeight="1" x14ac:dyDescent="0.35">
      <c r="A264" s="11" t="s">
        <v>48</v>
      </c>
      <c r="G264" s="47"/>
      <c r="H264" s="47"/>
      <c r="I264" s="47"/>
      <c r="J264" s="47"/>
      <c r="K264" s="47"/>
      <c r="L264" s="47"/>
      <c r="M264" s="47"/>
      <c r="N264" s="47"/>
      <c r="O264" s="47"/>
    </row>
    <row r="265" spans="1:15" ht="15" customHeight="1" x14ac:dyDescent="0.35">
      <c r="B265" s="65" t="s">
        <v>196</v>
      </c>
      <c r="C265" s="47">
        <f>SUM(C227:C228)</f>
        <v>199.9</v>
      </c>
      <c r="D265" s="47">
        <f>SUM(D227:D228)</f>
        <v>275</v>
      </c>
      <c r="E265" s="47">
        <f>SUM(E227:E228)</f>
        <v>281.89999999999998</v>
      </c>
      <c r="F265">
        <f>SUM(F227:F228)</f>
        <v>225</v>
      </c>
      <c r="G265" s="47">
        <f t="shared" ref="G265:O265" si="268">SUM(G227:G228)</f>
        <v>0</v>
      </c>
      <c r="H265" s="47">
        <f t="shared" si="268"/>
        <v>0</v>
      </c>
      <c r="I265" s="47">
        <f t="shared" si="268"/>
        <v>0</v>
      </c>
      <c r="J265" s="47">
        <f t="shared" si="268"/>
        <v>0</v>
      </c>
      <c r="K265" s="47">
        <f t="shared" si="268"/>
        <v>0</v>
      </c>
      <c r="L265" s="47">
        <f t="shared" si="268"/>
        <v>0</v>
      </c>
      <c r="M265" s="47">
        <f t="shared" si="268"/>
        <v>0</v>
      </c>
      <c r="N265" s="47">
        <f t="shared" si="268"/>
        <v>0</v>
      </c>
      <c r="O265" s="47">
        <f t="shared" si="268"/>
        <v>0</v>
      </c>
    </row>
    <row r="266" spans="1:15" s="47" customFormat="1" ht="15" customHeight="1" x14ac:dyDescent="0.35">
      <c r="A266" s="11"/>
      <c r="B266" s="65" t="s">
        <v>92</v>
      </c>
      <c r="C266" s="47">
        <f t="shared" ref="C266:O266" si="269">C50</f>
        <v>249.99999999999989</v>
      </c>
      <c r="D266" s="47">
        <f t="shared" si="269"/>
        <v>245.79999999999984</v>
      </c>
      <c r="E266" s="47">
        <f t="shared" si="269"/>
        <v>275.60000000000002</v>
      </c>
      <c r="F266" s="47">
        <f t="shared" si="269"/>
        <v>270.09635400000002</v>
      </c>
      <c r="G266" s="47">
        <f t="shared" si="269"/>
        <v>285.08715774000018</v>
      </c>
      <c r="H266" s="47">
        <f t="shared" si="269"/>
        <v>298.8756516438001</v>
      </c>
      <c r="I266" s="47">
        <f t="shared" si="269"/>
        <v>313.38263583534615</v>
      </c>
      <c r="J266" s="47">
        <f t="shared" si="269"/>
        <v>328.64853646335939</v>
      </c>
      <c r="K266" s="47">
        <f t="shared" si="269"/>
        <v>344.71621478011559</v>
      </c>
      <c r="L266" s="47">
        <f t="shared" si="269"/>
        <v>359.22604580791517</v>
      </c>
      <c r="M266" s="47">
        <f t="shared" si="269"/>
        <v>374.46295588745625</v>
      </c>
      <c r="N266" s="47">
        <f t="shared" si="269"/>
        <v>390.46918227875494</v>
      </c>
      <c r="O266" s="47">
        <f t="shared" si="269"/>
        <v>407.28965910182001</v>
      </c>
    </row>
    <row r="267" spans="1:15" ht="15" customHeight="1" x14ac:dyDescent="0.35">
      <c r="B267" s="65" t="s">
        <v>197</v>
      </c>
      <c r="C267" s="47">
        <f>C265-C123</f>
        <v>95.100000000000009</v>
      </c>
      <c r="D267" s="47">
        <f>D265-D123</f>
        <v>62.5</v>
      </c>
      <c r="E267" s="47">
        <f>E265-E123</f>
        <v>113.89999999999998</v>
      </c>
      <c r="F267" s="47">
        <f>F265-F233</f>
        <v>9.6897084769863682</v>
      </c>
      <c r="G267" s="47">
        <f t="shared" ref="G267:O267" si="270">G265-G233</f>
        <v>-83.999577343107774</v>
      </c>
      <c r="H267" s="47">
        <f t="shared" si="270"/>
        <v>-178.86278463657379</v>
      </c>
      <c r="I267" s="47">
        <f t="shared" si="270"/>
        <v>-275.1768790770551</v>
      </c>
      <c r="J267" s="47">
        <f t="shared" si="270"/>
        <v>-372.69175224124984</v>
      </c>
      <c r="K267" s="47">
        <f t="shared" si="270"/>
        <v>-471.12126873323001</v>
      </c>
      <c r="L267" s="47">
        <f t="shared" si="270"/>
        <v>-568.40489494088808</v>
      </c>
      <c r="M267" s="47">
        <f t="shared" si="270"/>
        <v>-664.64631579402305</v>
      </c>
      <c r="N267" s="47">
        <f t="shared" si="270"/>
        <v>-759.30272620442747</v>
      </c>
      <c r="O267" s="47">
        <f t="shared" si="270"/>
        <v>-851.76864133351808</v>
      </c>
    </row>
    <row r="268" spans="1:15" ht="15" customHeight="1" x14ac:dyDescent="0.35">
      <c r="B268" s="65" t="s">
        <v>198</v>
      </c>
      <c r="C268" s="68">
        <f t="shared" ref="C268:O268" si="271">C265/C50</f>
        <v>0.79960000000000042</v>
      </c>
      <c r="D268" s="68">
        <f t="shared" si="271"/>
        <v>1.1187957689178201</v>
      </c>
      <c r="E268" s="68">
        <f t="shared" si="271"/>
        <v>1.0228592162554424</v>
      </c>
      <c r="F268" s="68">
        <f t="shared" si="271"/>
        <v>0.83303605053476582</v>
      </c>
      <c r="G268" s="68">
        <f t="shared" si="271"/>
        <v>0</v>
      </c>
      <c r="H268" s="68">
        <f t="shared" si="271"/>
        <v>0</v>
      </c>
      <c r="I268" s="68">
        <f t="shared" si="271"/>
        <v>0</v>
      </c>
      <c r="J268" s="68">
        <f t="shared" si="271"/>
        <v>0</v>
      </c>
      <c r="K268" s="68">
        <f t="shared" si="271"/>
        <v>0</v>
      </c>
      <c r="L268" s="68">
        <f t="shared" si="271"/>
        <v>0</v>
      </c>
      <c r="M268" s="68">
        <f t="shared" si="271"/>
        <v>0</v>
      </c>
      <c r="N268" s="68">
        <f t="shared" si="271"/>
        <v>0</v>
      </c>
      <c r="O268" s="68">
        <f t="shared" si="271"/>
        <v>0</v>
      </c>
    </row>
    <row r="269" spans="1:15" ht="15" customHeight="1" x14ac:dyDescent="0.35">
      <c r="B269" s="65" t="s">
        <v>199</v>
      </c>
      <c r="C269" s="68">
        <f t="shared" ref="C269:O269" si="272">C267/C50</f>
        <v>0.38040000000000018</v>
      </c>
      <c r="D269" s="68">
        <f t="shared" si="272"/>
        <v>0.25427176566314091</v>
      </c>
      <c r="E269" s="68">
        <f t="shared" si="272"/>
        <v>0.41328011611030468</v>
      </c>
      <c r="F269" s="68">
        <f t="shared" si="272"/>
        <v>3.5875006580008729E-2</v>
      </c>
      <c r="G269" s="68">
        <f t="shared" si="272"/>
        <v>-0.29464525168024402</v>
      </c>
      <c r="H269" s="68">
        <f t="shared" si="272"/>
        <v>-0.59845217786339588</v>
      </c>
      <c r="I269" s="68">
        <f t="shared" si="272"/>
        <v>-0.87808591673737579</v>
      </c>
      <c r="J269" s="68">
        <f t="shared" si="272"/>
        <v>-1.1340131200699894</v>
      </c>
      <c r="K269" s="68">
        <f t="shared" si="272"/>
        <v>-1.3666930899486249</v>
      </c>
      <c r="L269" s="68">
        <f t="shared" si="272"/>
        <v>-1.5823042387211108</v>
      </c>
      <c r="M269" s="68">
        <f t="shared" si="272"/>
        <v>-1.7749320869906837</v>
      </c>
      <c r="N269" s="68">
        <f t="shared" si="272"/>
        <v>-1.9445906633993031</v>
      </c>
      <c r="O269" s="68">
        <f t="shared" si="272"/>
        <v>-2.0913092741217398</v>
      </c>
    </row>
    <row r="270" spans="1:15" s="47" customFormat="1" ht="15" customHeight="1" x14ac:dyDescent="0.35">
      <c r="A270" s="11"/>
      <c r="B270" s="65" t="s">
        <v>211</v>
      </c>
      <c r="C270" s="68">
        <f>C53/-C54</f>
        <v>12.572368421052625</v>
      </c>
      <c r="D270" s="68">
        <f>D53/-D54</f>
        <v>13.251851851851839</v>
      </c>
      <c r="E270" s="68">
        <f>E53/-E54</f>
        <v>16.81818181818182</v>
      </c>
      <c r="F270" s="69" t="str">
        <f t="shared" ref="F270:O270" si="273">IFERROR(F53/-F54,"n/a")</f>
        <v>n/a</v>
      </c>
      <c r="G270" s="69" t="str">
        <f t="shared" si="273"/>
        <v>n/a</v>
      </c>
      <c r="H270" s="69" t="str">
        <f t="shared" si="273"/>
        <v>n/a</v>
      </c>
      <c r="I270" s="69" t="str">
        <f t="shared" si="273"/>
        <v>n/a</v>
      </c>
      <c r="J270" s="69" t="str">
        <f t="shared" si="273"/>
        <v>n/a</v>
      </c>
      <c r="K270" s="69" t="str">
        <f t="shared" si="273"/>
        <v>n/a</v>
      </c>
      <c r="L270" s="69" t="str">
        <f t="shared" si="273"/>
        <v>n/a</v>
      </c>
      <c r="M270" s="69" t="str">
        <f t="shared" si="273"/>
        <v>n/a</v>
      </c>
      <c r="N270" s="69" t="str">
        <f t="shared" si="273"/>
        <v>n/a</v>
      </c>
      <c r="O270" s="69" t="str">
        <f t="shared" si="273"/>
        <v>n/a</v>
      </c>
    </row>
    <row r="271" spans="1:15" s="47" customFormat="1" ht="15" customHeight="1" x14ac:dyDescent="0.35">
      <c r="A271" s="11"/>
      <c r="B271" s="65" t="s">
        <v>212</v>
      </c>
      <c r="C271" s="68">
        <f>(C50-C94)/-C54</f>
        <v>10.703947368421044</v>
      </c>
      <c r="D271" s="68">
        <f>(D50-D94)/-D54</f>
        <v>12.977777777777767</v>
      </c>
      <c r="E271" s="68">
        <f>(E50-E94)/-E54</f>
        <v>15.685950413223141</v>
      </c>
      <c r="F271" s="69" t="str">
        <f t="shared" ref="F271:O271" si="274">IFERROR((F50-F94)/-F54,"n/a")</f>
        <v>n/a</v>
      </c>
      <c r="G271" s="69" t="str">
        <f t="shared" si="274"/>
        <v>n/a</v>
      </c>
      <c r="H271" s="69" t="str">
        <f t="shared" si="274"/>
        <v>n/a</v>
      </c>
      <c r="I271" s="69" t="str">
        <f t="shared" si="274"/>
        <v>n/a</v>
      </c>
      <c r="J271" s="69" t="str">
        <f t="shared" si="274"/>
        <v>n/a</v>
      </c>
      <c r="K271" s="69" t="str">
        <f t="shared" si="274"/>
        <v>n/a</v>
      </c>
      <c r="L271" s="69" t="str">
        <f t="shared" si="274"/>
        <v>n/a</v>
      </c>
      <c r="M271" s="69" t="str">
        <f t="shared" si="274"/>
        <v>n/a</v>
      </c>
      <c r="N271" s="69" t="str">
        <f t="shared" si="274"/>
        <v>n/a</v>
      </c>
      <c r="O271" s="69" t="str">
        <f t="shared" si="274"/>
        <v>n/a</v>
      </c>
    </row>
    <row r="272" spans="1:15" s="47" customFormat="1" ht="15" customHeight="1" x14ac:dyDescent="0.35">
      <c r="A272" s="11"/>
      <c r="B272" s="65"/>
    </row>
    <row r="273" spans="1:2" s="47" customFormat="1" ht="15" customHeight="1" x14ac:dyDescent="0.35">
      <c r="A273" s="11"/>
      <c r="B273" s="65"/>
    </row>
    <row r="275" spans="1:2" ht="15" customHeight="1" x14ac:dyDescent="0.35">
      <c r="A275" s="11" t="s">
        <v>49</v>
      </c>
    </row>
  </sheetData>
  <dataValidations count="1">
    <dataValidation type="list" allowBlank="1" showInputMessage="1" showErrorMessage="1" sqref="B5" xr:uid="{B445AB63-83DD-4D55-A9D4-78F56162BC14}">
      <formula1>$B$8:$B$10</formula1>
    </dataValidation>
  </dataValidation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153B6-9A7D-4B3B-948D-8EAC560C3ED0}">
  <dimension ref="A1:O40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4" sqref="A4"/>
    </sheetView>
  </sheetViews>
  <sheetFormatPr defaultColWidth="9.08984375" defaultRowHeight="15" customHeight="1" x14ac:dyDescent="0.35"/>
  <cols>
    <col min="1" max="1" width="1.6328125" style="11" customWidth="1"/>
    <col min="2" max="2" width="49.36328125" style="47" customWidth="1"/>
    <col min="3" max="15" width="11.6328125" style="47" customWidth="1"/>
    <col min="16" max="16384" width="9.08984375" style="47"/>
  </cols>
  <sheetData>
    <row r="1" spans="1:15" ht="45" customHeight="1" x14ac:dyDescent="0.65">
      <c r="A1" s="4" t="str">
        <f>Welcome!A2</f>
        <v>Debt Capacity Term Loan A</v>
      </c>
      <c r="B1" s="7"/>
      <c r="C1" s="49" t="s">
        <v>20</v>
      </c>
      <c r="D1" s="49" t="s">
        <v>20</v>
      </c>
      <c r="E1" s="49" t="s">
        <v>20</v>
      </c>
      <c r="F1" s="49" t="s">
        <v>21</v>
      </c>
      <c r="G1" s="49" t="s">
        <v>21</v>
      </c>
      <c r="H1" s="49" t="s">
        <v>21</v>
      </c>
      <c r="I1" s="49" t="s">
        <v>21</v>
      </c>
      <c r="J1" s="49" t="s">
        <v>21</v>
      </c>
      <c r="K1" s="49" t="s">
        <v>21</v>
      </c>
      <c r="L1" s="49" t="s">
        <v>21</v>
      </c>
      <c r="M1" s="49" t="s">
        <v>21</v>
      </c>
      <c r="N1" s="49" t="s">
        <v>21</v>
      </c>
      <c r="O1" s="49" t="s">
        <v>21</v>
      </c>
    </row>
    <row r="2" spans="1:15" ht="30" customHeight="1" x14ac:dyDescent="0.5">
      <c r="A2" s="10" t="str">
        <f>'3 Statement Model'!B5</f>
        <v>Bank case</v>
      </c>
      <c r="B2" s="6"/>
      <c r="C2" s="8" t="s">
        <v>22</v>
      </c>
      <c r="D2" s="8" t="s">
        <v>23</v>
      </c>
      <c r="E2" s="8" t="s">
        <v>24</v>
      </c>
      <c r="F2" s="8" t="s">
        <v>25</v>
      </c>
      <c r="G2" s="8" t="s">
        <v>26</v>
      </c>
      <c r="H2" s="8" t="s">
        <v>27</v>
      </c>
      <c r="I2" s="8" t="s">
        <v>28</v>
      </c>
      <c r="J2" s="8" t="s">
        <v>29</v>
      </c>
      <c r="K2" s="8" t="s">
        <v>30</v>
      </c>
      <c r="L2" s="8" t="s">
        <v>31</v>
      </c>
      <c r="M2" s="8" t="s">
        <v>32</v>
      </c>
      <c r="N2" s="8" t="s">
        <v>33</v>
      </c>
      <c r="O2" s="8" t="s">
        <v>34</v>
      </c>
    </row>
    <row r="3" spans="1:15" ht="15" customHeight="1" x14ac:dyDescent="0.35">
      <c r="A3" s="47"/>
    </row>
    <row r="4" spans="1:15" ht="15" customHeight="1" x14ac:dyDescent="0.35">
      <c r="A4" s="11" t="s">
        <v>47</v>
      </c>
    </row>
    <row r="5" spans="1:15" ht="15" customHeight="1" x14ac:dyDescent="0.35">
      <c r="B5" s="65" t="str">
        <f>'3 Statement Model'!B240</f>
        <v>US growth</v>
      </c>
      <c r="D5" s="58">
        <f>'3 Statement Model'!D240</f>
        <v>2.8282350156795477E-2</v>
      </c>
      <c r="E5" s="58">
        <f>'3 Statement Model'!E240</f>
        <v>7.3594568156970963E-2</v>
      </c>
      <c r="F5" s="74">
        <f>'3 Statement Model'!F240</f>
        <v>6.0000000000000053E-2</v>
      </c>
      <c r="G5" s="75">
        <f>'3 Statement Model'!G240</f>
        <v>5.0000000000000044E-2</v>
      </c>
      <c r="H5" s="75">
        <f>'3 Statement Model'!H240</f>
        <v>4.0000000000000036E-2</v>
      </c>
      <c r="I5" s="75">
        <f>'3 Statement Model'!I240</f>
        <v>4.0000000000000036E-2</v>
      </c>
      <c r="J5" s="75">
        <f>'3 Statement Model'!J240</f>
        <v>4.0000000000000036E-2</v>
      </c>
      <c r="K5" s="75">
        <f>'3 Statement Model'!K240</f>
        <v>4.0000000000000036E-2</v>
      </c>
      <c r="L5" s="75">
        <f>'3 Statement Model'!L240</f>
        <v>3.0000000000000027E-2</v>
      </c>
      <c r="M5" s="75">
        <f>'3 Statement Model'!M240</f>
        <v>3.0000000000000027E-2</v>
      </c>
      <c r="N5" s="75">
        <f>'3 Statement Model'!N240</f>
        <v>3.0000000000000027E-2</v>
      </c>
      <c r="O5" s="76">
        <f>'3 Statement Model'!O240</f>
        <v>3.0000000000000027E-2</v>
      </c>
    </row>
    <row r="6" spans="1:15" ht="15" customHeight="1" x14ac:dyDescent="0.35">
      <c r="B6" s="65" t="str">
        <f>'3 Statement Model'!B241</f>
        <v>International growth</v>
      </c>
      <c r="D6" s="58">
        <f>'3 Statement Model'!D241</f>
        <v>9.3861588165277787E-2</v>
      </c>
      <c r="E6" s="58">
        <f>'3 Statement Model'!E241</f>
        <v>9.0315560391730276E-2</v>
      </c>
      <c r="F6" s="77">
        <f>'3 Statement Model'!F241</f>
        <v>7.0000000000000062E-2</v>
      </c>
      <c r="G6" s="78">
        <f>'3 Statement Model'!G241</f>
        <v>7.0000000000000062E-2</v>
      </c>
      <c r="H6" s="78">
        <f>'3 Statement Model'!H241</f>
        <v>7.0000000000000062E-2</v>
      </c>
      <c r="I6" s="78">
        <f>'3 Statement Model'!I241</f>
        <v>7.0000000000000062E-2</v>
      </c>
      <c r="J6" s="78">
        <f>'3 Statement Model'!J241</f>
        <v>7.0000000000000062E-2</v>
      </c>
      <c r="K6" s="78">
        <f>'3 Statement Model'!K241</f>
        <v>7.0000000000000062E-2</v>
      </c>
      <c r="L6" s="78">
        <f>'3 Statement Model'!L241</f>
        <v>7.0000000000000062E-2</v>
      </c>
      <c r="M6" s="78">
        <f>'3 Statement Model'!M241</f>
        <v>7.0000000000000062E-2</v>
      </c>
      <c r="N6" s="78">
        <f>'3 Statement Model'!N241</f>
        <v>7.0000000000000062E-2</v>
      </c>
      <c r="O6" s="79">
        <f>'3 Statement Model'!O241</f>
        <v>7.0000000000000062E-2</v>
      </c>
    </row>
    <row r="7" spans="1:15" ht="15" customHeight="1" x14ac:dyDescent="0.35">
      <c r="B7" s="65" t="str">
        <f>'3 Statement Model'!B242</f>
        <v>Total revenues growth</v>
      </c>
      <c r="D7" s="58">
        <f>'3 Statement Model'!D242</f>
        <v>4.5211131595118914E-2</v>
      </c>
      <c r="E7" s="58">
        <f>'3 Statement Model'!E242</f>
        <v>7.8111876364858057E-2</v>
      </c>
      <c r="F7" s="77">
        <f>'3 Statement Model'!F242</f>
        <v>6.2732159551262212E-2</v>
      </c>
      <c r="G7" s="78">
        <f>'3 Statement Model'!G242</f>
        <v>5.5501688630717361E-2</v>
      </c>
      <c r="H7" s="78">
        <f>'3 Statement Model'!H242</f>
        <v>4.8365889270870266E-2</v>
      </c>
      <c r="I7" s="78">
        <f>'3 Statement Model'!I242</f>
        <v>4.8538528019122396E-2</v>
      </c>
      <c r="J7" s="78">
        <f>'3 Statement Model'!J242</f>
        <v>4.8713294491639525E-2</v>
      </c>
      <c r="K7" s="78">
        <f>'3 Statement Model'!K242</f>
        <v>4.8890156303943666E-2</v>
      </c>
      <c r="L7" s="78">
        <f>'3 Statement Model'!L242</f>
        <v>4.2092104768135075E-2</v>
      </c>
      <c r="M7" s="78">
        <f>'3 Statement Model'!M242</f>
        <v>4.2415939092814936E-2</v>
      </c>
      <c r="N7" s="78">
        <f>'3 Statement Model'!N242</f>
        <v>4.2744485508225738E-2</v>
      </c>
      <c r="O7" s="79">
        <f>'3 Statement Model'!O242</f>
        <v>4.307760403753691E-2</v>
      </c>
    </row>
    <row r="8" spans="1:15" ht="15" customHeight="1" x14ac:dyDescent="0.35">
      <c r="B8" s="65" t="s">
        <v>53</v>
      </c>
      <c r="C8" s="58">
        <f>'3 Statement Model'!C243</f>
        <v>0.40255464840663679</v>
      </c>
      <c r="D8" s="58">
        <f>'3 Statement Model'!D243</f>
        <v>0.39219721149000503</v>
      </c>
      <c r="E8" s="58">
        <f>'3 Statement Model'!E243</f>
        <v>0.38789342474291055</v>
      </c>
      <c r="F8" s="77">
        <f>'3 Statement Model'!F243</f>
        <v>0.38</v>
      </c>
      <c r="G8" s="78">
        <f>'3 Statement Model'!G243</f>
        <v>0.38</v>
      </c>
      <c r="H8" s="78">
        <f>'3 Statement Model'!H243</f>
        <v>0.38</v>
      </c>
      <c r="I8" s="78">
        <f>'3 Statement Model'!I243</f>
        <v>0.38000000000000006</v>
      </c>
      <c r="J8" s="78">
        <f>'3 Statement Model'!J243</f>
        <v>0.37999999999999995</v>
      </c>
      <c r="K8" s="78">
        <f>'3 Statement Model'!K243</f>
        <v>0.38000000000000006</v>
      </c>
      <c r="L8" s="78">
        <f>'3 Statement Model'!L243</f>
        <v>0.38000000000000006</v>
      </c>
      <c r="M8" s="78">
        <f>'3 Statement Model'!M243</f>
        <v>0.38</v>
      </c>
      <c r="N8" s="78">
        <f>'3 Statement Model'!N243</f>
        <v>0.38</v>
      </c>
      <c r="O8" s="79">
        <f>'3 Statement Model'!O243</f>
        <v>0.37999999999999995</v>
      </c>
    </row>
    <row r="9" spans="1:15" ht="15" customHeight="1" x14ac:dyDescent="0.35">
      <c r="B9" s="65" t="s">
        <v>191</v>
      </c>
      <c r="C9" s="58">
        <f>'3 Statement Model'!C244</f>
        <v>0.10973575629883237</v>
      </c>
      <c r="D9" s="58">
        <f>'3 Statement Model'!D244</f>
        <v>0.1032252645724844</v>
      </c>
      <c r="E9" s="58">
        <f>'3 Statement Model'!E244</f>
        <v>0.10735431598628858</v>
      </c>
      <c r="F9" s="77">
        <f>'3 Statement Model'!F244</f>
        <v>9.9000000000000005E-2</v>
      </c>
      <c r="G9" s="78">
        <f>'3 Statement Model'!G244</f>
        <v>9.9000000000000046E-2</v>
      </c>
      <c r="H9" s="78">
        <f>'3 Statement Model'!H244</f>
        <v>9.9000000000000032E-2</v>
      </c>
      <c r="I9" s="78">
        <f>'3 Statement Model'!I244</f>
        <v>9.9000000000000032E-2</v>
      </c>
      <c r="J9" s="78">
        <f>'3 Statement Model'!J244</f>
        <v>9.8999999999999977E-2</v>
      </c>
      <c r="K9" s="78">
        <f>'3 Statement Model'!K244</f>
        <v>9.9000000000000046E-2</v>
      </c>
      <c r="L9" s="78">
        <f>'3 Statement Model'!L244</f>
        <v>9.9000000000000046E-2</v>
      </c>
      <c r="M9" s="78">
        <f>'3 Statement Model'!M244</f>
        <v>9.9000000000000005E-2</v>
      </c>
      <c r="N9" s="78">
        <f>'3 Statement Model'!N244</f>
        <v>9.8999999999999977E-2</v>
      </c>
      <c r="O9" s="79">
        <f>'3 Statement Model'!O244</f>
        <v>9.8999999999999991E-2</v>
      </c>
    </row>
    <row r="10" spans="1:15" ht="15" customHeight="1" x14ac:dyDescent="0.35">
      <c r="B10" s="65" t="s">
        <v>192</v>
      </c>
      <c r="C10" s="58">
        <f>'3 Statement Model'!C245</f>
        <v>8.3882012114827445E-2</v>
      </c>
      <c r="D10" s="58">
        <f>'3 Statement Model'!D245</f>
        <v>7.5130186460608039E-2</v>
      </c>
      <c r="E10" s="58">
        <f>'3 Statement Model'!E245</f>
        <v>7.9269242754752278E-2</v>
      </c>
      <c r="F10" s="77">
        <f>'3 Statement Model'!F245</f>
        <v>7.1410332499342075E-2</v>
      </c>
      <c r="G10" s="78">
        <f>'3 Statement Model'!G245</f>
        <v>7.1537502329521857E-2</v>
      </c>
      <c r="H10" s="78">
        <f>'3 Statement Model'!H245</f>
        <v>7.1384212467146602E-2</v>
      </c>
      <c r="I10" s="78">
        <f>'3 Statement Model'!I245</f>
        <v>7.1288685161762511E-2</v>
      </c>
      <c r="J10" s="78">
        <f>'3 Statement Model'!J245</f>
        <v>7.1236634242214339E-2</v>
      </c>
      <c r="K10" s="78">
        <f>'3 Statement Model'!K245</f>
        <v>7.1217156789499927E-2</v>
      </c>
      <c r="L10" s="78">
        <f>'3 Statement Model'!L245</f>
        <v>7.1035960270368986E-2</v>
      </c>
      <c r="M10" s="78">
        <f>'3 Statement Model'!M245</f>
        <v>7.0917816108596363E-2</v>
      </c>
      <c r="N10" s="78">
        <f>'3 Statement Model'!N245</f>
        <v>7.0847894435742617E-2</v>
      </c>
      <c r="O10" s="79">
        <f>'3 Statement Model'!O245</f>
        <v>7.0814769404507566E-2</v>
      </c>
    </row>
    <row r="11" spans="1:15" ht="15" customHeight="1" x14ac:dyDescent="0.35">
      <c r="B11" s="65" t="s">
        <v>193</v>
      </c>
      <c r="C11" s="58">
        <f>'3 Statement Model'!C246</f>
        <v>5.4385040821701293E-2</v>
      </c>
      <c r="D11" s="58">
        <f>'3 Statement Model'!D246</f>
        <v>5.3796405173861861E-2</v>
      </c>
      <c r="E11" s="58">
        <f>'3 Statement Model'!E246</f>
        <v>6.2519476472421329E-2</v>
      </c>
      <c r="F11" s="77">
        <f>'3 Statement Model'!F246</f>
        <v>5.824684198565673E-2</v>
      </c>
      <c r="G11" s="78">
        <f>'3 Statement Model'!G246</f>
        <v>5.8598200175259123E-2</v>
      </c>
      <c r="H11" s="78">
        <f>'3 Statement Model'!H246</f>
        <v>5.8712217900204332E-2</v>
      </c>
      <c r="I11" s="78">
        <f>'3 Statement Model'!I246</f>
        <v>5.8845323191614965E-2</v>
      </c>
      <c r="J11" s="78">
        <f>'3 Statement Model'!J246</f>
        <v>5.8686810295018696E-2</v>
      </c>
      <c r="K11" s="78">
        <f>'3 Statement Model'!K246</f>
        <v>5.8559095917261064E-2</v>
      </c>
      <c r="L11" s="78">
        <f>'3 Statement Model'!L246</f>
        <v>5.8323148523858191E-2</v>
      </c>
      <c r="M11" s="78">
        <f>'3 Statement Model'!M246</f>
        <v>5.8140103696074724E-2</v>
      </c>
      <c r="N11" s="78">
        <f>'3 Statement Model'!N246</f>
        <v>5.7998165691254329E-2</v>
      </c>
      <c r="O11" s="79">
        <f>'3 Statement Model'!O246</f>
        <v>5.7888229844090311E-2</v>
      </c>
    </row>
    <row r="12" spans="1:15" ht="15" customHeight="1" x14ac:dyDescent="0.35">
      <c r="B12" s="67" t="s">
        <v>200</v>
      </c>
      <c r="C12" s="58">
        <f>'3 Statement Model'!C247</f>
        <v>0.20235178833904927</v>
      </c>
      <c r="D12" s="58">
        <f>'3 Statement Model'!D247</f>
        <v>0.1842370199913704</v>
      </c>
      <c r="E12" s="58">
        <f>'3 Statement Model'!E247</f>
        <v>0.2169505271695053</v>
      </c>
      <c r="F12" s="77">
        <f>'3 Statement Model'!F247</f>
        <v>0.18765310901348148</v>
      </c>
      <c r="G12" s="78">
        <f>'3 Statement Model'!G247</f>
        <v>0.17604584501675372</v>
      </c>
      <c r="H12" s="78">
        <f>'3 Statement Model'!H247</f>
        <v>0.16518999869183912</v>
      </c>
      <c r="I12" s="78">
        <f>'3 Statement Model'!I247</f>
        <v>0.15650229439819335</v>
      </c>
      <c r="J12" s="78">
        <f>'3 Statement Model'!J247</f>
        <v>0.14882065591224153</v>
      </c>
      <c r="K12" s="78">
        <f>'3 Statement Model'!K247</f>
        <v>0.14264238525218201</v>
      </c>
      <c r="L12" s="78">
        <f>'3 Statement Model'!L247</f>
        <v>0.1366056328595579</v>
      </c>
      <c r="M12" s="78">
        <f>'3 Statement Model'!M247</f>
        <v>0.13184067378120626</v>
      </c>
      <c r="N12" s="78">
        <f>'3 Statement Model'!N247</f>
        <v>0.12811166064182808</v>
      </c>
      <c r="O12" s="79">
        <f>'3 Statement Model'!O247</f>
        <v>0.12525148639967132</v>
      </c>
    </row>
    <row r="13" spans="1:15" ht="15" customHeight="1" x14ac:dyDescent="0.35">
      <c r="F13" s="80"/>
      <c r="G13" s="53"/>
      <c r="H13" s="53"/>
      <c r="I13" s="53"/>
      <c r="J13" s="53"/>
      <c r="K13" s="53"/>
      <c r="L13" s="53"/>
      <c r="M13" s="53"/>
      <c r="N13" s="53"/>
      <c r="O13" s="81"/>
    </row>
    <row r="14" spans="1:15" ht="15" customHeight="1" x14ac:dyDescent="0.35">
      <c r="A14" s="11" t="s">
        <v>203</v>
      </c>
      <c r="F14" s="80"/>
      <c r="G14" s="53"/>
      <c r="H14" s="53"/>
      <c r="I14" s="53"/>
      <c r="J14" s="53"/>
      <c r="K14" s="53"/>
      <c r="L14" s="53"/>
      <c r="M14" s="53"/>
      <c r="N14" s="53"/>
      <c r="O14" s="81"/>
    </row>
    <row r="15" spans="1:15" ht="15" customHeight="1" x14ac:dyDescent="0.35">
      <c r="B15" s="67" t="s">
        <v>202</v>
      </c>
      <c r="C15" s="47">
        <f>'3 Statement Model'!C250</f>
        <v>1.2753435312418977</v>
      </c>
      <c r="D15" s="47">
        <f>'3 Statement Model'!D250</f>
        <v>1.5596906718221362</v>
      </c>
      <c r="E15" s="47">
        <f>'3 Statement Model'!E250</f>
        <v>1.459823399558499</v>
      </c>
      <c r="F15" s="80">
        <f>'3 Statement Model'!F250</f>
        <v>1.5263017839401096</v>
      </c>
      <c r="G15" s="53">
        <f>'3 Statement Model'!G250</f>
        <v>1.2441856003956437</v>
      </c>
      <c r="H15" s="53">
        <f>'3 Statement Model'!H250</f>
        <v>1.4147451168662131</v>
      </c>
      <c r="I15" s="53">
        <f>'3 Statement Model'!I250</f>
        <v>1.5717336223305378</v>
      </c>
      <c r="J15" s="53">
        <f>'3 Statement Model'!J250</f>
        <v>1.7154130986363558</v>
      </c>
      <c r="K15" s="53">
        <f>'3 Statement Model'!K250</f>
        <v>1.8460414014649826</v>
      </c>
      <c r="L15" s="53">
        <f>'3 Statement Model'!L250</f>
        <v>1.967087138447718</v>
      </c>
      <c r="M15" s="53">
        <f>'3 Statement Model'!M250</f>
        <v>2.0752298759171661</v>
      </c>
      <c r="N15" s="53">
        <f>'3 Statement Model'!N250</f>
        <v>2.1704774896595009</v>
      </c>
      <c r="O15" s="81">
        <f>'3 Statement Model'!O250</f>
        <v>2.2528464323838904</v>
      </c>
    </row>
    <row r="16" spans="1:15" ht="15" customHeight="1" x14ac:dyDescent="0.35">
      <c r="B16" s="65" t="s">
        <v>194</v>
      </c>
      <c r="C16" s="47">
        <f>'3 Statement Model'!C251</f>
        <v>1.3999999999999773</v>
      </c>
      <c r="D16" s="47">
        <f>'3 Statement Model'!D251</f>
        <v>19.100000000000023</v>
      </c>
      <c r="E16" s="47">
        <f>'3 Statement Model'!E251</f>
        <v>47.199999999999989</v>
      </c>
      <c r="F16" s="80">
        <f>'3 Statement Model'!F251</f>
        <v>37.896458136986325</v>
      </c>
      <c r="G16" s="53">
        <f>'3 Statement Model'!G251</f>
        <v>39.999775556712336</v>
      </c>
      <c r="H16" s="53">
        <f>'3 Statement Model'!H251</f>
        <v>41.934400272147855</v>
      </c>
      <c r="I16" s="53">
        <f>'3 Statement Model'!I251</f>
        <v>43.969834334722577</v>
      </c>
      <c r="J16" s="53">
        <f>'3 Statement Model'!J251</f>
        <v>46.111749823418563</v>
      </c>
      <c r="K16" s="53">
        <f>'3 Statement Model'!K251</f>
        <v>48.366160479733935</v>
      </c>
      <c r="L16" s="53">
        <f>'3 Statement Model'!L251</f>
        <v>50.401993973879257</v>
      </c>
      <c r="M16" s="53">
        <f>'3 Statement Model'!M251</f>
        <v>52.539841880431823</v>
      </c>
      <c r="N16" s="53">
        <f>'3 Statement Model'!N251</f>
        <v>54.785630390294386</v>
      </c>
      <c r="O16" s="81">
        <f>'3 Statement Model'!O251</f>
        <v>57.145664083194333</v>
      </c>
    </row>
    <row r="17" spans="1:15" ht="15" customHeight="1" x14ac:dyDescent="0.35">
      <c r="B17" s="65" t="s">
        <v>195</v>
      </c>
      <c r="C17" s="58">
        <f>'3 Statement Model'!C252</f>
        <v>6.1452023527345156E-4</v>
      </c>
      <c r="D17" s="58">
        <f>'3 Statement Model'!D252</f>
        <v>8.0211657987569393E-3</v>
      </c>
      <c r="E17" s="58">
        <f>'3 Statement Model'!E252</f>
        <v>1.8385789965721405E-2</v>
      </c>
      <c r="F17" s="77">
        <f>'3 Statement Model'!F252</f>
        <v>1.3890410958904118E-2</v>
      </c>
      <c r="G17" s="78">
        <f>'3 Statement Model'!G252</f>
        <v>1.3890410958904111E-2</v>
      </c>
      <c r="H17" s="78">
        <f>'3 Statement Model'!H252</f>
        <v>1.3890410958904078E-2</v>
      </c>
      <c r="I17" s="78">
        <f>'3 Statement Model'!I252</f>
        <v>1.3890410958904075E-2</v>
      </c>
      <c r="J17" s="78">
        <f>'3 Statement Model'!J252</f>
        <v>1.3890410958904087E-2</v>
      </c>
      <c r="K17" s="78">
        <f>'3 Statement Model'!K252</f>
        <v>1.3890410958904115E-2</v>
      </c>
      <c r="L17" s="78">
        <f>'3 Statement Model'!L252</f>
        <v>1.3890410958904094E-2</v>
      </c>
      <c r="M17" s="78">
        <f>'3 Statement Model'!M252</f>
        <v>1.3890410958904115E-2</v>
      </c>
      <c r="N17" s="78">
        <f>'3 Statement Model'!N252</f>
        <v>1.3890410958904108E-2</v>
      </c>
      <c r="O17" s="79">
        <f>'3 Statement Model'!O252</f>
        <v>1.3890410958904108E-2</v>
      </c>
    </row>
    <row r="18" spans="1:15" ht="15" customHeight="1" x14ac:dyDescent="0.35">
      <c r="B18" s="65" t="s">
        <v>201</v>
      </c>
      <c r="C18" s="68">
        <f>'3 Statement Model'!C253</f>
        <v>7.241576605212968</v>
      </c>
      <c r="D18" s="68">
        <f>'3 Statement Model'!D253</f>
        <v>7.1852745926372963</v>
      </c>
      <c r="E18" s="68">
        <f>'3 Statement Model'!E253</f>
        <v>7.3643144004589773</v>
      </c>
      <c r="F18" s="82">
        <f>'3 Statement Model'!F253</f>
        <v>7.3884003009494217</v>
      </c>
      <c r="G18" s="83">
        <f>'3 Statement Model'!G253</f>
        <v>7.3685197232892499</v>
      </c>
      <c r="H18" s="83">
        <f>'3 Statement Model'!H253</f>
        <v>7.3157920609406428</v>
      </c>
      <c r="I18" s="83">
        <f>'3 Statement Model'!I253</f>
        <v>7.2769219098282436</v>
      </c>
      <c r="J18" s="83">
        <f>'3 Statement Model'!J253</f>
        <v>7.2484244117634313</v>
      </c>
      <c r="K18" s="83">
        <f>'3 Statement Model'!K253</f>
        <v>7.2277361946020555</v>
      </c>
      <c r="L18" s="83">
        <f>'3 Statement Model'!L253</f>
        <v>7.1763437877744973</v>
      </c>
      <c r="M18" s="83">
        <f>'3 Statement Model'!M253</f>
        <v>7.1390307265836448</v>
      </c>
      <c r="N18" s="83">
        <f>'3 Statement Model'!N253</f>
        <v>7.1123367838646807</v>
      </c>
      <c r="O18" s="84">
        <f>'3 Statement Model'!O253</f>
        <v>7.0937018665420384</v>
      </c>
    </row>
    <row r="19" spans="1:15" ht="15" customHeight="1" x14ac:dyDescent="0.35">
      <c r="B19" s="65" t="s">
        <v>204</v>
      </c>
      <c r="C19" s="58">
        <f>'3 Statement Model'!C254</f>
        <v>3.8319726099552281E-2</v>
      </c>
      <c r="D19" s="58">
        <f>'3 Statement Model'!D254</f>
        <v>2.9648916512682682E-2</v>
      </c>
      <c r="E19" s="58">
        <f>'3 Statement Model'!E254</f>
        <v>3.3421626674976626E-2</v>
      </c>
      <c r="F19" s="77">
        <f>'3 Statement Model'!F254</f>
        <v>3.3000000000000002E-2</v>
      </c>
      <c r="G19" s="78">
        <f>'3 Statement Model'!G254</f>
        <v>3.3000000000000002E-2</v>
      </c>
      <c r="H19" s="78">
        <f>'3 Statement Model'!H254</f>
        <v>3.3000000000000002E-2</v>
      </c>
      <c r="I19" s="78">
        <f>'3 Statement Model'!I254</f>
        <v>3.3000000000000002E-2</v>
      </c>
      <c r="J19" s="78">
        <f>'3 Statement Model'!J254</f>
        <v>3.3000000000000002E-2</v>
      </c>
      <c r="K19" s="78">
        <f>'3 Statement Model'!K254</f>
        <v>3.3000000000000002E-2</v>
      </c>
      <c r="L19" s="78">
        <f>'3 Statement Model'!L254</f>
        <v>3.3000000000000002E-2</v>
      </c>
      <c r="M19" s="78">
        <f>'3 Statement Model'!M254</f>
        <v>3.3000000000000002E-2</v>
      </c>
      <c r="N19" s="78">
        <f>'3 Statement Model'!N254</f>
        <v>3.2999999999999995E-2</v>
      </c>
      <c r="O19" s="79">
        <f>'3 Statement Model'!O254</f>
        <v>3.3000000000000002E-2</v>
      </c>
    </row>
    <row r="20" spans="1:15" ht="15" customHeight="1" x14ac:dyDescent="0.35">
      <c r="B20" s="65" t="s">
        <v>205</v>
      </c>
      <c r="C20" s="68">
        <f>'3 Statement Model'!C255</f>
        <v>1.6502835538752363</v>
      </c>
      <c r="D20" s="68">
        <f>'3 Statement Model'!D255</f>
        <v>1.1592775041050902</v>
      </c>
      <c r="E20" s="68">
        <f>'3 Statement Model'!E255</f>
        <v>1.3019726858877085</v>
      </c>
      <c r="F20" s="82">
        <f>'3 Statement Model'!F255</f>
        <v>1.2978276061892942</v>
      </c>
      <c r="G20" s="83">
        <f>'3 Statement Model'!G255</f>
        <v>1.2932134512550246</v>
      </c>
      <c r="H20" s="83">
        <f>'3 Statement Model'!H255</f>
        <v>1.2810143525951292</v>
      </c>
      <c r="I20" s="83">
        <f>'3 Statement Model'!I255</f>
        <v>1.2720571089587867</v>
      </c>
      <c r="J20" s="83">
        <f>'3 Statement Model'!J255</f>
        <v>1.2655093303712273</v>
      </c>
      <c r="K20" s="83">
        <f>'3 Statement Model'!K255</f>
        <v>1.2607659973316161</v>
      </c>
      <c r="L20" s="83">
        <f>'3 Statement Model'!L255</f>
        <v>1.2490196240375662</v>
      </c>
      <c r="M20" s="83">
        <f>'3 Statement Model'!M255</f>
        <v>1.2405239191453907</v>
      </c>
      <c r="N20" s="83">
        <f>'3 Statement Model'!N255</f>
        <v>1.234462826264437</v>
      </c>
      <c r="O20" s="84">
        <f>'3 Statement Model'!O255</f>
        <v>1.2302398692638854</v>
      </c>
    </row>
    <row r="21" spans="1:15" ht="15" customHeight="1" x14ac:dyDescent="0.35">
      <c r="F21" s="80"/>
      <c r="G21" s="53"/>
      <c r="H21" s="53"/>
      <c r="I21" s="53"/>
      <c r="J21" s="53"/>
      <c r="K21" s="53"/>
      <c r="L21" s="53"/>
      <c r="M21" s="53"/>
      <c r="N21" s="53"/>
      <c r="O21" s="81"/>
    </row>
    <row r="22" spans="1:15" ht="15" customHeight="1" x14ac:dyDescent="0.35">
      <c r="A22" s="11" t="s">
        <v>206</v>
      </c>
      <c r="F22" s="80"/>
      <c r="G22" s="53"/>
      <c r="H22" s="53"/>
      <c r="I22" s="53"/>
      <c r="J22" s="53"/>
      <c r="K22" s="53"/>
      <c r="L22" s="53"/>
      <c r="M22" s="53"/>
      <c r="N22" s="53"/>
      <c r="O22" s="81"/>
    </row>
    <row r="23" spans="1:15" ht="15" customHeight="1" x14ac:dyDescent="0.35">
      <c r="B23" s="67" t="s">
        <v>153</v>
      </c>
      <c r="F23" s="80">
        <f>'3 Statement Model'!F258</f>
        <v>236.81295366000001</v>
      </c>
      <c r="G23" s="53">
        <f>'3 Statement Model'!G258</f>
        <v>247.88315041982017</v>
      </c>
      <c r="H23" s="53">
        <f>'3 Statement Model'!H258</f>
        <v>259.19069328350156</v>
      </c>
      <c r="I23" s="53">
        <f>'3 Statement Model'!I258</f>
        <v>271.85481558083808</v>
      </c>
      <c r="J23" s="53">
        <f>'3 Statement Model'!J258</f>
        <v>285.15515011994393</v>
      </c>
      <c r="K23" s="53">
        <f>'3 Statement Model'!K258</f>
        <v>299.13306631886076</v>
      </c>
      <c r="L23" s="53">
        <f>'3 Statement Model'!L258</f>
        <v>310.95958263935449</v>
      </c>
      <c r="M23" s="53">
        <f>'3 Statement Model'!M258</f>
        <v>324.28817249057698</v>
      </c>
      <c r="N23" s="53">
        <f>'3 Statement Model'!N258</f>
        <v>338.25530329176303</v>
      </c>
      <c r="O23" s="81">
        <f>'3 Statement Model'!O258</f>
        <v>352.90554982903279</v>
      </c>
    </row>
    <row r="24" spans="1:15" ht="15" customHeight="1" x14ac:dyDescent="0.35">
      <c r="B24" s="67" t="s">
        <v>207</v>
      </c>
      <c r="F24" s="80">
        <f>'3 Statement Model'!F259</f>
        <v>246.11649552301367</v>
      </c>
      <c r="G24" s="53">
        <f>'3 Statement Model'!G259</f>
        <v>245.77983300009416</v>
      </c>
      <c r="H24" s="53">
        <f>'3 Statement Model'!H259</f>
        <v>257.25606856806604</v>
      </c>
      <c r="I24" s="53">
        <f>'3 Statement Model'!I259</f>
        <v>269.81938151826336</v>
      </c>
      <c r="J24" s="53">
        <f>'3 Statement Model'!J259</f>
        <v>283.01323463124794</v>
      </c>
      <c r="K24" s="53">
        <f>'3 Statement Model'!K259</f>
        <v>296.87865566254538</v>
      </c>
      <c r="L24" s="53">
        <f>'3 Statement Model'!L259</f>
        <v>308.92374914520917</v>
      </c>
      <c r="M24" s="53">
        <f>'3 Statement Model'!M259</f>
        <v>322.15032458402442</v>
      </c>
      <c r="N24" s="53">
        <f>'3 Statement Model'!N259</f>
        <v>336.00951478190046</v>
      </c>
      <c r="O24" s="81">
        <f>'3 Statement Model'!O259</f>
        <v>350.54551613613285</v>
      </c>
    </row>
    <row r="25" spans="1:15" ht="15" customHeight="1" x14ac:dyDescent="0.35">
      <c r="B25" s="67" t="s">
        <v>208</v>
      </c>
      <c r="F25" s="80">
        <f>'3 Statement Model'!F260</f>
        <v>156.08437752301364</v>
      </c>
      <c r="G25" s="53">
        <f>'3 Statement Model'!G260</f>
        <v>150.75078042009415</v>
      </c>
      <c r="H25" s="53">
        <f>'3 Statement Model'!H260</f>
        <v>157.63085135346603</v>
      </c>
      <c r="I25" s="53">
        <f>'3 Statement Model'!I260</f>
        <v>165.35850290648133</v>
      </c>
      <c r="J25" s="53">
        <f>'3 Statement Model'!J260</f>
        <v>173.46372247679477</v>
      </c>
      <c r="K25" s="53">
        <f>'3 Statement Model'!K260</f>
        <v>181.97325073584022</v>
      </c>
      <c r="L25" s="53">
        <f>'3 Statement Model'!L260</f>
        <v>189.18173387590417</v>
      </c>
      <c r="M25" s="53">
        <f>'3 Statement Model'!M260</f>
        <v>197.32933928820566</v>
      </c>
      <c r="N25" s="53">
        <f>'3 Statement Model'!N260</f>
        <v>205.85312068898213</v>
      </c>
      <c r="O25" s="81">
        <f>'3 Statement Model'!O260</f>
        <v>214.78229643552615</v>
      </c>
    </row>
    <row r="26" spans="1:15" ht="15" customHeight="1" x14ac:dyDescent="0.35">
      <c r="B26" s="67" t="s">
        <v>209</v>
      </c>
      <c r="F26" s="80">
        <f>'3 Statement Model'!F261</f>
        <v>99.184377523013637</v>
      </c>
      <c r="G26" s="53">
        <f>'3 Statement Model'!G261</f>
        <v>-74.249219579905855</v>
      </c>
      <c r="H26" s="53">
        <f>'3 Statement Model'!H261</f>
        <v>157.63085135346603</v>
      </c>
      <c r="I26" s="53">
        <f>'3 Statement Model'!I261</f>
        <v>165.35850290648133</v>
      </c>
      <c r="J26" s="53">
        <f>'3 Statement Model'!J261</f>
        <v>173.46372247679477</v>
      </c>
      <c r="K26" s="53">
        <f>'3 Statement Model'!K261</f>
        <v>181.97325073584022</v>
      </c>
      <c r="L26" s="53">
        <f>'3 Statement Model'!L261</f>
        <v>189.18173387590417</v>
      </c>
      <c r="M26" s="53">
        <f>'3 Statement Model'!M261</f>
        <v>197.32933928820566</v>
      </c>
      <c r="N26" s="53">
        <f>'3 Statement Model'!N261</f>
        <v>205.85312068898213</v>
      </c>
      <c r="O26" s="81">
        <f>'3 Statement Model'!O261</f>
        <v>214.78229643552615</v>
      </c>
    </row>
    <row r="27" spans="1:15" ht="15" customHeight="1" x14ac:dyDescent="0.35">
      <c r="B27" s="67" t="s">
        <v>210</v>
      </c>
      <c r="F27" s="80">
        <f>'3 Statement Model'!F262</f>
        <v>104.21029152301364</v>
      </c>
      <c r="G27" s="53">
        <f>'3 Statement Model'!G262</f>
        <v>93.689285820094128</v>
      </c>
      <c r="H27" s="53">
        <f>'3 Statement Model'!H262</f>
        <v>94.863207293466019</v>
      </c>
      <c r="I27" s="53">
        <f>'3 Statement Model'!I262</f>
        <v>96.314094440481313</v>
      </c>
      <c r="J27" s="53">
        <f>'3 Statement Model'!J262</f>
        <v>97.514873164194739</v>
      </c>
      <c r="K27" s="53">
        <f>'3 Statement Model'!K262</f>
        <v>98.429516491980181</v>
      </c>
      <c r="L27" s="53">
        <f>'3 Statement Model'!L262</f>
        <v>97.283626207658116</v>
      </c>
      <c r="M27" s="53">
        <f>'3 Statement Model'!M262</f>
        <v>96.241420853134983</v>
      </c>
      <c r="N27" s="53">
        <f>'3 Statement Model'!N262</f>
        <v>94.656410410404376</v>
      </c>
      <c r="O27" s="81">
        <f>'3 Statement Model'!O262</f>
        <v>92.465915129090604</v>
      </c>
    </row>
    <row r="28" spans="1:15" ht="15" customHeight="1" x14ac:dyDescent="0.35">
      <c r="F28" s="80"/>
      <c r="G28" s="53"/>
      <c r="H28" s="53"/>
      <c r="I28" s="53"/>
      <c r="J28" s="53"/>
      <c r="K28" s="53"/>
      <c r="L28" s="53"/>
      <c r="M28" s="53"/>
      <c r="N28" s="53"/>
      <c r="O28" s="81"/>
    </row>
    <row r="29" spans="1:15" ht="15" customHeight="1" x14ac:dyDescent="0.35">
      <c r="A29" s="11" t="s">
        <v>48</v>
      </c>
      <c r="F29" s="80"/>
      <c r="G29" s="53"/>
      <c r="H29" s="53"/>
      <c r="I29" s="53"/>
      <c r="J29" s="53"/>
      <c r="K29" s="53"/>
      <c r="L29" s="53"/>
      <c r="M29" s="53"/>
      <c r="N29" s="53"/>
      <c r="O29" s="81"/>
    </row>
    <row r="30" spans="1:15" ht="15" customHeight="1" x14ac:dyDescent="0.35">
      <c r="B30" s="65" t="s">
        <v>196</v>
      </c>
      <c r="C30" s="47">
        <f>'3 Statement Model'!C265</f>
        <v>199.9</v>
      </c>
      <c r="D30" s="47">
        <f>'3 Statement Model'!D265</f>
        <v>275</v>
      </c>
      <c r="E30" s="47">
        <f>'3 Statement Model'!E265</f>
        <v>281.89999999999998</v>
      </c>
      <c r="F30" s="80">
        <f>'3 Statement Model'!F265</f>
        <v>225</v>
      </c>
      <c r="G30" s="53">
        <f>'3 Statement Model'!G265</f>
        <v>0</v>
      </c>
      <c r="H30" s="53">
        <f>'3 Statement Model'!H265</f>
        <v>0</v>
      </c>
      <c r="I30" s="53">
        <f>'3 Statement Model'!I265</f>
        <v>0</v>
      </c>
      <c r="J30" s="53">
        <f>'3 Statement Model'!J265</f>
        <v>0</v>
      </c>
      <c r="K30" s="53">
        <f>'3 Statement Model'!K265</f>
        <v>0</v>
      </c>
      <c r="L30" s="53">
        <f>'3 Statement Model'!L265</f>
        <v>0</v>
      </c>
      <c r="M30" s="53">
        <f>'3 Statement Model'!M265</f>
        <v>0</v>
      </c>
      <c r="N30" s="53">
        <f>'3 Statement Model'!N265</f>
        <v>0</v>
      </c>
      <c r="O30" s="81">
        <f>'3 Statement Model'!O265</f>
        <v>0</v>
      </c>
    </row>
    <row r="31" spans="1:15" ht="15" customHeight="1" x14ac:dyDescent="0.35">
      <c r="B31" s="65" t="s">
        <v>92</v>
      </c>
      <c r="C31" s="47">
        <f>'3 Statement Model'!C266</f>
        <v>249.99999999999989</v>
      </c>
      <c r="D31" s="47">
        <f>'3 Statement Model'!D266</f>
        <v>245.79999999999984</v>
      </c>
      <c r="E31" s="47">
        <f>'3 Statement Model'!E266</f>
        <v>275.60000000000002</v>
      </c>
      <c r="F31" s="80">
        <f>'3 Statement Model'!F266</f>
        <v>270.09635400000002</v>
      </c>
      <c r="G31" s="53">
        <f>'3 Statement Model'!G266</f>
        <v>285.08715774000018</v>
      </c>
      <c r="H31" s="53">
        <f>'3 Statement Model'!H266</f>
        <v>298.8756516438001</v>
      </c>
      <c r="I31" s="53">
        <f>'3 Statement Model'!I266</f>
        <v>313.38263583534615</v>
      </c>
      <c r="J31" s="53">
        <f>'3 Statement Model'!J266</f>
        <v>328.64853646335939</v>
      </c>
      <c r="K31" s="53">
        <f>'3 Statement Model'!K266</f>
        <v>344.71621478011559</v>
      </c>
      <c r="L31" s="53">
        <f>'3 Statement Model'!L266</f>
        <v>359.22604580791517</v>
      </c>
      <c r="M31" s="53">
        <f>'3 Statement Model'!M266</f>
        <v>374.46295588745625</v>
      </c>
      <c r="N31" s="53">
        <f>'3 Statement Model'!N266</f>
        <v>390.46918227875494</v>
      </c>
      <c r="O31" s="81">
        <f>'3 Statement Model'!O266</f>
        <v>407.28965910182001</v>
      </c>
    </row>
    <row r="32" spans="1:15" ht="15" customHeight="1" x14ac:dyDescent="0.35">
      <c r="B32" s="65" t="s">
        <v>197</v>
      </c>
      <c r="C32" s="47">
        <f>'3 Statement Model'!C267</f>
        <v>95.100000000000009</v>
      </c>
      <c r="D32" s="47">
        <f>'3 Statement Model'!D267</f>
        <v>62.5</v>
      </c>
      <c r="E32" s="47">
        <f>'3 Statement Model'!E267</f>
        <v>113.89999999999998</v>
      </c>
      <c r="F32" s="80">
        <f>'3 Statement Model'!F267</f>
        <v>9.6897084769863682</v>
      </c>
      <c r="G32" s="53">
        <f>'3 Statement Model'!G267</f>
        <v>-83.999577343107774</v>
      </c>
      <c r="H32" s="53">
        <f>'3 Statement Model'!H267</f>
        <v>-178.86278463657379</v>
      </c>
      <c r="I32" s="53">
        <f>'3 Statement Model'!I267</f>
        <v>-275.1768790770551</v>
      </c>
      <c r="J32" s="53">
        <f>'3 Statement Model'!J267</f>
        <v>-372.69175224124984</v>
      </c>
      <c r="K32" s="53">
        <f>'3 Statement Model'!K267</f>
        <v>-471.12126873323001</v>
      </c>
      <c r="L32" s="53">
        <f>'3 Statement Model'!L267</f>
        <v>-568.40489494088808</v>
      </c>
      <c r="M32" s="53">
        <f>'3 Statement Model'!M267</f>
        <v>-664.64631579402305</v>
      </c>
      <c r="N32" s="53">
        <f>'3 Statement Model'!N267</f>
        <v>-759.30272620442747</v>
      </c>
      <c r="O32" s="81">
        <f>'3 Statement Model'!O267</f>
        <v>-851.76864133351808</v>
      </c>
    </row>
    <row r="33" spans="1:15" ht="15" customHeight="1" x14ac:dyDescent="0.35">
      <c r="B33" s="65" t="s">
        <v>198</v>
      </c>
      <c r="C33" s="68">
        <f>'3 Statement Model'!C268</f>
        <v>0.79960000000000042</v>
      </c>
      <c r="D33" s="68">
        <f>'3 Statement Model'!D268</f>
        <v>1.1187957689178201</v>
      </c>
      <c r="E33" s="68">
        <f>'3 Statement Model'!E268</f>
        <v>1.0228592162554424</v>
      </c>
      <c r="F33" s="82">
        <f>'3 Statement Model'!F268</f>
        <v>0.83303605053476582</v>
      </c>
      <c r="G33" s="83">
        <f>'3 Statement Model'!G268</f>
        <v>0</v>
      </c>
      <c r="H33" s="83">
        <f>'3 Statement Model'!H268</f>
        <v>0</v>
      </c>
      <c r="I33" s="83">
        <f>'3 Statement Model'!I268</f>
        <v>0</v>
      </c>
      <c r="J33" s="83">
        <f>'3 Statement Model'!J268</f>
        <v>0</v>
      </c>
      <c r="K33" s="83">
        <f>'3 Statement Model'!K268</f>
        <v>0</v>
      </c>
      <c r="L33" s="83">
        <f>'3 Statement Model'!L268</f>
        <v>0</v>
      </c>
      <c r="M33" s="83">
        <f>'3 Statement Model'!M268</f>
        <v>0</v>
      </c>
      <c r="N33" s="83">
        <f>'3 Statement Model'!N268</f>
        <v>0</v>
      </c>
      <c r="O33" s="84">
        <f>'3 Statement Model'!O268</f>
        <v>0</v>
      </c>
    </row>
    <row r="34" spans="1:15" ht="15" customHeight="1" x14ac:dyDescent="0.35">
      <c r="B34" s="65" t="s">
        <v>199</v>
      </c>
      <c r="C34" s="68">
        <f>'3 Statement Model'!C269</f>
        <v>0.38040000000000018</v>
      </c>
      <c r="D34" s="68">
        <f>'3 Statement Model'!D269</f>
        <v>0.25427176566314091</v>
      </c>
      <c r="E34" s="68">
        <f>'3 Statement Model'!E269</f>
        <v>0.41328011611030468</v>
      </c>
      <c r="F34" s="82">
        <f>'3 Statement Model'!F269</f>
        <v>3.5875006580008729E-2</v>
      </c>
      <c r="G34" s="83">
        <f>'3 Statement Model'!G269</f>
        <v>-0.29464525168024402</v>
      </c>
      <c r="H34" s="83">
        <f>'3 Statement Model'!H269</f>
        <v>-0.59845217786339588</v>
      </c>
      <c r="I34" s="83">
        <f>'3 Statement Model'!I269</f>
        <v>-0.87808591673737579</v>
      </c>
      <c r="J34" s="83">
        <f>'3 Statement Model'!J269</f>
        <v>-1.1340131200699894</v>
      </c>
      <c r="K34" s="83">
        <f>'3 Statement Model'!K269</f>
        <v>-1.3666930899486249</v>
      </c>
      <c r="L34" s="83">
        <f>'3 Statement Model'!L269</f>
        <v>-1.5823042387211108</v>
      </c>
      <c r="M34" s="83">
        <f>'3 Statement Model'!M269</f>
        <v>-1.7749320869906837</v>
      </c>
      <c r="N34" s="83">
        <f>'3 Statement Model'!N269</f>
        <v>-1.9445906633993031</v>
      </c>
      <c r="O34" s="84">
        <f>'3 Statement Model'!O269</f>
        <v>-2.0913092741217398</v>
      </c>
    </row>
    <row r="35" spans="1:15" ht="15" customHeight="1" x14ac:dyDescent="0.35">
      <c r="B35" s="65" t="s">
        <v>211</v>
      </c>
      <c r="C35" s="68">
        <f>'3 Statement Model'!C270</f>
        <v>12.572368421052625</v>
      </c>
      <c r="D35" s="68">
        <f>'3 Statement Model'!D270</f>
        <v>13.251851851851839</v>
      </c>
      <c r="E35" s="68">
        <f>'3 Statement Model'!E270</f>
        <v>16.81818181818182</v>
      </c>
      <c r="F35" s="85" t="str">
        <f>'3 Statement Model'!F270</f>
        <v>n/a</v>
      </c>
      <c r="G35" s="86" t="str">
        <f>'3 Statement Model'!G270</f>
        <v>n/a</v>
      </c>
      <c r="H35" s="86" t="str">
        <f>'3 Statement Model'!H270</f>
        <v>n/a</v>
      </c>
      <c r="I35" s="86" t="str">
        <f>'3 Statement Model'!I270</f>
        <v>n/a</v>
      </c>
      <c r="J35" s="86" t="str">
        <f>'3 Statement Model'!J270</f>
        <v>n/a</v>
      </c>
      <c r="K35" s="86" t="str">
        <f>'3 Statement Model'!K270</f>
        <v>n/a</v>
      </c>
      <c r="L35" s="86" t="str">
        <f>'3 Statement Model'!L270</f>
        <v>n/a</v>
      </c>
      <c r="M35" s="86" t="str">
        <f>'3 Statement Model'!M270</f>
        <v>n/a</v>
      </c>
      <c r="N35" s="86" t="str">
        <f>'3 Statement Model'!N270</f>
        <v>n/a</v>
      </c>
      <c r="O35" s="87" t="str">
        <f>'3 Statement Model'!O270</f>
        <v>n/a</v>
      </c>
    </row>
    <row r="36" spans="1:15" ht="15" customHeight="1" x14ac:dyDescent="0.35">
      <c r="B36" s="65" t="s">
        <v>212</v>
      </c>
      <c r="C36" s="68">
        <f>'3 Statement Model'!C271</f>
        <v>10.703947368421044</v>
      </c>
      <c r="D36" s="68">
        <f>'3 Statement Model'!D271</f>
        <v>12.977777777777767</v>
      </c>
      <c r="E36" s="68">
        <f>'3 Statement Model'!E271</f>
        <v>15.685950413223141</v>
      </c>
      <c r="F36" s="88" t="str">
        <f>'3 Statement Model'!F271</f>
        <v>n/a</v>
      </c>
      <c r="G36" s="89" t="str">
        <f>'3 Statement Model'!G271</f>
        <v>n/a</v>
      </c>
      <c r="H36" s="89" t="str">
        <f>'3 Statement Model'!H271</f>
        <v>n/a</v>
      </c>
      <c r="I36" s="89" t="str">
        <f>'3 Statement Model'!I271</f>
        <v>n/a</v>
      </c>
      <c r="J36" s="89" t="str">
        <f>'3 Statement Model'!J271</f>
        <v>n/a</v>
      </c>
      <c r="K36" s="89" t="str">
        <f>'3 Statement Model'!K271</f>
        <v>n/a</v>
      </c>
      <c r="L36" s="89" t="str">
        <f>'3 Statement Model'!L271</f>
        <v>n/a</v>
      </c>
      <c r="M36" s="89" t="str">
        <f>'3 Statement Model'!M271</f>
        <v>n/a</v>
      </c>
      <c r="N36" s="89" t="str">
        <f>'3 Statement Model'!N271</f>
        <v>n/a</v>
      </c>
      <c r="O36" s="90" t="str">
        <f>'3 Statement Model'!O271</f>
        <v>n/a</v>
      </c>
    </row>
    <row r="37" spans="1:15" ht="15" customHeight="1" x14ac:dyDescent="0.35">
      <c r="B37" s="65"/>
    </row>
    <row r="38" spans="1:15" ht="15" customHeight="1" x14ac:dyDescent="0.35">
      <c r="B38" s="65"/>
    </row>
    <row r="40" spans="1:15" ht="15" customHeight="1" x14ac:dyDescent="0.35">
      <c r="A40" s="11" t="s">
        <v>49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8B0B3-ADDB-4F75-87FD-44AD538E155E}">
  <dimension ref="A1:O40"/>
  <sheetViews>
    <sheetView zoomScaleNormal="100" workbookViewId="0">
      <pane xSplit="2" ySplit="2" topLeftCell="E11" activePane="bottomRight" state="frozen"/>
      <selection pane="topRight" activeCell="C1" sqref="C1"/>
      <selection pane="bottomLeft" activeCell="A3" sqref="A3"/>
      <selection pane="bottomRight" activeCell="B27" sqref="B27"/>
    </sheetView>
  </sheetViews>
  <sheetFormatPr defaultColWidth="9.08984375" defaultRowHeight="15" customHeight="1" x14ac:dyDescent="0.35"/>
  <cols>
    <col min="1" max="1" width="1.6328125" style="11" customWidth="1"/>
    <col min="2" max="2" width="43" style="47" customWidth="1"/>
    <col min="3" max="4" width="11.6328125" style="47" hidden="1" customWidth="1"/>
    <col min="5" max="15" width="11.6328125" style="47" customWidth="1"/>
    <col min="16" max="16384" width="9.08984375" style="47"/>
  </cols>
  <sheetData>
    <row r="1" spans="1:15" ht="45" customHeight="1" x14ac:dyDescent="0.65">
      <c r="A1" s="4" t="str">
        <f>Welcome!A2</f>
        <v>Debt Capacity Term Loan A</v>
      </c>
      <c r="B1" s="7"/>
      <c r="C1" s="49" t="s">
        <v>20</v>
      </c>
      <c r="D1" s="49" t="s">
        <v>20</v>
      </c>
      <c r="E1" s="49" t="s">
        <v>20</v>
      </c>
      <c r="F1" s="49" t="s">
        <v>21</v>
      </c>
      <c r="G1" s="49" t="s">
        <v>21</v>
      </c>
      <c r="H1" s="49" t="s">
        <v>21</v>
      </c>
      <c r="I1" s="49" t="s">
        <v>21</v>
      </c>
      <c r="J1" s="49" t="s">
        <v>21</v>
      </c>
      <c r="K1" s="49" t="s">
        <v>21</v>
      </c>
      <c r="L1" s="49" t="s">
        <v>21</v>
      </c>
      <c r="M1" s="49" t="s">
        <v>21</v>
      </c>
      <c r="N1" s="49" t="s">
        <v>21</v>
      </c>
      <c r="O1" s="49" t="s">
        <v>21</v>
      </c>
    </row>
    <row r="2" spans="1:15" ht="30" customHeight="1" x14ac:dyDescent="0.5">
      <c r="A2" s="10" t="str">
        <f>'3 Statement Model'!A2</f>
        <v>Bank case</v>
      </c>
      <c r="B2" s="6"/>
      <c r="C2" s="8" t="s">
        <v>22</v>
      </c>
      <c r="D2" s="97" t="s">
        <v>23</v>
      </c>
      <c r="E2" s="96">
        <v>0</v>
      </c>
      <c r="F2" s="96">
        <f>E2+1</f>
        <v>1</v>
      </c>
      <c r="G2" s="96">
        <f t="shared" ref="G2:O2" si="0">F2+1</f>
        <v>2</v>
      </c>
      <c r="H2" s="96">
        <f t="shared" si="0"/>
        <v>3</v>
      </c>
      <c r="I2" s="96">
        <f t="shared" si="0"/>
        <v>4</v>
      </c>
      <c r="J2" s="96">
        <f t="shared" si="0"/>
        <v>5</v>
      </c>
      <c r="K2" s="96">
        <f t="shared" si="0"/>
        <v>6</v>
      </c>
      <c r="L2" s="96">
        <f t="shared" si="0"/>
        <v>7</v>
      </c>
      <c r="M2" s="96">
        <f t="shared" si="0"/>
        <v>8</v>
      </c>
      <c r="N2" s="96">
        <f t="shared" si="0"/>
        <v>9</v>
      </c>
      <c r="O2" s="96">
        <f t="shared" si="0"/>
        <v>10</v>
      </c>
    </row>
    <row r="3" spans="1:15" ht="15" customHeight="1" x14ac:dyDescent="0.35">
      <c r="A3" s="47"/>
    </row>
    <row r="4" spans="1:15" ht="15" customHeight="1" x14ac:dyDescent="0.35">
      <c r="B4" s="47" t="s">
        <v>95</v>
      </c>
      <c r="F4" s="47">
        <f>'3 Statement Model'!F53</f>
        <v>194.82495400000002</v>
      </c>
      <c r="G4" s="47">
        <f>'3 Statement Model'!G53</f>
        <v>206.00427485800017</v>
      </c>
      <c r="H4" s="47">
        <f>'3 Statement Model'!H53</f>
        <v>215.5050809918981</v>
      </c>
      <c r="I4" s="47">
        <f>'3 Statement Model'!I53</f>
        <v>225.66299051746725</v>
      </c>
      <c r="J4" s="47">
        <f>'3 Statement Model'!J53</f>
        <v>236.48298571999376</v>
      </c>
      <c r="K4" s="47">
        <f>'3 Statement Model'!K53</f>
        <v>247.97685571594354</v>
      </c>
      <c r="L4" s="47">
        <f>'3 Statement Model'!L53</f>
        <v>257.75724361709899</v>
      </c>
      <c r="M4" s="47">
        <f>'3 Statement Model'!M53</f>
        <v>268.24338429402076</v>
      </c>
      <c r="N4" s="47">
        <f>'3 Statement Model'!N53</f>
        <v>279.43352935854523</v>
      </c>
      <c r="O4" s="47">
        <f>'3 Statement Model'!O53</f>
        <v>291.33457868824121</v>
      </c>
    </row>
    <row r="5" spans="1:15" ht="15" customHeight="1" x14ac:dyDescent="0.35">
      <c r="B5" s="91" t="s">
        <v>223</v>
      </c>
      <c r="C5"/>
      <c r="D5"/>
      <c r="E5"/>
      <c r="F5">
        <f>'3 Statement Model'!F32*'Debt capacity- TLA'!F4</f>
        <v>-40.913240340000002</v>
      </c>
      <c r="G5" s="47">
        <f>'3 Statement Model'!G32*'Debt capacity- TLA'!G4</f>
        <v>-43.260897720180033</v>
      </c>
      <c r="H5" s="47">
        <f>'3 Statement Model'!H32*'Debt capacity- TLA'!H4</f>
        <v>-45.256067008298601</v>
      </c>
      <c r="I5" s="47">
        <f>'3 Statement Model'!I32*'Debt capacity- TLA'!I4</f>
        <v>-47.38922800866812</v>
      </c>
      <c r="J5" s="47">
        <f>'3 Statement Model'!J32*'Debt capacity- TLA'!J4</f>
        <v>-49.661427001198689</v>
      </c>
      <c r="K5" s="47">
        <f>'3 Statement Model'!K32*'Debt capacity- TLA'!K4</f>
        <v>-52.075139700348139</v>
      </c>
      <c r="L5" s="47">
        <f>'3 Statement Model'!L32*'Debt capacity- TLA'!L4</f>
        <v>-54.129021159590785</v>
      </c>
      <c r="M5" s="47">
        <f>'3 Statement Model'!M32*'Debt capacity- TLA'!M4</f>
        <v>-56.331110701744358</v>
      </c>
      <c r="N5" s="47">
        <f>'3 Statement Model'!N32*'Debt capacity- TLA'!N4</f>
        <v>-58.681041165294495</v>
      </c>
      <c r="O5" s="47">
        <f>'3 Statement Model'!O32*'Debt capacity- TLA'!O4</f>
        <v>-61.18026152453065</v>
      </c>
    </row>
    <row r="6" spans="1:15" ht="15" customHeight="1" x14ac:dyDescent="0.35">
      <c r="B6" s="65" t="s">
        <v>93</v>
      </c>
      <c r="C6"/>
      <c r="D6"/>
      <c r="E6"/>
      <c r="F6">
        <f>'3 Statement Model'!F162</f>
        <v>69.371400000000008</v>
      </c>
      <c r="G6" s="47">
        <f>'3 Statement Model'!G162</f>
        <v>73.482882882000013</v>
      </c>
      <c r="H6" s="47">
        <f>'3 Statement Model'!H162</f>
        <v>77.77057065190202</v>
      </c>
      <c r="I6" s="47">
        <f>'3 Statement Model'!I162</f>
        <v>82.11964531787892</v>
      </c>
      <c r="J6" s="47">
        <f>'3 Statement Model'!J162</f>
        <v>86.565550743365648</v>
      </c>
      <c r="K6" s="47">
        <f>'3 Statement Model'!K162</f>
        <v>91.139359064172055</v>
      </c>
      <c r="L6" s="47">
        <f>'3 Statement Model'!L162</f>
        <v>95.868802190816155</v>
      </c>
      <c r="M6" s="47">
        <f>'3 Statement Model'!M162</f>
        <v>100.61957159343544</v>
      </c>
      <c r="N6" s="47">
        <f>'3 Statement Model'!N162</f>
        <v>105.43565292020972</v>
      </c>
      <c r="O6" s="47">
        <f>'3 Statement Model'!O162</f>
        <v>110.35508041357876</v>
      </c>
    </row>
    <row r="7" spans="1:15" ht="15" customHeight="1" x14ac:dyDescent="0.35">
      <c r="B7" s="65" t="s">
        <v>94</v>
      </c>
      <c r="C7"/>
      <c r="D7"/>
      <c r="E7"/>
      <c r="F7" s="47">
        <f>'3 Statement Model'!F163</f>
        <v>5.9</v>
      </c>
      <c r="G7" s="47">
        <f>'3 Statement Model'!G163</f>
        <v>5.6</v>
      </c>
      <c r="H7" s="47">
        <f>'3 Statement Model'!H163</f>
        <v>5.6</v>
      </c>
      <c r="I7" s="47">
        <f>'3 Statement Model'!I163</f>
        <v>5.6</v>
      </c>
      <c r="J7" s="47">
        <f>'3 Statement Model'!J163</f>
        <v>5.6</v>
      </c>
      <c r="K7" s="47">
        <f>'3 Statement Model'!K163</f>
        <v>5.6</v>
      </c>
      <c r="L7" s="47">
        <f>'3 Statement Model'!L163</f>
        <v>5.6</v>
      </c>
      <c r="M7" s="47">
        <f>'3 Statement Model'!M163</f>
        <v>5.6</v>
      </c>
      <c r="N7" s="47">
        <f>'3 Statement Model'!N163</f>
        <v>5.6</v>
      </c>
      <c r="O7" s="47">
        <f>'3 Statement Model'!O163</f>
        <v>5.6</v>
      </c>
    </row>
    <row r="8" spans="1:15" ht="15" customHeight="1" x14ac:dyDescent="0.35">
      <c r="B8" s="65" t="str">
        <f>'3 Statement Model'!B166</f>
        <v>Changes in pension and post-retirement liabilities</v>
      </c>
      <c r="C8"/>
      <c r="D8"/>
      <c r="E8"/>
      <c r="F8">
        <f>'3 Statement Model'!F166</f>
        <v>2.7824600000000004</v>
      </c>
      <c r="G8" s="47">
        <f>'3 Statement Model'!G166</f>
        <v>1.5142226000000036</v>
      </c>
      <c r="H8" s="47">
        <f>'3 Statement Model'!H166</f>
        <v>1.392777161999998</v>
      </c>
      <c r="I8" s="47">
        <f>'3 Statement Model'!I166</f>
        <v>1.4653519385400031</v>
      </c>
      <c r="J8" s="47">
        <f>'3 Statement Model'!J166</f>
        <v>1.5420101644458022</v>
      </c>
      <c r="K8" s="47">
        <f>'3 Statement Model'!K166</f>
        <v>1.6229978097733238</v>
      </c>
      <c r="L8" s="47">
        <f>'3 Statement Model'!L166</f>
        <v>1.465639497757536</v>
      </c>
      <c r="M8" s="47">
        <f>'3 Statement Model'!M166</f>
        <v>1.5390818262162895</v>
      </c>
      <c r="N8" s="47">
        <f>'3 Statement Model'!N166</f>
        <v>1.616790544575629</v>
      </c>
      <c r="O8" s="47">
        <f>'3 Statement Model'!O166</f>
        <v>1.6990380629358626</v>
      </c>
    </row>
    <row r="9" spans="1:15" ht="15" customHeight="1" x14ac:dyDescent="0.35">
      <c r="B9" s="65" t="str">
        <f>'3 Statement Model'!B167</f>
        <v>Changes in other LT liabilities</v>
      </c>
      <c r="C9"/>
      <c r="D9"/>
      <c r="E9"/>
      <c r="F9" s="47">
        <f>'3 Statement Model'!F167</f>
        <v>4.8473800000000011</v>
      </c>
      <c r="G9" s="47">
        <f>'3 Statement Model'!G167</f>
        <v>4.5426678000000038</v>
      </c>
      <c r="H9" s="47">
        <f>'3 Statement Model'!H167</f>
        <v>4.1783314859999905</v>
      </c>
      <c r="I9" s="47">
        <f>'3 Statement Model'!I167</f>
        <v>4.3960558156200165</v>
      </c>
      <c r="J9" s="47">
        <f>'3 Statement Model'!J167</f>
        <v>4.6260304933373959</v>
      </c>
      <c r="K9" s="47">
        <f>'3 Statement Model'!K167</f>
        <v>4.8689934293199855</v>
      </c>
      <c r="L9" s="47">
        <f>'3 Statement Model'!L167</f>
        <v>4.396918493272608</v>
      </c>
      <c r="M9" s="47">
        <f>'3 Statement Model'!M167</f>
        <v>4.6172454786488544</v>
      </c>
      <c r="N9" s="47">
        <f>'3 Statement Model'!N167</f>
        <v>4.8503716337269083</v>
      </c>
      <c r="O9" s="47">
        <f>'3 Statement Model'!O167</f>
        <v>5.0971141888075806</v>
      </c>
    </row>
    <row r="10" spans="1:15" ht="15" customHeight="1" x14ac:dyDescent="0.35">
      <c r="B10" s="65" t="str">
        <f>'3 Statement Model'!B169</f>
        <v>Changes in OWC</v>
      </c>
      <c r="C10"/>
      <c r="D10"/>
      <c r="E10"/>
      <c r="F10" s="47">
        <f>'3 Statement Model'!F169</f>
        <v>9.3035418630136633</v>
      </c>
      <c r="G10" s="47">
        <f>'3 Statement Model'!G169</f>
        <v>-2.1033174197260109</v>
      </c>
      <c r="H10" s="47">
        <f>'3 Statement Model'!H169</f>
        <v>-1.9346247154355183</v>
      </c>
      <c r="I10" s="47">
        <f>'3 Statement Model'!I169</f>
        <v>-2.0354340625747227</v>
      </c>
      <c r="J10" s="47">
        <f>'3 Statement Model'!J169</f>
        <v>-2.1419154886959859</v>
      </c>
      <c r="K10" s="47">
        <f>'3 Statement Model'!K169</f>
        <v>-2.2544106563153719</v>
      </c>
      <c r="L10" s="47">
        <f>'3 Statement Model'!L169</f>
        <v>-2.0358334941453222</v>
      </c>
      <c r="M10" s="47">
        <f>'3 Statement Model'!M169</f>
        <v>-2.1378479065525653</v>
      </c>
      <c r="N10" s="47">
        <f>'3 Statement Model'!N169</f>
        <v>-2.2457885098625638</v>
      </c>
      <c r="O10" s="47">
        <f>'3 Statement Model'!O169</f>
        <v>-2.3600336928999468</v>
      </c>
    </row>
    <row r="11" spans="1:15" ht="15" customHeight="1" x14ac:dyDescent="0.35">
      <c r="B11" s="65" t="s">
        <v>127</v>
      </c>
      <c r="C11"/>
      <c r="D11"/>
      <c r="E11"/>
      <c r="F11">
        <f>'3 Statement Model'!F173</f>
        <v>-90.032118000000011</v>
      </c>
      <c r="G11" s="47">
        <f>'3 Statement Model'!G173</f>
        <v>-95.029052580000013</v>
      </c>
      <c r="H11" s="47">
        <f>'3 Statement Model'!H173</f>
        <v>-99.625217214600013</v>
      </c>
      <c r="I11" s="47">
        <f>'3 Statement Model'!I173</f>
        <v>-104.46087861178202</v>
      </c>
      <c r="J11" s="47">
        <f>'3 Statement Model'!J173</f>
        <v>-109.54951215445315</v>
      </c>
      <c r="K11" s="47">
        <f>'3 Statement Model'!K173</f>
        <v>-114.90540492670515</v>
      </c>
      <c r="L11" s="47">
        <f>'3 Statement Model'!L173</f>
        <v>-119.742015269305</v>
      </c>
      <c r="M11" s="47">
        <f>'3 Statement Model'!M173</f>
        <v>-124.82098529581876</v>
      </c>
      <c r="N11" s="47">
        <f>'3 Statement Model'!N173</f>
        <v>-130.15639409291833</v>
      </c>
      <c r="O11" s="47">
        <f>'3 Statement Model'!O173</f>
        <v>-135.7632197006067</v>
      </c>
    </row>
    <row r="12" spans="1:15" ht="15" customHeight="1" x14ac:dyDescent="0.35">
      <c r="B12" s="65" t="s">
        <v>224</v>
      </c>
      <c r="F12" s="47">
        <f>'3 Statement Model'!F174</f>
        <v>0</v>
      </c>
      <c r="G12" s="47">
        <f>'3 Statement Model'!G174</f>
        <v>0</v>
      </c>
      <c r="H12" s="47">
        <f>'3 Statement Model'!H174</f>
        <v>0</v>
      </c>
      <c r="I12" s="47">
        <f>'3 Statement Model'!I174</f>
        <v>0</v>
      </c>
      <c r="J12" s="47">
        <f>'3 Statement Model'!J174</f>
        <v>0</v>
      </c>
      <c r="K12" s="47">
        <f>'3 Statement Model'!K174</f>
        <v>0</v>
      </c>
      <c r="L12" s="47">
        <f>'3 Statement Model'!L174</f>
        <v>0</v>
      </c>
      <c r="M12" s="47">
        <f>'3 Statement Model'!M174</f>
        <v>0</v>
      </c>
      <c r="N12" s="47">
        <f>'3 Statement Model'!N174</f>
        <v>0</v>
      </c>
      <c r="O12" s="47">
        <f>'3 Statement Model'!O174</f>
        <v>0</v>
      </c>
    </row>
    <row r="13" spans="1:15" ht="15" customHeight="1" x14ac:dyDescent="0.35">
      <c r="B13" s="65" t="s">
        <v>225</v>
      </c>
      <c r="F13" s="47">
        <f>'3 Statement Model'!F175</f>
        <v>0</v>
      </c>
      <c r="G13" s="47">
        <f>'3 Statement Model'!G175</f>
        <v>0</v>
      </c>
      <c r="H13" s="47">
        <f>'3 Statement Model'!H175</f>
        <v>0</v>
      </c>
      <c r="I13" s="47">
        <f>'3 Statement Model'!I175</f>
        <v>0</v>
      </c>
      <c r="J13" s="47">
        <f>'3 Statement Model'!J175</f>
        <v>0</v>
      </c>
      <c r="K13" s="47">
        <f>'3 Statement Model'!K175</f>
        <v>0</v>
      </c>
      <c r="L13" s="47">
        <f>'3 Statement Model'!L175</f>
        <v>0</v>
      </c>
      <c r="M13" s="47">
        <f>'3 Statement Model'!M175</f>
        <v>0</v>
      </c>
      <c r="N13" s="47">
        <f>'3 Statement Model'!N175</f>
        <v>0</v>
      </c>
      <c r="O13" s="47">
        <f>'3 Statement Model'!O175</f>
        <v>0</v>
      </c>
    </row>
    <row r="14" spans="1:15" ht="15" customHeight="1" x14ac:dyDescent="0.35">
      <c r="B14" s="92" t="s">
        <v>208</v>
      </c>
      <c r="C14" s="50"/>
      <c r="D14" s="50"/>
      <c r="E14" s="50"/>
      <c r="F14" s="50">
        <f>SUM(F4:F13)</f>
        <v>156.08437752301364</v>
      </c>
      <c r="G14" s="50">
        <f t="shared" ref="G14:O14" si="1">SUM(G4:G13)</f>
        <v>150.75078042009415</v>
      </c>
      <c r="H14" s="50">
        <f t="shared" si="1"/>
        <v>157.63085135346597</v>
      </c>
      <c r="I14" s="50">
        <f t="shared" si="1"/>
        <v>165.35850290648133</v>
      </c>
      <c r="J14" s="50">
        <f t="shared" si="1"/>
        <v>173.46372247679477</v>
      </c>
      <c r="K14" s="50">
        <f t="shared" si="1"/>
        <v>181.97325073584022</v>
      </c>
      <c r="L14" s="50">
        <f t="shared" si="1"/>
        <v>189.18173387590417</v>
      </c>
      <c r="M14" s="50">
        <f t="shared" si="1"/>
        <v>197.32933928820566</v>
      </c>
      <c r="N14" s="50">
        <f t="shared" si="1"/>
        <v>205.85312068898213</v>
      </c>
      <c r="O14" s="50">
        <f t="shared" si="1"/>
        <v>214.78229643552615</v>
      </c>
    </row>
    <row r="15" spans="1:15" ht="15" customHeight="1" x14ac:dyDescent="0.35">
      <c r="C15"/>
      <c r="D15"/>
      <c r="E15"/>
      <c r="F15"/>
      <c r="G15"/>
      <c r="H15"/>
      <c r="I15"/>
      <c r="J15"/>
      <c r="K15"/>
      <c r="L15"/>
      <c r="M15"/>
      <c r="N15"/>
      <c r="O15"/>
    </row>
    <row r="16" spans="1:15" ht="15" customHeight="1" x14ac:dyDescent="0.35">
      <c r="B16" s="47" t="s">
        <v>227</v>
      </c>
      <c r="D16"/>
      <c r="E16" s="66">
        <v>6</v>
      </c>
      <c r="F16"/>
      <c r="G16"/>
      <c r="H16"/>
      <c r="I16"/>
      <c r="J16"/>
      <c r="K16"/>
      <c r="L16"/>
      <c r="M16"/>
      <c r="N16"/>
      <c r="O16"/>
    </row>
    <row r="17" spans="2:15" ht="15" customHeight="1" x14ac:dyDescent="0.35">
      <c r="B17" s="47" t="s">
        <v>228</v>
      </c>
      <c r="D17"/>
      <c r="E17" s="93">
        <v>3.7499999999999999E-2</v>
      </c>
      <c r="F17"/>
      <c r="G17"/>
      <c r="H17"/>
      <c r="I17"/>
      <c r="J17"/>
      <c r="K17"/>
      <c r="L17"/>
      <c r="M17"/>
      <c r="N17"/>
      <c r="O17"/>
    </row>
    <row r="18" spans="2:15" ht="15" customHeight="1" x14ac:dyDescent="0.35">
      <c r="B18" s="47" t="s">
        <v>229</v>
      </c>
      <c r="D18"/>
      <c r="E18" s="47">
        <f>NPV($E$17,F14:K14)</f>
        <v>864.56657253421372</v>
      </c>
      <c r="F18"/>
      <c r="G18"/>
      <c r="H18"/>
      <c r="I18"/>
      <c r="J18"/>
      <c r="K18"/>
      <c r="L18"/>
      <c r="M18"/>
      <c r="N18"/>
      <c r="O18"/>
    </row>
    <row r="19" spans="2:15" ht="15" customHeight="1" x14ac:dyDescent="0.35">
      <c r="B19" s="65"/>
      <c r="C19"/>
      <c r="D19"/>
      <c r="E19"/>
      <c r="F19"/>
      <c r="G19"/>
      <c r="H19"/>
      <c r="I19"/>
      <c r="J19"/>
      <c r="K19"/>
      <c r="L19"/>
      <c r="M19"/>
      <c r="N19"/>
      <c r="O19"/>
    </row>
    <row r="20" spans="2:15" ht="15" customHeight="1" x14ac:dyDescent="0.35">
      <c r="B20" s="94" t="s">
        <v>230</v>
      </c>
      <c r="C20"/>
      <c r="D20"/>
      <c r="E20"/>
      <c r="F20"/>
      <c r="G20"/>
      <c r="H20"/>
      <c r="I20"/>
      <c r="J20"/>
      <c r="K20"/>
      <c r="L20"/>
      <c r="M20"/>
      <c r="N20"/>
      <c r="O20"/>
    </row>
    <row r="21" spans="2:15" ht="15" customHeight="1" x14ac:dyDescent="0.35">
      <c r="B21" s="47" t="s">
        <v>231</v>
      </c>
      <c r="C21"/>
      <c r="D21"/>
      <c r="E21"/>
      <c r="F21">
        <f>E25</f>
        <v>864.56657253421372</v>
      </c>
      <c r="G21" s="47">
        <f t="shared" ref="G21:K21" si="2">F25</f>
        <v>740.90344148123313</v>
      </c>
      <c r="H21" s="47">
        <f t="shared" si="2"/>
        <v>617.93654011668525</v>
      </c>
      <c r="I21" s="47">
        <f t="shared" si="2"/>
        <v>483.47830901759494</v>
      </c>
      <c r="J21" s="47">
        <f t="shared" si="2"/>
        <v>336.25024269927343</v>
      </c>
      <c r="K21" s="47">
        <f t="shared" si="2"/>
        <v>175.39590432370142</v>
      </c>
      <c r="L21" s="47">
        <f t="shared" ref="L21:O21" si="3">K25</f>
        <v>0</v>
      </c>
      <c r="M21" s="47">
        <f t="shared" si="3"/>
        <v>0</v>
      </c>
      <c r="N21" s="47">
        <f t="shared" si="3"/>
        <v>0</v>
      </c>
      <c r="O21" s="47">
        <f t="shared" si="3"/>
        <v>0</v>
      </c>
    </row>
    <row r="22" spans="2:15" ht="15" customHeight="1" x14ac:dyDescent="0.35">
      <c r="B22" s="47" t="s">
        <v>232</v>
      </c>
      <c r="C22"/>
      <c r="D22"/>
      <c r="E22"/>
      <c r="F22">
        <f t="shared" ref="F22:O22" si="4">$E$17*F21</f>
        <v>32.421246470033012</v>
      </c>
      <c r="G22" s="47">
        <f t="shared" si="4"/>
        <v>27.78387905554624</v>
      </c>
      <c r="H22" s="47">
        <f t="shared" si="4"/>
        <v>23.172620254375698</v>
      </c>
      <c r="I22" s="47">
        <f t="shared" si="4"/>
        <v>18.13043658815981</v>
      </c>
      <c r="J22" s="47">
        <f t="shared" si="4"/>
        <v>12.609384101222753</v>
      </c>
      <c r="K22" s="47">
        <f t="shared" si="4"/>
        <v>6.5773464121388026</v>
      </c>
      <c r="L22" s="47">
        <f t="shared" si="4"/>
        <v>0</v>
      </c>
      <c r="M22" s="47">
        <f t="shared" si="4"/>
        <v>0</v>
      </c>
      <c r="N22" s="47">
        <f t="shared" si="4"/>
        <v>0</v>
      </c>
      <c r="O22" s="47">
        <f t="shared" si="4"/>
        <v>0</v>
      </c>
    </row>
    <row r="23" spans="2:15" ht="15" customHeight="1" x14ac:dyDescent="0.35">
      <c r="B23" s="47" t="s">
        <v>233</v>
      </c>
      <c r="C23"/>
      <c r="D23"/>
      <c r="E23"/>
      <c r="F23">
        <f t="shared" ref="F23:O23" si="5">$E$17*F21*-1</f>
        <v>-32.421246470033012</v>
      </c>
      <c r="G23" s="47">
        <f t="shared" si="5"/>
        <v>-27.78387905554624</v>
      </c>
      <c r="H23" s="47">
        <f t="shared" si="5"/>
        <v>-23.172620254375698</v>
      </c>
      <c r="I23" s="47">
        <f t="shared" si="5"/>
        <v>-18.13043658815981</v>
      </c>
      <c r="J23" s="47">
        <f t="shared" si="5"/>
        <v>-12.609384101222753</v>
      </c>
      <c r="K23" s="47">
        <f t="shared" si="5"/>
        <v>-6.5773464121388026</v>
      </c>
      <c r="L23" s="47">
        <f t="shared" si="5"/>
        <v>0</v>
      </c>
      <c r="M23" s="47">
        <f t="shared" si="5"/>
        <v>0</v>
      </c>
      <c r="N23" s="47">
        <f t="shared" si="5"/>
        <v>0</v>
      </c>
      <c r="O23" s="47">
        <f t="shared" si="5"/>
        <v>0</v>
      </c>
    </row>
    <row r="24" spans="2:15" ht="15" customHeight="1" x14ac:dyDescent="0.35">
      <c r="B24" s="47" t="s">
        <v>234</v>
      </c>
      <c r="C24"/>
      <c r="D24"/>
      <c r="E24"/>
      <c r="F24">
        <f t="shared" ref="F24:O24" si="6">-(F14-F22)*($E$16&gt;=F2)</f>
        <v>-123.66313105298063</v>
      </c>
      <c r="G24" s="47">
        <f t="shared" si="6"/>
        <v>-122.96690136454791</v>
      </c>
      <c r="H24" s="47">
        <f t="shared" si="6"/>
        <v>-134.45823109909028</v>
      </c>
      <c r="I24" s="47">
        <f t="shared" si="6"/>
        <v>-147.22806631832151</v>
      </c>
      <c r="J24" s="47">
        <f t="shared" si="6"/>
        <v>-160.85433837557201</v>
      </c>
      <c r="K24" s="47">
        <f t="shared" si="6"/>
        <v>-175.39590432370142</v>
      </c>
      <c r="L24" s="47">
        <f t="shared" si="6"/>
        <v>0</v>
      </c>
      <c r="M24" s="47">
        <f t="shared" si="6"/>
        <v>0</v>
      </c>
      <c r="N24" s="47">
        <f t="shared" si="6"/>
        <v>0</v>
      </c>
      <c r="O24" s="47">
        <f t="shared" si="6"/>
        <v>0</v>
      </c>
    </row>
    <row r="25" spans="2:15" ht="15" customHeight="1" x14ac:dyDescent="0.35">
      <c r="B25" s="50" t="s">
        <v>235</v>
      </c>
      <c r="C25" s="50"/>
      <c r="D25" s="50"/>
      <c r="E25" s="50">
        <f>E18</f>
        <v>864.56657253421372</v>
      </c>
      <c r="F25" s="50">
        <f>SUM(F21:F24)</f>
        <v>740.90344148123313</v>
      </c>
      <c r="G25" s="50">
        <f t="shared" ref="G25:K25" si="7">SUM(G21:G24)</f>
        <v>617.93654011668525</v>
      </c>
      <c r="H25" s="50">
        <f t="shared" si="7"/>
        <v>483.47830901759494</v>
      </c>
      <c r="I25" s="50">
        <f t="shared" si="7"/>
        <v>336.25024269927343</v>
      </c>
      <c r="J25" s="50">
        <f t="shared" si="7"/>
        <v>175.39590432370142</v>
      </c>
      <c r="K25" s="50">
        <f t="shared" si="7"/>
        <v>0</v>
      </c>
      <c r="L25" s="50">
        <f t="shared" ref="L25" si="8">SUM(L21:L24)</f>
        <v>0</v>
      </c>
      <c r="M25" s="50">
        <f t="shared" ref="M25" si="9">SUM(M21:M24)</f>
        <v>0</v>
      </c>
      <c r="N25" s="50">
        <f t="shared" ref="N25" si="10">SUM(N21:N24)</f>
        <v>0</v>
      </c>
      <c r="O25" s="50">
        <f t="shared" ref="O25" si="11">SUM(O21:O24)</f>
        <v>0</v>
      </c>
    </row>
    <row r="26" spans="2:15" ht="15" customHeight="1" x14ac:dyDescent="0.35">
      <c r="B26" s="67"/>
      <c r="C26"/>
      <c r="D26"/>
      <c r="E26"/>
      <c r="F26"/>
      <c r="G26"/>
      <c r="H26"/>
      <c r="I26"/>
      <c r="J26"/>
      <c r="K26"/>
      <c r="L26"/>
      <c r="M26"/>
      <c r="N26"/>
      <c r="O26"/>
    </row>
    <row r="27" spans="2:15" ht="15" customHeight="1" x14ac:dyDescent="0.35">
      <c r="B27" s="67" t="s">
        <v>196</v>
      </c>
      <c r="C27"/>
      <c r="D27"/>
      <c r="E27">
        <f>E25</f>
        <v>864.56657253421372</v>
      </c>
      <c r="F27" s="47">
        <f>F25</f>
        <v>740.90344148123313</v>
      </c>
      <c r="G27" s="47">
        <f t="shared" ref="G27:O27" si="12">G25</f>
        <v>617.93654011668525</v>
      </c>
      <c r="H27" s="47">
        <f t="shared" si="12"/>
        <v>483.47830901759494</v>
      </c>
      <c r="I27" s="47">
        <f t="shared" si="12"/>
        <v>336.25024269927343</v>
      </c>
      <c r="J27" s="47">
        <f t="shared" si="12"/>
        <v>175.39590432370142</v>
      </c>
      <c r="K27" s="47">
        <f t="shared" si="12"/>
        <v>0</v>
      </c>
      <c r="L27" s="47">
        <f t="shared" si="12"/>
        <v>0</v>
      </c>
      <c r="M27" s="47">
        <f t="shared" si="12"/>
        <v>0</v>
      </c>
      <c r="N27" s="47">
        <f t="shared" si="12"/>
        <v>0</v>
      </c>
      <c r="O27" s="47">
        <f t="shared" si="12"/>
        <v>0</v>
      </c>
    </row>
    <row r="28" spans="2:15" ht="15" customHeight="1" thickBot="1" x14ac:dyDescent="0.4">
      <c r="B28" s="67" t="s">
        <v>92</v>
      </c>
      <c r="C28"/>
      <c r="D28"/>
      <c r="E28"/>
      <c r="F28">
        <f>F4+F6+F7</f>
        <v>270.09635400000002</v>
      </c>
      <c r="G28" s="47">
        <f t="shared" ref="G28:O28" si="13">G4+G6+G7</f>
        <v>285.08715774000018</v>
      </c>
      <c r="H28" s="47">
        <f t="shared" si="13"/>
        <v>298.87565164380015</v>
      </c>
      <c r="I28" s="47">
        <f t="shared" si="13"/>
        <v>313.38263583534621</v>
      </c>
      <c r="J28" s="47">
        <f t="shared" si="13"/>
        <v>328.64853646335945</v>
      </c>
      <c r="K28" s="47">
        <f t="shared" si="13"/>
        <v>344.71621478011559</v>
      </c>
      <c r="L28" s="47">
        <f t="shared" si="13"/>
        <v>359.22604580791517</v>
      </c>
      <c r="M28" s="47">
        <f t="shared" si="13"/>
        <v>374.46295588745625</v>
      </c>
      <c r="N28" s="47">
        <f t="shared" si="13"/>
        <v>390.46918227875494</v>
      </c>
      <c r="O28" s="47">
        <f t="shared" si="13"/>
        <v>407.28965910182001</v>
      </c>
    </row>
    <row r="29" spans="2:15" ht="15" customHeight="1" thickBot="1" x14ac:dyDescent="0.4">
      <c r="B29" s="67" t="s">
        <v>239</v>
      </c>
      <c r="C29"/>
      <c r="D29"/>
      <c r="E29" s="98">
        <f>E27/F28</f>
        <v>3.2009561022590245</v>
      </c>
      <c r="F29" s="68">
        <f>F27/F28</f>
        <v>2.7431078965295219</v>
      </c>
      <c r="G29" s="68">
        <f t="shared" ref="G29:O29" si="14">G27/G28</f>
        <v>2.1675355179634015</v>
      </c>
      <c r="H29" s="68">
        <f t="shared" si="14"/>
        <v>1.6176570635931364</v>
      </c>
      <c r="I29" s="68">
        <f t="shared" si="14"/>
        <v>1.0729702422821603</v>
      </c>
      <c r="J29" s="68">
        <f t="shared" si="14"/>
        <v>0.53368837789805901</v>
      </c>
      <c r="K29" s="68">
        <f t="shared" si="14"/>
        <v>0</v>
      </c>
      <c r="L29" s="68">
        <f t="shared" si="14"/>
        <v>0</v>
      </c>
      <c r="M29" s="68">
        <f t="shared" si="14"/>
        <v>0</v>
      </c>
      <c r="N29" s="68">
        <f t="shared" si="14"/>
        <v>0</v>
      </c>
      <c r="O29" s="68">
        <f t="shared" si="14"/>
        <v>0</v>
      </c>
    </row>
    <row r="30" spans="2:15" ht="15" customHeight="1" x14ac:dyDescent="0.35">
      <c r="B30" s="65" t="s">
        <v>241</v>
      </c>
      <c r="C30"/>
      <c r="D30"/>
      <c r="E30"/>
      <c r="F30" s="68">
        <f>(F28)/F22</f>
        <v>8.330844227400398</v>
      </c>
      <c r="G30" s="68">
        <f t="shared" ref="G30:O30" si="15">(G28)/G22</f>
        <v>10.260883916534716</v>
      </c>
      <c r="H30" s="68">
        <f t="shared" si="15"/>
        <v>12.897792669232704</v>
      </c>
      <c r="I30" s="68">
        <f t="shared" si="15"/>
        <v>17.284891861898274</v>
      </c>
      <c r="J30" s="68">
        <f t="shared" si="15"/>
        <v>26.063805640712449</v>
      </c>
      <c r="K30" s="68">
        <f t="shared" si="15"/>
        <v>52.409618283739107</v>
      </c>
      <c r="L30" s="68" t="e">
        <f t="shared" si="15"/>
        <v>#DIV/0!</v>
      </c>
      <c r="M30" s="68" t="e">
        <f t="shared" si="15"/>
        <v>#DIV/0!</v>
      </c>
      <c r="N30" s="68" t="e">
        <f t="shared" si="15"/>
        <v>#DIV/0!</v>
      </c>
      <c r="O30" s="68" t="e">
        <f t="shared" si="15"/>
        <v>#DIV/0!</v>
      </c>
    </row>
    <row r="31" spans="2:15" ht="15" customHeight="1" x14ac:dyDescent="0.35">
      <c r="B31" s="65" t="s">
        <v>242</v>
      </c>
      <c r="C31"/>
      <c r="D31"/>
      <c r="E31"/>
      <c r="F31" s="68">
        <f>(F28+F11)/F22</f>
        <v>5.5538961516002638</v>
      </c>
      <c r="G31" s="68">
        <f t="shared" ref="G31:O31" si="16">(G28+G11)/G22</f>
        <v>6.840589277689813</v>
      </c>
      <c r="H31" s="68">
        <f t="shared" si="16"/>
        <v>8.5985284461551377</v>
      </c>
      <c r="I31" s="68">
        <f t="shared" si="16"/>
        <v>11.523261241265519</v>
      </c>
      <c r="J31" s="68">
        <f t="shared" si="16"/>
        <v>17.375870427141631</v>
      </c>
      <c r="K31" s="68">
        <f t="shared" si="16"/>
        <v>34.939745522492743</v>
      </c>
      <c r="L31" s="68" t="e">
        <f t="shared" si="16"/>
        <v>#DIV/0!</v>
      </c>
      <c r="M31" s="68" t="e">
        <f t="shared" si="16"/>
        <v>#DIV/0!</v>
      </c>
      <c r="N31" s="68" t="e">
        <f t="shared" si="16"/>
        <v>#DIV/0!</v>
      </c>
      <c r="O31" s="68" t="e">
        <f t="shared" si="16"/>
        <v>#DIV/0!</v>
      </c>
    </row>
    <row r="32" spans="2:15" ht="15" customHeight="1" x14ac:dyDescent="0.35">
      <c r="B32" s="65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ht="15" customHeight="1" x14ac:dyDescent="0.35">
      <c r="B33" s="65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ht="15" customHeight="1" x14ac:dyDescent="0.35">
      <c r="B34" s="65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ht="15" customHeight="1" x14ac:dyDescent="0.35">
      <c r="B35" s="6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 ht="15" customHeight="1" x14ac:dyDescent="0.35">
      <c r="B36" s="65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 ht="15" customHeight="1" x14ac:dyDescent="0.35">
      <c r="B37" s="65"/>
    </row>
    <row r="38" spans="1:15" ht="15" customHeight="1" x14ac:dyDescent="0.35">
      <c r="B38" s="65"/>
    </row>
    <row r="40" spans="1:15" ht="15" customHeight="1" x14ac:dyDescent="0.35">
      <c r="A40" s="11" t="s">
        <v>49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AA773-1984-48BB-B42F-63952C2F3633}">
  <dimension ref="A1:O56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ColWidth="9.08984375" defaultRowHeight="15" customHeight="1" x14ac:dyDescent="0.35"/>
  <cols>
    <col min="1" max="1" width="1.6328125" style="11" customWidth="1"/>
    <col min="2" max="2" width="49.36328125" style="47" customWidth="1"/>
    <col min="3" max="15" width="11.6328125" style="47" customWidth="1"/>
    <col min="16" max="16384" width="9.08984375" style="47"/>
  </cols>
  <sheetData>
    <row r="1" spans="1:15" ht="45" customHeight="1" x14ac:dyDescent="0.65">
      <c r="A1" s="4" t="str">
        <f>Welcome!A2</f>
        <v>Debt Capacity Term Loan A</v>
      </c>
      <c r="B1" s="7"/>
      <c r="C1" s="49" t="s">
        <v>20</v>
      </c>
      <c r="D1" s="49" t="s">
        <v>20</v>
      </c>
      <c r="E1" s="49" t="s">
        <v>20</v>
      </c>
      <c r="F1" s="49" t="s">
        <v>21</v>
      </c>
      <c r="G1" s="49" t="s">
        <v>21</v>
      </c>
      <c r="H1" s="49" t="s">
        <v>21</v>
      </c>
      <c r="I1" s="49" t="s">
        <v>21</v>
      </c>
      <c r="J1" s="49" t="s">
        <v>21</v>
      </c>
      <c r="K1" s="49" t="s">
        <v>21</v>
      </c>
      <c r="L1" s="49" t="s">
        <v>21</v>
      </c>
      <c r="M1" s="49" t="s">
        <v>21</v>
      </c>
      <c r="N1" s="49" t="s">
        <v>21</v>
      </c>
      <c r="O1" s="49" t="s">
        <v>21</v>
      </c>
    </row>
    <row r="2" spans="1:15" ht="30" customHeight="1" x14ac:dyDescent="0.5">
      <c r="A2" s="10"/>
      <c r="B2" s="6" t="str">
        <f>B4</f>
        <v>Bank case</v>
      </c>
      <c r="C2" s="8" t="s">
        <v>22</v>
      </c>
      <c r="D2" s="8" t="s">
        <v>23</v>
      </c>
      <c r="E2" s="96">
        <v>0</v>
      </c>
      <c r="F2" s="96">
        <f>E2+1</f>
        <v>1</v>
      </c>
      <c r="G2" s="96">
        <f t="shared" ref="G2:O2" si="0">F2+1</f>
        <v>2</v>
      </c>
      <c r="H2" s="96">
        <f t="shared" si="0"/>
        <v>3</v>
      </c>
      <c r="I2" s="96">
        <f t="shared" si="0"/>
        <v>4</v>
      </c>
      <c r="J2" s="96">
        <f t="shared" si="0"/>
        <v>5</v>
      </c>
      <c r="K2" s="96">
        <f t="shared" si="0"/>
        <v>6</v>
      </c>
      <c r="L2" s="96">
        <f t="shared" si="0"/>
        <v>7</v>
      </c>
      <c r="M2" s="96">
        <f t="shared" si="0"/>
        <v>8</v>
      </c>
      <c r="N2" s="96">
        <f t="shared" si="0"/>
        <v>9</v>
      </c>
      <c r="O2" s="96">
        <f t="shared" si="0"/>
        <v>10</v>
      </c>
    </row>
    <row r="3" spans="1:15" ht="15" customHeight="1" thickBot="1" x14ac:dyDescent="0.4">
      <c r="A3" s="47"/>
    </row>
    <row r="4" spans="1:15" ht="15" customHeight="1" thickBot="1" x14ac:dyDescent="0.4">
      <c r="A4" s="47"/>
      <c r="B4" s="73" t="str">
        <f>'3 Statement Model'!B5</f>
        <v>Bank case</v>
      </c>
    </row>
    <row r="5" spans="1:15" ht="15" customHeight="1" x14ac:dyDescent="0.35">
      <c r="A5" s="47"/>
    </row>
    <row r="6" spans="1:15" ht="15" customHeight="1" x14ac:dyDescent="0.35">
      <c r="B6" s="47" t="s">
        <v>95</v>
      </c>
      <c r="F6" s="47">
        <f>'3 Statement Model'!F53</f>
        <v>194.82495400000002</v>
      </c>
      <c r="G6" s="47">
        <f>'3 Statement Model'!G53</f>
        <v>206.00427485800017</v>
      </c>
      <c r="H6" s="47">
        <f>'3 Statement Model'!H53</f>
        <v>215.5050809918981</v>
      </c>
      <c r="I6" s="47">
        <f>'3 Statement Model'!I53</f>
        <v>225.66299051746725</v>
      </c>
      <c r="J6" s="47">
        <f>'3 Statement Model'!J53</f>
        <v>236.48298571999376</v>
      </c>
      <c r="K6" s="47">
        <f>'3 Statement Model'!K53</f>
        <v>247.97685571594354</v>
      </c>
      <c r="L6" s="47">
        <f>'3 Statement Model'!L53</f>
        <v>257.75724361709899</v>
      </c>
      <c r="M6" s="47">
        <f>'3 Statement Model'!M53</f>
        <v>268.24338429402076</v>
      </c>
      <c r="N6" s="47">
        <f>'3 Statement Model'!N53</f>
        <v>279.43352935854523</v>
      </c>
      <c r="O6" s="47">
        <f>'3 Statement Model'!O53</f>
        <v>291.33457868824121</v>
      </c>
    </row>
    <row r="7" spans="1:15" ht="15" customHeight="1" x14ac:dyDescent="0.35">
      <c r="B7" s="91" t="s">
        <v>223</v>
      </c>
      <c r="F7" s="47">
        <f>'3 Statement Model'!F32*'Debt capacity- TLA &amp; B'!F6</f>
        <v>-40.913240340000002</v>
      </c>
      <c r="G7" s="47">
        <f>'3 Statement Model'!G32*'Debt capacity- TLA &amp; B'!G6</f>
        <v>-43.260897720180033</v>
      </c>
      <c r="H7" s="47">
        <f>'3 Statement Model'!H32*'Debt capacity- TLA &amp; B'!H6</f>
        <v>-45.256067008298601</v>
      </c>
      <c r="I7" s="47">
        <f>'3 Statement Model'!I32*'Debt capacity- TLA &amp; B'!I6</f>
        <v>-47.38922800866812</v>
      </c>
      <c r="J7" s="47">
        <f>'3 Statement Model'!J32*'Debt capacity- TLA &amp; B'!J6</f>
        <v>-49.661427001198689</v>
      </c>
      <c r="K7" s="47">
        <f>'3 Statement Model'!K32*'Debt capacity- TLA &amp; B'!K6</f>
        <v>-52.075139700348139</v>
      </c>
      <c r="L7" s="47">
        <f>'3 Statement Model'!L32*'Debt capacity- TLA &amp; B'!L6</f>
        <v>-54.129021159590785</v>
      </c>
      <c r="M7" s="47">
        <f>'3 Statement Model'!M32*'Debt capacity- TLA &amp; B'!M6</f>
        <v>-56.331110701744358</v>
      </c>
      <c r="N7" s="47">
        <f>'3 Statement Model'!N32*'Debt capacity- TLA &amp; B'!N6</f>
        <v>-58.681041165294495</v>
      </c>
      <c r="O7" s="47">
        <f>'3 Statement Model'!O32*'Debt capacity- TLA &amp; B'!O6</f>
        <v>-61.18026152453065</v>
      </c>
    </row>
    <row r="8" spans="1:15" ht="15" customHeight="1" x14ac:dyDescent="0.35">
      <c r="B8" s="65" t="s">
        <v>93</v>
      </c>
      <c r="F8" s="47">
        <f>'3 Statement Model'!F162</f>
        <v>69.371400000000008</v>
      </c>
      <c r="G8" s="47">
        <f>'3 Statement Model'!G162</f>
        <v>73.482882882000013</v>
      </c>
      <c r="H8" s="47">
        <f>'3 Statement Model'!H162</f>
        <v>77.77057065190202</v>
      </c>
      <c r="I8" s="47">
        <f>'3 Statement Model'!I162</f>
        <v>82.11964531787892</v>
      </c>
      <c r="J8" s="47">
        <f>'3 Statement Model'!J162</f>
        <v>86.565550743365648</v>
      </c>
      <c r="K8" s="47">
        <f>'3 Statement Model'!K162</f>
        <v>91.139359064172055</v>
      </c>
      <c r="L8" s="47">
        <f>'3 Statement Model'!L162</f>
        <v>95.868802190816155</v>
      </c>
      <c r="M8" s="47">
        <f>'3 Statement Model'!M162</f>
        <v>100.61957159343544</v>
      </c>
      <c r="N8" s="47">
        <f>'3 Statement Model'!N162</f>
        <v>105.43565292020972</v>
      </c>
      <c r="O8" s="47">
        <f>'3 Statement Model'!O162</f>
        <v>110.35508041357876</v>
      </c>
    </row>
    <row r="9" spans="1:15" ht="15" customHeight="1" x14ac:dyDescent="0.35">
      <c r="B9" s="65" t="s">
        <v>94</v>
      </c>
      <c r="F9" s="47">
        <f>'3 Statement Model'!F163</f>
        <v>5.9</v>
      </c>
      <c r="G9" s="47">
        <f>'3 Statement Model'!G163</f>
        <v>5.6</v>
      </c>
      <c r="H9" s="47">
        <f>'3 Statement Model'!H163</f>
        <v>5.6</v>
      </c>
      <c r="I9" s="47">
        <f>'3 Statement Model'!I163</f>
        <v>5.6</v>
      </c>
      <c r="J9" s="47">
        <f>'3 Statement Model'!J163</f>
        <v>5.6</v>
      </c>
      <c r="K9" s="47">
        <f>'3 Statement Model'!K163</f>
        <v>5.6</v>
      </c>
      <c r="L9" s="47">
        <f>'3 Statement Model'!L163</f>
        <v>5.6</v>
      </c>
      <c r="M9" s="47">
        <f>'3 Statement Model'!M163</f>
        <v>5.6</v>
      </c>
      <c r="N9" s="47">
        <f>'3 Statement Model'!N163</f>
        <v>5.6</v>
      </c>
      <c r="O9" s="47">
        <f>'3 Statement Model'!O163</f>
        <v>5.6</v>
      </c>
    </row>
    <row r="10" spans="1:15" ht="15" customHeight="1" x14ac:dyDescent="0.35">
      <c r="B10" s="65" t="str">
        <f>'3 Statement Model'!B166</f>
        <v>Changes in pension and post-retirement liabilities</v>
      </c>
      <c r="F10" s="47">
        <f>'3 Statement Model'!F166</f>
        <v>2.7824600000000004</v>
      </c>
      <c r="G10" s="47">
        <f>'3 Statement Model'!G166</f>
        <v>1.5142226000000036</v>
      </c>
      <c r="H10" s="47">
        <f>'3 Statement Model'!H166</f>
        <v>1.392777161999998</v>
      </c>
      <c r="I10" s="47">
        <f>'3 Statement Model'!I166</f>
        <v>1.4653519385400031</v>
      </c>
      <c r="J10" s="47">
        <f>'3 Statement Model'!J166</f>
        <v>1.5420101644458022</v>
      </c>
      <c r="K10" s="47">
        <f>'3 Statement Model'!K166</f>
        <v>1.6229978097733238</v>
      </c>
      <c r="L10" s="47">
        <f>'3 Statement Model'!L166</f>
        <v>1.465639497757536</v>
      </c>
      <c r="M10" s="47">
        <f>'3 Statement Model'!M166</f>
        <v>1.5390818262162895</v>
      </c>
      <c r="N10" s="47">
        <f>'3 Statement Model'!N166</f>
        <v>1.616790544575629</v>
      </c>
      <c r="O10" s="47">
        <f>'3 Statement Model'!O166</f>
        <v>1.6990380629358626</v>
      </c>
    </row>
    <row r="11" spans="1:15" ht="15" customHeight="1" x14ac:dyDescent="0.35">
      <c r="B11" s="65" t="str">
        <f>'3 Statement Model'!B167</f>
        <v>Changes in other LT liabilities</v>
      </c>
      <c r="F11" s="47">
        <f>'3 Statement Model'!F167</f>
        <v>4.8473800000000011</v>
      </c>
      <c r="G11" s="47">
        <f>'3 Statement Model'!G167</f>
        <v>4.5426678000000038</v>
      </c>
      <c r="H11" s="47">
        <f>'3 Statement Model'!H167</f>
        <v>4.1783314859999905</v>
      </c>
      <c r="I11" s="47">
        <f>'3 Statement Model'!I167</f>
        <v>4.3960558156200165</v>
      </c>
      <c r="J11" s="47">
        <f>'3 Statement Model'!J167</f>
        <v>4.6260304933373959</v>
      </c>
      <c r="K11" s="47">
        <f>'3 Statement Model'!K167</f>
        <v>4.8689934293199855</v>
      </c>
      <c r="L11" s="47">
        <f>'3 Statement Model'!L167</f>
        <v>4.396918493272608</v>
      </c>
      <c r="M11" s="47">
        <f>'3 Statement Model'!M167</f>
        <v>4.6172454786488544</v>
      </c>
      <c r="N11" s="47">
        <f>'3 Statement Model'!N167</f>
        <v>4.8503716337269083</v>
      </c>
      <c r="O11" s="47">
        <f>'3 Statement Model'!O167</f>
        <v>5.0971141888075806</v>
      </c>
    </row>
    <row r="12" spans="1:15" ht="15" customHeight="1" x14ac:dyDescent="0.35">
      <c r="B12" s="65" t="str">
        <f>'3 Statement Model'!B169</f>
        <v>Changes in OWC</v>
      </c>
      <c r="F12" s="47">
        <f>'3 Statement Model'!F169</f>
        <v>9.3035418630136633</v>
      </c>
      <c r="G12" s="47">
        <f>'3 Statement Model'!G169</f>
        <v>-2.1033174197260109</v>
      </c>
      <c r="H12" s="47">
        <f>'3 Statement Model'!H169</f>
        <v>-1.9346247154355183</v>
      </c>
      <c r="I12" s="47">
        <f>'3 Statement Model'!I169</f>
        <v>-2.0354340625747227</v>
      </c>
      <c r="J12" s="47">
        <f>'3 Statement Model'!J169</f>
        <v>-2.1419154886959859</v>
      </c>
      <c r="K12" s="47">
        <f>'3 Statement Model'!K169</f>
        <v>-2.2544106563153719</v>
      </c>
      <c r="L12" s="47">
        <f>'3 Statement Model'!L169</f>
        <v>-2.0358334941453222</v>
      </c>
      <c r="M12" s="47">
        <f>'3 Statement Model'!M169</f>
        <v>-2.1378479065525653</v>
      </c>
      <c r="N12" s="47">
        <f>'3 Statement Model'!N169</f>
        <v>-2.2457885098625638</v>
      </c>
      <c r="O12" s="47">
        <f>'3 Statement Model'!O169</f>
        <v>-2.3600336928999468</v>
      </c>
    </row>
    <row r="13" spans="1:15" ht="15" customHeight="1" x14ac:dyDescent="0.35">
      <c r="B13" s="65" t="s">
        <v>127</v>
      </c>
      <c r="F13" s="47">
        <f>'3 Statement Model'!F173</f>
        <v>-90.032118000000011</v>
      </c>
      <c r="G13" s="47">
        <f>'3 Statement Model'!G173</f>
        <v>-95.029052580000013</v>
      </c>
      <c r="H13" s="47">
        <f>'3 Statement Model'!H173</f>
        <v>-99.625217214600013</v>
      </c>
      <c r="I13" s="47">
        <f>'3 Statement Model'!I173</f>
        <v>-104.46087861178202</v>
      </c>
      <c r="J13" s="47">
        <f>'3 Statement Model'!J173</f>
        <v>-109.54951215445315</v>
      </c>
      <c r="K13" s="47">
        <f>'3 Statement Model'!K173</f>
        <v>-114.90540492670515</v>
      </c>
      <c r="L13" s="47">
        <f>'3 Statement Model'!L173</f>
        <v>-119.742015269305</v>
      </c>
      <c r="M13" s="47">
        <f>'3 Statement Model'!M173</f>
        <v>-124.82098529581876</v>
      </c>
      <c r="N13" s="47">
        <f>'3 Statement Model'!N173</f>
        <v>-130.15639409291833</v>
      </c>
      <c r="O13" s="47">
        <f>'3 Statement Model'!O173</f>
        <v>-135.7632197006067</v>
      </c>
    </row>
    <row r="14" spans="1:15" ht="15" customHeight="1" x14ac:dyDescent="0.35">
      <c r="B14" s="65" t="s">
        <v>224</v>
      </c>
      <c r="F14" s="47">
        <f>'3 Statement Model'!F174</f>
        <v>0</v>
      </c>
      <c r="G14" s="47">
        <f>'3 Statement Model'!G174</f>
        <v>0</v>
      </c>
      <c r="H14" s="47">
        <f>'3 Statement Model'!H174</f>
        <v>0</v>
      </c>
      <c r="I14" s="47">
        <f>'3 Statement Model'!I174</f>
        <v>0</v>
      </c>
      <c r="J14" s="47">
        <f>'3 Statement Model'!J174</f>
        <v>0</v>
      </c>
      <c r="K14" s="47">
        <f>'3 Statement Model'!K174</f>
        <v>0</v>
      </c>
      <c r="L14" s="47">
        <f>'3 Statement Model'!L174</f>
        <v>0</v>
      </c>
      <c r="M14" s="47">
        <f>'3 Statement Model'!M174</f>
        <v>0</v>
      </c>
      <c r="N14" s="47">
        <f>'3 Statement Model'!N174</f>
        <v>0</v>
      </c>
      <c r="O14" s="47">
        <f>'3 Statement Model'!O174</f>
        <v>0</v>
      </c>
    </row>
    <row r="15" spans="1:15" ht="15" customHeight="1" x14ac:dyDescent="0.35">
      <c r="B15" s="65" t="s">
        <v>225</v>
      </c>
      <c r="F15" s="47">
        <f>'3 Statement Model'!F175</f>
        <v>0</v>
      </c>
      <c r="G15" s="47">
        <f>'3 Statement Model'!G175</f>
        <v>0</v>
      </c>
      <c r="H15" s="47">
        <f>'3 Statement Model'!H175</f>
        <v>0</v>
      </c>
      <c r="I15" s="47">
        <f>'3 Statement Model'!I175</f>
        <v>0</v>
      </c>
      <c r="J15" s="47">
        <f>'3 Statement Model'!J175</f>
        <v>0</v>
      </c>
      <c r="K15" s="47">
        <f>'3 Statement Model'!K175</f>
        <v>0</v>
      </c>
      <c r="L15" s="47">
        <f>'3 Statement Model'!L175</f>
        <v>0</v>
      </c>
      <c r="M15" s="47">
        <f>'3 Statement Model'!M175</f>
        <v>0</v>
      </c>
      <c r="N15" s="47">
        <f>'3 Statement Model'!N175</f>
        <v>0</v>
      </c>
      <c r="O15" s="47">
        <f>'3 Statement Model'!O175</f>
        <v>0</v>
      </c>
    </row>
    <row r="16" spans="1:15" ht="15" customHeight="1" x14ac:dyDescent="0.35">
      <c r="B16" s="92" t="s">
        <v>208</v>
      </c>
      <c r="C16" s="50"/>
      <c r="D16" s="50"/>
      <c r="E16" s="50"/>
      <c r="F16" s="50">
        <f>SUM(F6:F15)</f>
        <v>156.08437752301364</v>
      </c>
      <c r="G16" s="50">
        <f t="shared" ref="G16:O16" si="1">SUM(G6:G15)</f>
        <v>150.75078042009415</v>
      </c>
      <c r="H16" s="50">
        <f t="shared" si="1"/>
        <v>157.63085135346597</v>
      </c>
      <c r="I16" s="50">
        <f t="shared" si="1"/>
        <v>165.35850290648133</v>
      </c>
      <c r="J16" s="50">
        <f t="shared" si="1"/>
        <v>173.46372247679477</v>
      </c>
      <c r="K16" s="50">
        <f t="shared" si="1"/>
        <v>181.97325073584022</v>
      </c>
      <c r="L16" s="50">
        <f t="shared" si="1"/>
        <v>189.18173387590417</v>
      </c>
      <c r="M16" s="50">
        <f t="shared" si="1"/>
        <v>197.32933928820566</v>
      </c>
      <c r="N16" s="50">
        <f t="shared" si="1"/>
        <v>205.85312068898213</v>
      </c>
      <c r="O16" s="50">
        <f t="shared" si="1"/>
        <v>214.78229643552615</v>
      </c>
    </row>
    <row r="18" spans="2:12" ht="15" customHeight="1" x14ac:dyDescent="0.35">
      <c r="B18" s="47" t="s">
        <v>227</v>
      </c>
      <c r="C18" s="66">
        <v>7</v>
      </c>
    </row>
    <row r="19" spans="2:12" ht="15" customHeight="1" x14ac:dyDescent="0.35">
      <c r="B19" s="47" t="s">
        <v>228</v>
      </c>
      <c r="C19" s="95">
        <v>4.2500000000000003E-2</v>
      </c>
    </row>
    <row r="20" spans="2:12" ht="15" customHeight="1" x14ac:dyDescent="0.35">
      <c r="B20" s="47" t="s">
        <v>237</v>
      </c>
    </row>
    <row r="22" spans="2:12" ht="15" customHeight="1" x14ac:dyDescent="0.35">
      <c r="B22" s="94" t="s">
        <v>230</v>
      </c>
    </row>
    <row r="23" spans="2:12" ht="15" customHeight="1" x14ac:dyDescent="0.35">
      <c r="B23" s="47" t="s">
        <v>231</v>
      </c>
    </row>
    <row r="24" spans="2:12" ht="15" customHeight="1" x14ac:dyDescent="0.35">
      <c r="B24" s="47" t="s">
        <v>232</v>
      </c>
    </row>
    <row r="25" spans="2:12" ht="15" customHeight="1" x14ac:dyDescent="0.35">
      <c r="B25" s="47" t="s">
        <v>233</v>
      </c>
    </row>
    <row r="26" spans="2:12" ht="15" customHeight="1" x14ac:dyDescent="0.35">
      <c r="B26" s="47" t="s">
        <v>234</v>
      </c>
    </row>
    <row r="27" spans="2:12" ht="15" customHeight="1" x14ac:dyDescent="0.35">
      <c r="B27" s="50" t="s">
        <v>235</v>
      </c>
      <c r="C27" s="50"/>
      <c r="D27" s="50"/>
      <c r="E27" s="50"/>
      <c r="F27" s="50"/>
      <c r="G27" s="50"/>
      <c r="H27" s="50"/>
      <c r="I27" s="50"/>
      <c r="J27" s="50"/>
      <c r="K27" s="50"/>
      <c r="L27" s="50"/>
    </row>
    <row r="29" spans="2:12" ht="15" customHeight="1" x14ac:dyDescent="0.35">
      <c r="B29" s="47" t="s">
        <v>238</v>
      </c>
    </row>
    <row r="31" spans="2:12" ht="15" customHeight="1" x14ac:dyDescent="0.35">
      <c r="B31" s="47" t="s">
        <v>227</v>
      </c>
      <c r="C31" s="66">
        <v>6</v>
      </c>
    </row>
    <row r="32" spans="2:12" ht="15" customHeight="1" x14ac:dyDescent="0.35">
      <c r="B32" s="47" t="s">
        <v>228</v>
      </c>
      <c r="C32" s="93">
        <v>3.7499999999999999E-2</v>
      </c>
    </row>
    <row r="33" spans="2:15" ht="15" customHeight="1" x14ac:dyDescent="0.35">
      <c r="B33" s="47" t="s">
        <v>236</v>
      </c>
    </row>
    <row r="34" spans="2:15" ht="15" customHeight="1" x14ac:dyDescent="0.35">
      <c r="B34" s="65"/>
    </row>
    <row r="35" spans="2:15" ht="15" customHeight="1" x14ac:dyDescent="0.35">
      <c r="B35" s="94" t="s">
        <v>230</v>
      </c>
    </row>
    <row r="36" spans="2:15" ht="15" customHeight="1" x14ac:dyDescent="0.35">
      <c r="B36" s="47" t="s">
        <v>231</v>
      </c>
    </row>
    <row r="37" spans="2:15" ht="15" customHeight="1" x14ac:dyDescent="0.35">
      <c r="B37" s="47" t="s">
        <v>232</v>
      </c>
    </row>
    <row r="38" spans="2:15" ht="15" customHeight="1" x14ac:dyDescent="0.35">
      <c r="B38" s="47" t="s">
        <v>233</v>
      </c>
    </row>
    <row r="39" spans="2:15" ht="15" customHeight="1" x14ac:dyDescent="0.35">
      <c r="B39" s="47" t="s">
        <v>234</v>
      </c>
    </row>
    <row r="40" spans="2:15" ht="15" customHeight="1" x14ac:dyDescent="0.35">
      <c r="B40" s="50" t="s">
        <v>235</v>
      </c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</row>
    <row r="41" spans="2:15" ht="15" customHeight="1" x14ac:dyDescent="0.35">
      <c r="B41" s="67"/>
    </row>
    <row r="42" spans="2:15" ht="15" customHeight="1" x14ac:dyDescent="0.35">
      <c r="B42" s="67" t="s">
        <v>196</v>
      </c>
      <c r="E42" s="47">
        <f>SUM(E40,E27)</f>
        <v>0</v>
      </c>
      <c r="F42" s="47">
        <f>SUM(F40,F27)</f>
        <v>0</v>
      </c>
      <c r="G42" s="47">
        <f t="shared" ref="G42:K42" si="2">SUM(G40,G27)</f>
        <v>0</v>
      </c>
      <c r="H42" s="47">
        <f t="shared" si="2"/>
        <v>0</v>
      </c>
      <c r="I42" s="47">
        <f t="shared" si="2"/>
        <v>0</v>
      </c>
      <c r="J42" s="47">
        <f t="shared" si="2"/>
        <v>0</v>
      </c>
      <c r="K42" s="47">
        <f t="shared" si="2"/>
        <v>0</v>
      </c>
    </row>
    <row r="43" spans="2:15" ht="15" customHeight="1" x14ac:dyDescent="0.35">
      <c r="B43" s="67" t="s">
        <v>92</v>
      </c>
      <c r="F43" s="47">
        <f>F6+F8+F9</f>
        <v>270.09635400000002</v>
      </c>
      <c r="G43" s="47">
        <f t="shared" ref="G43:K43" si="3">G6+G8+G9</f>
        <v>285.08715774000018</v>
      </c>
      <c r="H43" s="47">
        <f t="shared" si="3"/>
        <v>298.87565164380015</v>
      </c>
      <c r="I43" s="47">
        <f t="shared" si="3"/>
        <v>313.38263583534621</v>
      </c>
      <c r="J43" s="47">
        <f t="shared" si="3"/>
        <v>328.64853646335945</v>
      </c>
      <c r="K43" s="47">
        <f t="shared" si="3"/>
        <v>344.71621478011559</v>
      </c>
    </row>
    <row r="44" spans="2:15" ht="15" customHeight="1" x14ac:dyDescent="0.35">
      <c r="B44" s="67" t="s">
        <v>239</v>
      </c>
      <c r="F44" s="68">
        <f>F42/F43</f>
        <v>0</v>
      </c>
      <c r="G44" s="68">
        <f t="shared" ref="G44:K44" si="4">G42/G43</f>
        <v>0</v>
      </c>
      <c r="H44" s="68">
        <f t="shared" si="4"/>
        <v>0</v>
      </c>
      <c r="I44" s="68">
        <f t="shared" si="4"/>
        <v>0</v>
      </c>
      <c r="J44" s="68">
        <f t="shared" si="4"/>
        <v>0</v>
      </c>
      <c r="K44" s="68">
        <f t="shared" si="4"/>
        <v>0</v>
      </c>
    </row>
    <row r="45" spans="2:15" ht="15" customHeight="1" x14ac:dyDescent="0.35">
      <c r="B45" s="67" t="s">
        <v>240</v>
      </c>
      <c r="F45" s="68">
        <f>F40/F43</f>
        <v>0</v>
      </c>
      <c r="G45" s="68">
        <f t="shared" ref="G45:K45" si="5">G40/G43</f>
        <v>0</v>
      </c>
      <c r="H45" s="68">
        <f t="shared" si="5"/>
        <v>0</v>
      </c>
      <c r="I45" s="68">
        <f t="shared" si="5"/>
        <v>0</v>
      </c>
      <c r="J45" s="68">
        <f t="shared" si="5"/>
        <v>0</v>
      </c>
      <c r="K45" s="68">
        <f t="shared" si="5"/>
        <v>0</v>
      </c>
    </row>
    <row r="46" spans="2:15" ht="15" customHeight="1" x14ac:dyDescent="0.35">
      <c r="B46" s="65" t="s">
        <v>241</v>
      </c>
      <c r="F46" s="68" t="e">
        <f>F43/(F37+F24)</f>
        <v>#DIV/0!</v>
      </c>
      <c r="G46" s="68" t="e">
        <f t="shared" ref="G46:K46" si="6">G43/(G37+G24)</f>
        <v>#DIV/0!</v>
      </c>
      <c r="H46" s="68" t="e">
        <f t="shared" si="6"/>
        <v>#DIV/0!</v>
      </c>
      <c r="I46" s="68" t="e">
        <f t="shared" si="6"/>
        <v>#DIV/0!</v>
      </c>
      <c r="J46" s="68" t="e">
        <f t="shared" si="6"/>
        <v>#DIV/0!</v>
      </c>
      <c r="K46" s="68" t="e">
        <f t="shared" si="6"/>
        <v>#DIV/0!</v>
      </c>
    </row>
    <row r="47" spans="2:15" ht="15" customHeight="1" x14ac:dyDescent="0.35">
      <c r="B47" s="65" t="s">
        <v>242</v>
      </c>
      <c r="F47" s="68" t="e">
        <f>(F43+F13)/(F37+F24)</f>
        <v>#DIV/0!</v>
      </c>
      <c r="G47" s="68" t="e">
        <f t="shared" ref="G47:K47" si="7">(G43+G13)/(G37+G24)</f>
        <v>#DIV/0!</v>
      </c>
      <c r="H47" s="68" t="e">
        <f t="shared" si="7"/>
        <v>#DIV/0!</v>
      </c>
      <c r="I47" s="68" t="e">
        <f t="shared" si="7"/>
        <v>#DIV/0!</v>
      </c>
      <c r="J47" s="68" t="e">
        <f t="shared" si="7"/>
        <v>#DIV/0!</v>
      </c>
      <c r="K47" s="68" t="e">
        <f t="shared" si="7"/>
        <v>#DIV/0!</v>
      </c>
    </row>
    <row r="48" spans="2:15" ht="15" customHeight="1" x14ac:dyDescent="0.35">
      <c r="B48" s="65"/>
    </row>
    <row r="49" spans="1:2" ht="15" customHeight="1" x14ac:dyDescent="0.35">
      <c r="B49" s="65"/>
    </row>
    <row r="50" spans="1:2" ht="15" customHeight="1" x14ac:dyDescent="0.35">
      <c r="B50" s="65"/>
    </row>
    <row r="51" spans="1:2" ht="15" customHeight="1" x14ac:dyDescent="0.35">
      <c r="B51" s="65"/>
    </row>
    <row r="52" spans="1:2" ht="15" customHeight="1" x14ac:dyDescent="0.35">
      <c r="B52" s="65"/>
    </row>
    <row r="53" spans="1:2" ht="15" customHeight="1" x14ac:dyDescent="0.35">
      <c r="B53" s="65"/>
    </row>
    <row r="54" spans="1:2" ht="15" customHeight="1" x14ac:dyDescent="0.35">
      <c r="B54" s="65"/>
    </row>
    <row r="56" spans="1:2" ht="15" customHeight="1" x14ac:dyDescent="0.35">
      <c r="A56" s="11" t="s">
        <v>49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Welcome</vt:lpstr>
      <vt:lpstr>Info</vt:lpstr>
      <vt:lpstr>3 Statement Model</vt:lpstr>
      <vt:lpstr>Ratios</vt:lpstr>
      <vt:lpstr>Debt capacity- TLA</vt:lpstr>
      <vt:lpstr>Debt capacity- TLA &amp; B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Cordone</dc:creator>
  <cp:lastModifiedBy>Chris Cordone</cp:lastModifiedBy>
  <cp:lastPrinted>2016-02-04T14:08:33Z</cp:lastPrinted>
  <dcterms:created xsi:type="dcterms:W3CDTF">2016-02-03T14:06:14Z</dcterms:created>
  <dcterms:modified xsi:type="dcterms:W3CDTF">2020-04-02T05:00:42Z</dcterms:modified>
</cp:coreProperties>
</file>