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624"/>
  <workbookPr/>
  <mc:AlternateContent xmlns:mc="http://schemas.openxmlformats.org/markup-compatibility/2006">
    <mc:Choice Requires="x15">
      <x15ac:absPath xmlns:x15ac="http://schemas.microsoft.com/office/spreadsheetml/2010/11/ac" url="G:\My Drive\D Taylor\Useful Materials\FIG Insurance\5. Life Insurance - Modeling\Recordings\20. Equity Circular Reference\"/>
    </mc:Choice>
  </mc:AlternateContent>
  <xr:revisionPtr revIDLastSave="0" documentId="8_{69BCE4AA-0346-42B4-B9A2-6CAC65F5F39D}" xr6:coauthVersionLast="45" xr6:coauthVersionMax="45" xr10:uidLastSave="{00000000-0000-0000-0000-000000000000}"/>
  <bookViews>
    <workbookView xWindow="-120" yWindow="-120" windowWidth="20640" windowHeight="11160" xr2:uid="{00000000-000D-0000-FFFF-FFFF00000000}"/>
  </bookViews>
  <sheets>
    <sheet name="Welcome" sheetId="1" r:id="rId1"/>
    <sheet name="Info" sheetId="6" r:id="rId2"/>
    <sheet name="Life insurance model" sheetId="2" r:id="rId3"/>
  </sheets>
  <externalReferences>
    <externalReference r:id="rId4"/>
  </externalReferences>
  <definedNames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"01/29/2016 15:32:18"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Area" localSheetId="2">'Life insurance model'!$A$1:$M$157</definedName>
    <definedName name="switch">Info!$N$10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61" i="2" l="1"/>
  <c r="F59" i="2"/>
  <c r="K79" i="2"/>
  <c r="G151" i="2" l="1"/>
  <c r="H151" i="2"/>
  <c r="I151" i="2"/>
  <c r="J151" i="2"/>
  <c r="G152" i="2"/>
  <c r="H152" i="2" s="1"/>
  <c r="I152" i="2" s="1"/>
  <c r="G153" i="2"/>
  <c r="H153" i="2"/>
  <c r="I153" i="2"/>
  <c r="J153" i="2"/>
  <c r="G154" i="2"/>
  <c r="H154" i="2" s="1"/>
  <c r="I154" i="2" s="1"/>
  <c r="J154" i="2" s="1"/>
  <c r="F154" i="2"/>
  <c r="F153" i="2"/>
  <c r="F152" i="2"/>
  <c r="F151" i="2"/>
  <c r="J152" i="2" l="1"/>
  <c r="D135" i="2"/>
  <c r="E135" i="2"/>
  <c r="C135" i="2"/>
  <c r="G134" i="2"/>
  <c r="H134" i="2"/>
  <c r="I134" i="2"/>
  <c r="J134" i="2"/>
  <c r="F134" i="2"/>
  <c r="G146" i="2" l="1"/>
  <c r="H146" i="2"/>
  <c r="I146" i="2"/>
  <c r="J146" i="2"/>
  <c r="G147" i="2"/>
  <c r="H147" i="2"/>
  <c r="I147" i="2"/>
  <c r="J147" i="2"/>
  <c r="F147" i="2"/>
  <c r="F146" i="2"/>
  <c r="D148" i="2"/>
  <c r="E148" i="2"/>
  <c r="D156" i="2"/>
  <c r="E156" i="2"/>
  <c r="G149" i="2"/>
  <c r="D141" i="2" l="1"/>
  <c r="G126" i="2" l="1"/>
  <c r="H126" i="2"/>
  <c r="I126" i="2"/>
  <c r="J126" i="2"/>
  <c r="G128" i="2"/>
  <c r="H128" i="2"/>
  <c r="I128" i="2"/>
  <c r="J128" i="2"/>
  <c r="G129" i="2"/>
  <c r="H129" i="2"/>
  <c r="I129" i="2"/>
  <c r="J129" i="2"/>
  <c r="F129" i="2"/>
  <c r="F128" i="2"/>
  <c r="F126" i="2"/>
  <c r="G119" i="2" l="1"/>
  <c r="H119" i="2"/>
  <c r="I119" i="2"/>
  <c r="J119" i="2"/>
  <c r="J121" i="2" s="1"/>
  <c r="G120" i="2"/>
  <c r="H120" i="2"/>
  <c r="I120" i="2"/>
  <c r="J120" i="2"/>
  <c r="G121" i="2"/>
  <c r="H121" i="2"/>
  <c r="I121" i="2"/>
  <c r="G123" i="2"/>
  <c r="H123" i="2"/>
  <c r="I123" i="2"/>
  <c r="F123" i="2"/>
  <c r="F121" i="2"/>
  <c r="F120" i="2"/>
  <c r="F119" i="2"/>
  <c r="G113" i="2"/>
  <c r="H113" i="2"/>
  <c r="I113" i="2"/>
  <c r="J113" i="2"/>
  <c r="G115" i="2"/>
  <c r="H115" i="2"/>
  <c r="I115" i="2"/>
  <c r="J115" i="2"/>
  <c r="G116" i="2"/>
  <c r="H116" i="2"/>
  <c r="I116" i="2"/>
  <c r="J116" i="2"/>
  <c r="F116" i="2"/>
  <c r="F115" i="2"/>
  <c r="F113" i="2"/>
  <c r="J123" i="2" l="1"/>
  <c r="G33" i="2"/>
  <c r="G34" i="2"/>
  <c r="H34" i="2"/>
  <c r="I34" i="2"/>
  <c r="J34" i="2"/>
  <c r="G35" i="2"/>
  <c r="H33" i="2" s="1"/>
  <c r="H35" i="2" s="1"/>
  <c r="G38" i="2"/>
  <c r="H38" i="2"/>
  <c r="G39" i="2"/>
  <c r="G40" i="2"/>
  <c r="G41" i="2"/>
  <c r="G66" i="2" s="1"/>
  <c r="G44" i="2"/>
  <c r="G45" i="2"/>
  <c r="H45" i="2"/>
  <c r="I45" i="2"/>
  <c r="J45" i="2"/>
  <c r="G46" i="2"/>
  <c r="G47" i="2"/>
  <c r="G74" i="2" s="1"/>
  <c r="G65" i="2"/>
  <c r="G67" i="2"/>
  <c r="G73" i="2"/>
  <c r="H73" i="2"/>
  <c r="G75" i="2"/>
  <c r="H75" i="2"/>
  <c r="G80" i="2"/>
  <c r="H80" i="2"/>
  <c r="H67" i="2" s="1"/>
  <c r="G81" i="2"/>
  <c r="G51" i="2" s="1"/>
  <c r="G70" i="2" s="1"/>
  <c r="H81" i="2"/>
  <c r="H51" i="2" s="1"/>
  <c r="H70" i="2" s="1"/>
  <c r="G82" i="2"/>
  <c r="G68" i="2" s="1"/>
  <c r="H82" i="2"/>
  <c r="H39" i="2" s="1"/>
  <c r="G83" i="2"/>
  <c r="H83" i="2"/>
  <c r="I83" i="2"/>
  <c r="J83" i="2"/>
  <c r="G84" i="2"/>
  <c r="H84" i="2"/>
  <c r="G85" i="2"/>
  <c r="H85" i="2"/>
  <c r="F70" i="2"/>
  <c r="H65" i="2" l="1"/>
  <c r="I33" i="2"/>
  <c r="I35" i="2" s="1"/>
  <c r="I82" i="2"/>
  <c r="I80" i="2"/>
  <c r="H44" i="2"/>
  <c r="H68" i="2"/>
  <c r="H40" i="2"/>
  <c r="H41" i="2" s="1"/>
  <c r="G2" i="2"/>
  <c r="H2" i="2" s="1"/>
  <c r="I2" i="2" s="1"/>
  <c r="J2" i="2" s="1"/>
  <c r="G12" i="2"/>
  <c r="H12" i="2"/>
  <c r="I12" i="2"/>
  <c r="J12" i="2"/>
  <c r="G29" i="2"/>
  <c r="H29" i="2"/>
  <c r="I29" i="2"/>
  <c r="J29" i="2" s="1"/>
  <c r="G30" i="2"/>
  <c r="H30" i="2"/>
  <c r="I30" i="2"/>
  <c r="J30" i="2"/>
  <c r="H66" i="2" l="1"/>
  <c r="I38" i="2"/>
  <c r="I67" i="2"/>
  <c r="I73" i="2"/>
  <c r="I75" i="2"/>
  <c r="I81" i="2"/>
  <c r="I85" i="2"/>
  <c r="J80" i="2"/>
  <c r="I84" i="2"/>
  <c r="I65" i="2"/>
  <c r="J33" i="2"/>
  <c r="J35" i="2" s="1"/>
  <c r="J65" i="2" s="1"/>
  <c r="H46" i="2"/>
  <c r="H47" i="2" s="1"/>
  <c r="I39" i="2"/>
  <c r="I68" i="2"/>
  <c r="J82" i="2"/>
  <c r="G109" i="2"/>
  <c r="H109" i="2"/>
  <c r="I109" i="2"/>
  <c r="J109" i="2"/>
  <c r="H74" i="2" l="1"/>
  <c r="I44" i="2"/>
  <c r="J84" i="2"/>
  <c r="J67" i="2"/>
  <c r="J73" i="2"/>
  <c r="J75" i="2"/>
  <c r="J81" i="2"/>
  <c r="J85" i="2"/>
  <c r="I51" i="2"/>
  <c r="I70" i="2" s="1"/>
  <c r="J39" i="2"/>
  <c r="J68" i="2"/>
  <c r="I40" i="2"/>
  <c r="I41" i="2" s="1"/>
  <c r="G142" i="2"/>
  <c r="H142" i="2"/>
  <c r="I142" i="2"/>
  <c r="J142" i="2" s="1"/>
  <c r="I66" i="2" l="1"/>
  <c r="J38" i="2"/>
  <c r="J51" i="2"/>
  <c r="J70" i="2" s="1"/>
  <c r="I47" i="2"/>
  <c r="I46" i="2"/>
  <c r="F51" i="2"/>
  <c r="I74" i="2" l="1"/>
  <c r="J44" i="2"/>
  <c r="J40" i="2"/>
  <c r="J41" i="2" s="1"/>
  <c r="J66" i="2" s="1"/>
  <c r="F85" i="2"/>
  <c r="F84" i="2"/>
  <c r="F83" i="2"/>
  <c r="F75" i="2"/>
  <c r="F73" i="2"/>
  <c r="J46" i="2" l="1"/>
  <c r="J47" i="2" s="1"/>
  <c r="J74" i="2" s="1"/>
  <c r="F74" i="2"/>
  <c r="F47" i="2"/>
  <c r="F46" i="2"/>
  <c r="F45" i="2"/>
  <c r="F44" i="2"/>
  <c r="F66" i="2"/>
  <c r="F65" i="2"/>
  <c r="F41" i="2"/>
  <c r="F40" i="2"/>
  <c r="F39" i="2"/>
  <c r="F38" i="2"/>
  <c r="F35" i="2"/>
  <c r="F34" i="2"/>
  <c r="F33" i="2"/>
  <c r="F68" i="2"/>
  <c r="F67" i="2"/>
  <c r="F81" i="2" l="1"/>
  <c r="F82" i="2"/>
  <c r="F80" i="2"/>
  <c r="F30" i="2" l="1"/>
  <c r="F29" i="2"/>
  <c r="D132" i="2" l="1"/>
  <c r="E132" i="2"/>
  <c r="C132" i="2"/>
  <c r="D130" i="2"/>
  <c r="E130" i="2"/>
  <c r="C130" i="2"/>
  <c r="D127" i="2"/>
  <c r="E127" i="2"/>
  <c r="C127" i="2"/>
  <c r="D124" i="2"/>
  <c r="E124" i="2"/>
  <c r="C124" i="2"/>
  <c r="D117" i="2"/>
  <c r="E117" i="2"/>
  <c r="C117" i="2"/>
  <c r="D88" i="2"/>
  <c r="E88" i="2"/>
  <c r="C88" i="2"/>
  <c r="D86" i="2"/>
  <c r="E86" i="2"/>
  <c r="C86" i="2"/>
  <c r="D77" i="2"/>
  <c r="E77" i="2"/>
  <c r="C77" i="2"/>
  <c r="E69" i="2" l="1"/>
  <c r="E72" i="2" l="1"/>
  <c r="E21" i="2" s="1"/>
  <c r="D69" i="2"/>
  <c r="C69" i="2"/>
  <c r="E81" i="2"/>
  <c r="D81" i="2"/>
  <c r="C81" i="2"/>
  <c r="E22" i="2" l="1"/>
  <c r="C72" i="2"/>
  <c r="C22" i="2" s="1"/>
  <c r="D72" i="2"/>
  <c r="D22" i="2" s="1"/>
  <c r="E154" i="2"/>
  <c r="D154" i="2"/>
  <c r="E152" i="2"/>
  <c r="D152" i="2"/>
  <c r="E151" i="2"/>
  <c r="D151" i="2"/>
  <c r="D15" i="2"/>
  <c r="C15" i="2"/>
  <c r="E16" i="2"/>
  <c r="D16" i="2"/>
  <c r="E116" i="2"/>
  <c r="D116" i="2"/>
  <c r="C116" i="2"/>
  <c r="E47" i="2"/>
  <c r="E75" i="2"/>
  <c r="D75" i="2"/>
  <c r="C75" i="2"/>
  <c r="D18" i="2"/>
  <c r="E18" i="2"/>
  <c r="C18" i="2"/>
  <c r="E11" i="2"/>
  <c r="D11" i="2"/>
  <c r="D109" i="2"/>
  <c r="E109" i="2"/>
  <c r="F109" i="2" s="1"/>
  <c r="C109" i="2"/>
  <c r="C21" i="2" l="1"/>
  <c r="D21" i="2"/>
  <c r="C125" i="2"/>
  <c r="C126" i="2" s="1"/>
  <c r="E125" i="2"/>
  <c r="E126" i="2" s="1"/>
  <c r="D125" i="2"/>
  <c r="D150" i="2"/>
  <c r="E146" i="2"/>
  <c r="E145" i="2"/>
  <c r="E140" i="2" s="1"/>
  <c r="D146" i="2"/>
  <c r="D145" i="2"/>
  <c r="E150" i="2"/>
  <c r="D140" i="2" l="1"/>
  <c r="D102" i="2"/>
  <c r="D126" i="2"/>
  <c r="E102" i="2"/>
  <c r="D147" i="2"/>
  <c r="D142" i="2" s="1"/>
  <c r="E147" i="2"/>
  <c r="E62" i="2"/>
  <c r="E13" i="2"/>
  <c r="D13" i="2"/>
  <c r="E41" i="2"/>
  <c r="E35" i="2"/>
  <c r="D139" i="2" l="1"/>
  <c r="E139" i="2"/>
  <c r="E142" i="2"/>
  <c r="F142" i="2" s="1"/>
  <c r="E6" i="2" l="1"/>
  <c r="E94" i="2"/>
  <c r="E96" i="2"/>
  <c r="E97" i="2"/>
  <c r="E99" i="2"/>
  <c r="E100" i="2"/>
  <c r="E80" i="2"/>
  <c r="E141" i="2" s="1"/>
  <c r="E85" i="2"/>
  <c r="E83" i="2"/>
  <c r="E128" i="2"/>
  <c r="E105" i="2" s="1"/>
  <c r="E121" i="2"/>
  <c r="D121" i="2"/>
  <c r="E103" i="2"/>
  <c r="D103" i="2"/>
  <c r="D5" i="2"/>
  <c r="E29" i="2"/>
  <c r="E15" i="2" s="1"/>
  <c r="C100" i="2"/>
  <c r="D100" i="2"/>
  <c r="D6" i="2"/>
  <c r="D99" i="2"/>
  <c r="C94" i="2"/>
  <c r="D94" i="2"/>
  <c r="D97" i="2"/>
  <c r="C97" i="2"/>
  <c r="C96" i="2"/>
  <c r="D96" i="2"/>
  <c r="D80" i="2"/>
  <c r="D10" i="2" s="1"/>
  <c r="C80" i="2"/>
  <c r="D85" i="2"/>
  <c r="C85" i="2"/>
  <c r="D83" i="2"/>
  <c r="D23" i="2" s="1"/>
  <c r="C83" i="2"/>
  <c r="C23" i="2" s="1"/>
  <c r="C121" i="2"/>
  <c r="D128" i="2"/>
  <c r="D105" i="2" s="1"/>
  <c r="C128" i="2"/>
  <c r="C105" i="2" s="1"/>
  <c r="E10" i="2" l="1"/>
  <c r="D92" i="2"/>
  <c r="C10" i="2"/>
  <c r="E92" i="2"/>
  <c r="C17" i="2"/>
  <c r="E9" i="2"/>
  <c r="E17" i="2"/>
  <c r="D17" i="2"/>
  <c r="D9" i="2"/>
  <c r="E23" i="2"/>
  <c r="C20" i="2"/>
  <c r="C19" i="2"/>
  <c r="E19" i="2"/>
  <c r="E14" i="2"/>
  <c r="E20" i="2"/>
  <c r="E5" i="2"/>
  <c r="D14" i="2"/>
  <c r="D19" i="2"/>
  <c r="D20" i="2"/>
  <c r="E25" i="2"/>
  <c r="D93" i="2"/>
  <c r="E24" i="2"/>
  <c r="C25" i="2"/>
  <c r="E93" i="2"/>
  <c r="E98" i="2"/>
  <c r="D106" i="2"/>
  <c r="E106" i="2"/>
  <c r="D25" i="2"/>
  <c r="C24" i="2"/>
  <c r="D24" i="2"/>
  <c r="C98" i="2"/>
  <c r="D98" i="2"/>
  <c r="E107" i="2" l="1"/>
  <c r="D107" i="2"/>
  <c r="C107" i="2"/>
  <c r="A7" i="1"/>
  <c r="E2" i="2" l="1"/>
  <c r="A1" i="6"/>
  <c r="D2" i="2" l="1"/>
  <c r="C2" i="2" s="1"/>
  <c r="F2" i="2" l="1"/>
  <c r="F50" i="2" l="1"/>
  <c r="G50" i="2"/>
  <c r="H50" i="2"/>
  <c r="I50" i="2"/>
  <c r="J50" i="2"/>
  <c r="F52" i="2"/>
  <c r="G52" i="2"/>
  <c r="H52" i="2"/>
  <c r="I52" i="2"/>
  <c r="J52" i="2"/>
  <c r="F53" i="2"/>
  <c r="G53" i="2"/>
  <c r="H53" i="2"/>
  <c r="I53" i="2"/>
  <c r="J53" i="2"/>
  <c r="F54" i="2"/>
  <c r="G54" i="2"/>
  <c r="H54" i="2"/>
  <c r="I54" i="2"/>
  <c r="J54" i="2"/>
  <c r="F55" i="2"/>
  <c r="G55" i="2"/>
  <c r="H55" i="2"/>
  <c r="I55" i="2"/>
  <c r="J55" i="2"/>
  <c r="F56" i="2"/>
  <c r="G56" i="2"/>
  <c r="H56" i="2"/>
  <c r="I56" i="2"/>
  <c r="J56" i="2"/>
  <c r="G59" i="2"/>
  <c r="H59" i="2"/>
  <c r="I59" i="2"/>
  <c r="J59" i="2"/>
  <c r="F60" i="2"/>
  <c r="G60" i="2"/>
  <c r="H60" i="2"/>
  <c r="I60" i="2"/>
  <c r="J60" i="2"/>
  <c r="G61" i="2"/>
  <c r="H61" i="2"/>
  <c r="I61" i="2"/>
  <c r="J61" i="2"/>
  <c r="F62" i="2"/>
  <c r="G62" i="2"/>
  <c r="H62" i="2"/>
  <c r="I62" i="2"/>
  <c r="J62" i="2"/>
  <c r="F69" i="2"/>
  <c r="G69" i="2"/>
  <c r="H69" i="2"/>
  <c r="I69" i="2"/>
  <c r="J69" i="2"/>
  <c r="F71" i="2"/>
  <c r="G71" i="2"/>
  <c r="H71" i="2"/>
  <c r="I71" i="2"/>
  <c r="J71" i="2"/>
  <c r="F72" i="2"/>
  <c r="G72" i="2"/>
  <c r="H72" i="2"/>
  <c r="I72" i="2"/>
  <c r="J72" i="2"/>
  <c r="F76" i="2"/>
  <c r="G76" i="2"/>
  <c r="H76" i="2"/>
  <c r="I76" i="2"/>
  <c r="J76" i="2"/>
  <c r="F77" i="2"/>
  <c r="G77" i="2"/>
  <c r="H77" i="2"/>
  <c r="I77" i="2"/>
  <c r="J77" i="2"/>
  <c r="F79" i="2"/>
  <c r="G79" i="2"/>
  <c r="H79" i="2"/>
  <c r="I79" i="2"/>
  <c r="J79" i="2"/>
  <c r="F86" i="2"/>
  <c r="G86" i="2"/>
  <c r="H86" i="2"/>
  <c r="I86" i="2"/>
  <c r="J86" i="2"/>
  <c r="F88" i="2"/>
  <c r="G88" i="2"/>
  <c r="H88" i="2"/>
  <c r="I88" i="2"/>
  <c r="J88" i="2"/>
  <c r="F114" i="2"/>
  <c r="G114" i="2"/>
  <c r="H114" i="2"/>
  <c r="I114" i="2"/>
  <c r="J114" i="2"/>
  <c r="F117" i="2"/>
  <c r="G117" i="2"/>
  <c r="H117" i="2"/>
  <c r="I117" i="2"/>
  <c r="J117" i="2"/>
  <c r="F122" i="2"/>
  <c r="G122" i="2"/>
  <c r="H122" i="2"/>
  <c r="I122" i="2"/>
  <c r="J122" i="2"/>
  <c r="F124" i="2"/>
  <c r="G124" i="2"/>
  <c r="H124" i="2"/>
  <c r="I124" i="2"/>
  <c r="J124" i="2"/>
  <c r="F125" i="2"/>
  <c r="G125" i="2"/>
  <c r="H125" i="2"/>
  <c r="I125" i="2"/>
  <c r="J125" i="2"/>
  <c r="F127" i="2"/>
  <c r="G127" i="2"/>
  <c r="H127" i="2"/>
  <c r="I127" i="2"/>
  <c r="J127" i="2"/>
  <c r="F130" i="2"/>
  <c r="G130" i="2"/>
  <c r="H130" i="2"/>
  <c r="I130" i="2"/>
  <c r="J130" i="2"/>
  <c r="F131" i="2"/>
  <c r="G131" i="2"/>
  <c r="H131" i="2"/>
  <c r="I131" i="2"/>
  <c r="J131" i="2"/>
  <c r="F132" i="2"/>
  <c r="G132" i="2"/>
  <c r="H132" i="2"/>
  <c r="I132" i="2"/>
  <c r="J132" i="2"/>
  <c r="F135" i="2"/>
  <c r="G135" i="2"/>
  <c r="H135" i="2"/>
  <c r="I135" i="2"/>
  <c r="J135" i="2"/>
  <c r="F145" i="2"/>
  <c r="G145" i="2"/>
  <c r="H145" i="2"/>
  <c r="I145" i="2"/>
  <c r="J145" i="2"/>
  <c r="F148" i="2"/>
  <c r="G148" i="2"/>
  <c r="H148" i="2"/>
  <c r="I148" i="2"/>
  <c r="J148" i="2"/>
  <c r="F150" i="2"/>
  <c r="G150" i="2"/>
  <c r="H150" i="2"/>
  <c r="I150" i="2"/>
  <c r="J150" i="2"/>
  <c r="F155" i="2"/>
  <c r="G155" i="2"/>
  <c r="H155" i="2"/>
  <c r="I155" i="2"/>
  <c r="J155" i="2"/>
  <c r="F156" i="2"/>
  <c r="G156" i="2"/>
  <c r="H156" i="2"/>
  <c r="I156" i="2"/>
  <c r="J156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Alastair Matchett</author>
    <author>tc={7AFC6E1A-3BFF-4183-9F41-8FA96DAB62C4}</author>
    <author>tc={F50FCAF6-6479-4522-A17F-ADC1806040CA}</author>
    <author>tc={535B4730-53B7-4944-8656-0EB8F2796BC1}</author>
    <author>tc={EB057771-36CB-4F8B-9F28-4677DD366A55}</author>
  </authors>
  <commentList>
    <comment ref="B34" authorId="0" shapeId="0" xr:uid="{00000000-0006-0000-0200-000006000000}">
      <text>
        <r>
          <rPr>
            <b/>
            <sz val="9"/>
            <color indexed="81"/>
            <rFont val="Tahoma"/>
            <family val="2"/>
          </rPr>
          <t>FE:</t>
        </r>
        <r>
          <rPr>
            <sz val="9"/>
            <color indexed="81"/>
            <rFont val="Tahoma"/>
            <family val="2"/>
          </rPr>
          <t xml:space="preserve">
Use a min function to stop intangibles going to zero</t>
        </r>
      </text>
    </comment>
    <comment ref="D75" authorId="1" shapeId="0" xr:uid="{7AFC6E1A-3BFF-4183-9F41-8FA96DAB62C4}">
      <text>
        <t>[Threaded comment]
Your version of Excel allows you to read this threaded comment; however, any edits to it will get removed if the file is opened in a newer version of Excel. Learn more: https://go.microsoft.com/fwlink/?linkid=870924
Comment:
    Includes assets held for sale of €16,146</t>
      </text>
    </comment>
    <comment ref="E75" authorId="2" shapeId="0" xr:uid="{F50FCAF6-6479-4522-A17F-ADC1806040CA}">
      <text>
        <t>[Threaded comment]
Your version of Excel allows you to read this threaded comment; however, any edits to it will get removed if the file is opened in a newer version of Excel. Learn more: https://go.microsoft.com/fwlink/?linkid=870924
Comment:
    Includes assets held for sale of €55,914</t>
      </text>
    </comment>
    <comment ref="D85" authorId="3" shapeId="0" xr:uid="{535B4730-53B7-4944-8656-0EB8F2796BC1}">
      <text>
        <t>[Threaded comment]
Your version of Excel allows you to read this threaded comment; however, any edits to it will get removed if the file is opened in a newer version of Excel. Learn more: https://go.microsoft.com/fwlink/?linkid=870924
Comment:
    Includes liabilities held for sale of €15,745</t>
      </text>
    </comment>
    <comment ref="E85" authorId="4" shapeId="0" xr:uid="{EB057771-36CB-4F8B-9F28-4677DD366A55}">
      <text>
        <t>[Threaded comment]
Your version of Excel allows you to read this threaded comment; however, any edits to it will get removed if the file is opened in a newer version of Excel. Learn more: https://go.microsoft.com/fwlink/?linkid=870924
Comment:
    Includes liabilities held for sale of €54,883</t>
      </text>
    </comment>
  </commentList>
</comments>
</file>

<file path=xl/sharedStrings.xml><?xml version="1.0" encoding="utf-8"?>
<sst xmlns="http://schemas.openxmlformats.org/spreadsheetml/2006/main" count="188" uniqueCount="158">
  <si>
    <t>Features</t>
  </si>
  <si>
    <t>◦</t>
  </si>
  <si>
    <t>Model Details</t>
  </si>
  <si>
    <t>Company name</t>
  </si>
  <si>
    <t>Date</t>
  </si>
  <si>
    <t>Currency</t>
  </si>
  <si>
    <t>Units</t>
  </si>
  <si>
    <t>Analyst Name</t>
  </si>
  <si>
    <t>Circular Switch</t>
  </si>
  <si>
    <t>ABC Incorporated</t>
  </si>
  <si>
    <t>USD</t>
  </si>
  <si>
    <t>Millions</t>
  </si>
  <si>
    <t>Firstname Lastname</t>
  </si>
  <si>
    <t>This document is for training purposes only. Financial Edge accepts no responsibility or liability for any other purpose or usage.</t>
  </si>
  <si>
    <t>Hist.</t>
  </si>
  <si>
    <t>Proj.</t>
  </si>
  <si>
    <t>Formatting</t>
  </si>
  <si>
    <t>Input</t>
  </si>
  <si>
    <t>Hard coded</t>
  </si>
  <si>
    <t>Formulas</t>
  </si>
  <si>
    <t>Workout Information</t>
  </si>
  <si>
    <t>Tab Structure</t>
  </si>
  <si>
    <t>Integrated financial statement forecast</t>
  </si>
  <si>
    <t>Profit before tax</t>
  </si>
  <si>
    <t>Taxation</t>
  </si>
  <si>
    <t>Profit for the year</t>
  </si>
  <si>
    <t>Diluted earnings per share (pence)</t>
  </si>
  <si>
    <t>Diluted weighted average shares</t>
  </si>
  <si>
    <t>Income statement</t>
  </si>
  <si>
    <t>Balance sheet</t>
  </si>
  <si>
    <t>Other assets</t>
  </si>
  <si>
    <t>Total assets</t>
  </si>
  <si>
    <t>Total liabilities and equity</t>
  </si>
  <si>
    <t>Check</t>
  </si>
  <si>
    <t>Effective tax rate</t>
  </si>
  <si>
    <t>Diluted weighted average shares outstanding</t>
  </si>
  <si>
    <t>Calculations</t>
  </si>
  <si>
    <t>Net PP&amp;E</t>
  </si>
  <si>
    <t>Beginning</t>
  </si>
  <si>
    <t>Capex</t>
  </si>
  <si>
    <t>Depreciation</t>
  </si>
  <si>
    <t xml:space="preserve"> Ending</t>
  </si>
  <si>
    <t>Shareholders' equity</t>
  </si>
  <si>
    <t>Intangibles</t>
  </si>
  <si>
    <t>Amortization</t>
  </si>
  <si>
    <t>Marginal tax rate</t>
  </si>
  <si>
    <t>Dividends</t>
  </si>
  <si>
    <t>Financial institutions - life insurance</t>
  </si>
  <si>
    <t>Generali SpA</t>
  </si>
  <si>
    <t>Depreciation % of beginning PP&amp;E</t>
  </si>
  <si>
    <t>Receivables % of insurance provisions</t>
  </si>
  <si>
    <t>Other assets % of insurance provisions</t>
  </si>
  <si>
    <t>Payables % of insurance provisions</t>
  </si>
  <si>
    <t>Investment margin % of average investments</t>
  </si>
  <si>
    <t>Life segment</t>
  </si>
  <si>
    <t>P&amp;C segment</t>
  </si>
  <si>
    <t>Loss ratio</t>
  </si>
  <si>
    <t>Expense ratio</t>
  </si>
  <si>
    <t>Capex % of insurance provisions</t>
  </si>
  <si>
    <t>Technical margin</t>
  </si>
  <si>
    <t>Investment margin</t>
  </si>
  <si>
    <t>Net premium earned</t>
  </si>
  <si>
    <t>Goodwill and other intangible assets</t>
  </si>
  <si>
    <t>Tangible assets</t>
  </si>
  <si>
    <t>Life investments</t>
  </si>
  <si>
    <t>P&amp;C investments</t>
  </si>
  <si>
    <t>Receivables</t>
  </si>
  <si>
    <t>Cash and cash equivalents</t>
  </si>
  <si>
    <t>Other liabilities % of insurance provisions</t>
  </si>
  <si>
    <t>Financial liabilities</t>
  </si>
  <si>
    <t>Payables</t>
  </si>
  <si>
    <t xml:space="preserve">Other liabilities </t>
  </si>
  <si>
    <t>Subordinated liabilities</t>
  </si>
  <si>
    <t>Proposed dividend</t>
  </si>
  <si>
    <t>Solvency Capital Requirement</t>
  </si>
  <si>
    <t>Equity</t>
  </si>
  <si>
    <t>Beginning balance</t>
  </si>
  <si>
    <t>Net income</t>
  </si>
  <si>
    <t>Ending balance</t>
  </si>
  <si>
    <t>Expenses % of technical margin</t>
  </si>
  <si>
    <t>Acquisition and administration costs</t>
  </si>
  <si>
    <t>Other operating income/(expense)</t>
  </si>
  <si>
    <t>Life segment operating result</t>
  </si>
  <si>
    <t>P&amp;C segment operating result</t>
  </si>
  <si>
    <t>Total operating result</t>
  </si>
  <si>
    <t>Interest expense</t>
  </si>
  <si>
    <t>Other non-operating income/expense</t>
  </si>
  <si>
    <t>Other operating expenses</t>
  </si>
  <si>
    <t>P&amp;C insurance provisions</t>
  </si>
  <si>
    <t>Gross written premium growth rate - life</t>
  </si>
  <si>
    <t>Gross written premium growth rate - non-life</t>
  </si>
  <si>
    <t>Non-operating income/(expense) amount</t>
  </si>
  <si>
    <t>Net premium earned % gross written premium</t>
  </si>
  <si>
    <t>Life insurance provisions and liabilities</t>
  </si>
  <si>
    <t>Financial liabilities amount</t>
  </si>
  <si>
    <t>Other operating expenses % net premium earned</t>
  </si>
  <si>
    <t>Interest expense % average financial liabilities</t>
  </si>
  <si>
    <t>Other operating income amount</t>
  </si>
  <si>
    <t>Claims expense</t>
  </si>
  <si>
    <t>Investments &amp; cash</t>
  </si>
  <si>
    <t>Cash &amp; cash equivalents</t>
  </si>
  <si>
    <t>Total investment and cash</t>
  </si>
  <si>
    <t>Gross written premiums</t>
  </si>
  <si>
    <t>Life</t>
  </si>
  <si>
    <t>Non-life</t>
  </si>
  <si>
    <t>Own Funds %  SCR (100% reg min)</t>
  </si>
  <si>
    <t>Underwriting risk</t>
  </si>
  <si>
    <t>Capital Requirement</t>
  </si>
  <si>
    <t>Diversification and other adjustments amount</t>
  </si>
  <si>
    <t>Other investments</t>
  </si>
  <si>
    <t>Other investments % investments &amp; cash</t>
  </si>
  <si>
    <t>Other investment income</t>
  </si>
  <si>
    <t>Other segments</t>
  </si>
  <si>
    <t>Integrated model of a simplified European life insurance business</t>
  </si>
  <si>
    <t>Solvency Capital calculations and capital analysis</t>
  </si>
  <si>
    <t>Life reinsurance % of life insurance provisions</t>
  </si>
  <si>
    <t>P&amp;C reinsurance % of P&amp;C insurance provisions</t>
  </si>
  <si>
    <t>Life business ceded to reinsurers</t>
  </si>
  <si>
    <t>P&amp;C business ceded to reinsurers</t>
  </si>
  <si>
    <t>Life insurance provisions growth rate</t>
  </si>
  <si>
    <t>Non-life insurance provisions growth rate</t>
  </si>
  <si>
    <t>DAC asset</t>
  </si>
  <si>
    <t>Capitalised acquisition costs</t>
  </si>
  <si>
    <t>Intangible amortization amount</t>
  </si>
  <si>
    <t>DAC amortization % opening DAC</t>
  </si>
  <si>
    <t>DAC amortization</t>
  </si>
  <si>
    <t>Other expenses</t>
  </si>
  <si>
    <t>Capitalized DAC % life GWP</t>
  </si>
  <si>
    <t>Dividends per share</t>
  </si>
  <si>
    <t>Other adjustments</t>
  </si>
  <si>
    <t>Reinsurance in insurance models</t>
  </si>
  <si>
    <t>Unit-linked business in insurance models</t>
  </si>
  <si>
    <t>Life and non-life business in insurance models</t>
  </si>
  <si>
    <t>Investment allocation</t>
  </si>
  <si>
    <t>Other investment income % of average investments</t>
  </si>
  <si>
    <t>Of which investment risk is borne by policyholder</t>
  </si>
  <si>
    <t>Unit-linked business % life insurance provisions</t>
  </si>
  <si>
    <t>Underwriting risk % net insurance provisions</t>
  </si>
  <si>
    <t>Technical margin % of average net insurance provisions</t>
  </si>
  <si>
    <t xml:space="preserve">Investment margin % of average investments </t>
  </si>
  <si>
    <t>Traditional life</t>
  </si>
  <si>
    <t>Unit linked business</t>
  </si>
  <si>
    <t xml:space="preserve">P&amp;C </t>
  </si>
  <si>
    <t>Life and P&amp;C investments % investments &amp; cash</t>
  </si>
  <si>
    <t>Total life and P&amp;C investments</t>
  </si>
  <si>
    <t>MTM and insurance reserves adjustments</t>
  </si>
  <si>
    <t>Own Funds</t>
  </si>
  <si>
    <t>Other risks and diversification adjustment</t>
  </si>
  <si>
    <t>Financial and credit risk % total assets ex intangibles</t>
  </si>
  <si>
    <t>DAC asset on life business</t>
  </si>
  <si>
    <t>Intangibles and DAC asset</t>
  </si>
  <si>
    <t>Financial and credit risk</t>
  </si>
  <si>
    <t>Solvency Capital Assumptions</t>
  </si>
  <si>
    <t>Income statement assumptions</t>
  </si>
  <si>
    <t>End</t>
  </si>
  <si>
    <t>Premiums assumptions</t>
  </si>
  <si>
    <t>Balance sheet assumptions</t>
  </si>
  <si>
    <t>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</si>
</sst>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2" formatCode="_-&quot;£&quot;* #,##0_-;\-&quot;£&quot;* #,##0_-;_-&quot;£&quot;* &quot;-&quot;_-;_-@_-"/>
    <numFmt numFmtId="41" formatCode="_-* #,##0_-;\-* #,##0_-;_-* &quot;-&quot;_-;_-@_-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[$-409]d\-mmm\-yy;@"/>
    <numFmt numFmtId="165" formatCode="0.0"/>
    <numFmt numFmtId="166" formatCode="#,##0.0_);\(#,##0.0\)\,0.0_);@_)"/>
    <numFmt numFmtId="167" formatCode="#,##0.0\ \x_);\(#,##0.0\ \x\);"/>
    <numFmt numFmtId="168" formatCode="0.0%_);\(0.0%\)"/>
    <numFmt numFmtId="169" formatCode=";;;"/>
    <numFmt numFmtId="170" formatCode="#,##0.0_);\(#,##0.0\);0.0_);@_)"/>
    <numFmt numFmtId="171" formatCode="#,##0.00_);\(#,##0.00\);0.00_);@_)"/>
    <numFmt numFmtId="172" formatCode="0.00%_);\(0.00%\)"/>
  </numFmts>
  <fonts count="42" x14ac:knownFonts="1">
    <font>
      <sz val="11"/>
      <color theme="1" tint="0.24994659260841701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sz val="11"/>
      <color rgb="FF085393"/>
      <name val="Calibri"/>
      <family val="2"/>
      <scheme val="minor"/>
    </font>
    <font>
      <b/>
      <sz val="12"/>
      <color rgb="FF163260"/>
      <name val="Calibri"/>
      <family val="2"/>
      <scheme val="minor"/>
    </font>
    <font>
      <sz val="10"/>
      <color rgb="FF085393"/>
      <name val="Calibri"/>
      <family val="2"/>
      <scheme val="minor"/>
    </font>
    <font>
      <u/>
      <sz val="11"/>
      <color rgb="FF085393"/>
      <name val="Calibri"/>
      <family val="2"/>
      <scheme val="minor"/>
    </font>
    <font>
      <u/>
      <sz val="14"/>
      <color rgb="FF085393"/>
      <name val="Calibri"/>
      <family val="2"/>
      <scheme val="minor"/>
    </font>
    <font>
      <sz val="16"/>
      <color theme="0"/>
      <name val="Calibri Light"/>
      <family val="2"/>
      <scheme val="maj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8"/>
      <color rgb="FF006100"/>
      <name val="Calibri"/>
      <family val="2"/>
      <scheme val="minor"/>
    </font>
    <font>
      <sz val="18"/>
      <color rgb="FF9C0006"/>
      <name val="Calibri"/>
      <family val="2"/>
      <scheme val="minor"/>
    </font>
    <font>
      <sz val="18"/>
      <color rgb="FF9C6500"/>
      <name val="Calibri"/>
      <family val="2"/>
      <scheme val="minor"/>
    </font>
    <font>
      <sz val="18"/>
      <color rgb="FF3F3F76"/>
      <name val="Calibri"/>
      <family val="2"/>
      <scheme val="minor"/>
    </font>
    <font>
      <b/>
      <sz val="18"/>
      <color rgb="FF3F3F3F"/>
      <name val="Calibri"/>
      <family val="2"/>
      <scheme val="minor"/>
    </font>
    <font>
      <b/>
      <sz val="18"/>
      <color rgb="FFFA7D00"/>
      <name val="Calibri"/>
      <family val="2"/>
      <scheme val="minor"/>
    </font>
    <font>
      <sz val="18"/>
      <color rgb="FFFA7D0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8"/>
      <color rgb="FFFF0000"/>
      <name val="Calibri"/>
      <family val="2"/>
      <scheme val="minor"/>
    </font>
    <font>
      <i/>
      <sz val="18"/>
      <color rgb="FF7F7F7F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rgb="FF0000FF"/>
      <name val="Calibri"/>
      <family val="2"/>
      <scheme val="minor"/>
    </font>
    <font>
      <sz val="9"/>
      <color rgb="FF085393"/>
      <name val="Calibri"/>
      <family val="2"/>
      <scheme val="minor"/>
    </font>
    <font>
      <sz val="22"/>
      <color theme="0"/>
      <name val="Calibri Light"/>
      <family val="2"/>
      <scheme val="maj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rgb="FF085393"/>
      <name val="Calibri"/>
      <family val="2"/>
      <scheme val="minor"/>
    </font>
    <font>
      <b/>
      <i/>
      <sz val="12"/>
      <color rgb="FF163260"/>
      <name val="Calibri"/>
      <family val="2"/>
      <scheme val="minor"/>
    </font>
    <font>
      <i/>
      <sz val="11"/>
      <color rgb="FF085393"/>
      <name val="Calibri"/>
      <family val="2"/>
      <scheme val="minor"/>
    </font>
    <font>
      <i/>
      <sz val="11"/>
      <color rgb="FF0000FF"/>
      <name val="Calibri"/>
      <family val="2"/>
      <scheme val="minor"/>
    </font>
    <font>
      <i/>
      <sz val="11"/>
      <color theme="1" tint="0.24994659260841701"/>
      <name val="Calibri"/>
      <family val="2"/>
      <scheme val="minor"/>
    </font>
    <font>
      <sz val="12"/>
      <color rgb="FF163260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163260"/>
        <bgColor indexed="64"/>
      </patternFill>
    </fill>
    <fill>
      <patternFill patternType="solid">
        <fgColor rgb="FF0853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0F8FE"/>
        <bgColor indexed="64"/>
      </patternFill>
    </fill>
    <fill>
      <patternFill patternType="solid">
        <fgColor theme="7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theme="0" tint="-0.1499984740745262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BDEFB"/>
      </left>
      <right style="thin">
        <color rgb="FFBBDEFB"/>
      </right>
      <top style="thin">
        <color rgb="FFBBDEFB"/>
      </top>
      <bottom style="thin">
        <color rgb="FFBBDEFB"/>
      </bottom>
      <diagonal/>
    </border>
    <border>
      <left/>
      <right/>
      <top/>
      <bottom style="medium">
        <color theme="0" tint="-0.14996795556505021"/>
      </bottom>
      <diagonal/>
    </border>
  </borders>
  <cellStyleXfs count="65">
    <xf numFmtId="170" fontId="0" fillId="0" borderId="0"/>
    <xf numFmtId="0" fontId="6" fillId="0" borderId="0" applyNumberFormat="0" applyFill="0" applyBorder="0" applyAlignment="0" applyProtection="0"/>
    <xf numFmtId="43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2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2" applyNumberFormat="0" applyFill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3" fillId="0" borderId="0" applyNumberFormat="0" applyFill="0" applyBorder="0" applyAlignment="0" applyProtection="0"/>
    <xf numFmtId="0" fontId="14" fillId="6" borderId="0" applyNumberFormat="0" applyBorder="0" applyAlignment="0" applyProtection="0"/>
    <xf numFmtId="0" fontId="15" fillId="7" borderId="0" applyNumberFormat="0" applyBorder="0" applyAlignment="0" applyProtection="0"/>
    <xf numFmtId="0" fontId="16" fillId="8" borderId="0" applyNumberFormat="0" applyBorder="0" applyAlignment="0" applyProtection="0"/>
    <xf numFmtId="0" fontId="17" fillId="9" borderId="5" applyNumberFormat="0" applyAlignment="0" applyProtection="0"/>
    <xf numFmtId="0" fontId="18" fillId="10" borderId="6" applyNumberFormat="0" applyAlignment="0" applyProtection="0"/>
    <xf numFmtId="0" fontId="19" fillId="10" borderId="5" applyNumberFormat="0" applyAlignment="0" applyProtection="0"/>
    <xf numFmtId="0" fontId="20" fillId="0" borderId="7" applyNumberFormat="0" applyFill="0" applyAlignment="0" applyProtection="0"/>
    <xf numFmtId="0" fontId="21" fillId="11" borderId="8" applyNumberFormat="0" applyAlignment="0" applyProtection="0"/>
    <xf numFmtId="0" fontId="22" fillId="0" borderId="0" applyNumberFormat="0" applyFill="0" applyBorder="0" applyAlignment="0" applyProtection="0"/>
    <xf numFmtId="0" fontId="9" fillId="12" borderId="9" applyNumberFormat="0" applyFont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5" fillId="28" borderId="0" applyNumberFormat="0" applyBorder="0" applyAlignment="0" applyProtection="0"/>
    <xf numFmtId="0" fontId="25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5" fillId="32" borderId="0" applyNumberFormat="0" applyBorder="0" applyAlignment="0" applyProtection="0"/>
    <xf numFmtId="0" fontId="25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5" fillId="36" borderId="0" applyNumberFormat="0" applyBorder="0" applyAlignment="0" applyProtection="0"/>
    <xf numFmtId="0" fontId="32" fillId="2" borderId="0" applyNumberFormat="0">
      <alignment horizontal="left"/>
    </xf>
    <xf numFmtId="0" fontId="8" fillId="3" borderId="0" applyNumberFormat="0" applyAlignment="0">
      <alignment horizontal="left"/>
    </xf>
    <xf numFmtId="0" fontId="4" fillId="0" borderId="0" applyNumberFormat="0" applyFill="0" applyBorder="0">
      <alignment horizontal="left" vertical="center"/>
    </xf>
    <xf numFmtId="0" fontId="2" fillId="5" borderId="0" applyNumberFormat="0" applyFont="0" applyAlignment="0" applyProtection="0">
      <alignment vertical="top"/>
    </xf>
    <xf numFmtId="164" fontId="28" fillId="3" borderId="0">
      <alignment horizontal="center"/>
    </xf>
    <xf numFmtId="166" fontId="27" fillId="2" borderId="0">
      <alignment horizontal="center"/>
    </xf>
    <xf numFmtId="166" fontId="3" fillId="0" borderId="0">
      <alignment vertical="top"/>
    </xf>
    <xf numFmtId="164" fontId="2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29" fillId="2" borderId="0" applyFont="0" applyFill="0" applyBorder="0" applyAlignment="0" applyProtection="0"/>
    <xf numFmtId="166" fontId="30" fillId="2" borderId="0" applyNumberFormat="0" applyFill="0" applyBorder="0" applyAlignment="0" applyProtection="0"/>
    <xf numFmtId="166" fontId="31" fillId="0" borderId="0" applyNumberFormat="0" applyFill="0" applyBorder="0" applyAlignment="0">
      <alignment vertical="top"/>
    </xf>
    <xf numFmtId="169" fontId="29" fillId="2" borderId="0" applyFont="0" applyFill="0" applyBorder="0" applyAlignment="0" applyProtection="0"/>
    <xf numFmtId="167" fontId="30" fillId="37" borderId="11" applyNumberFormat="0">
      <protection locked="0"/>
    </xf>
    <xf numFmtId="0" fontId="2" fillId="5" borderId="12" applyFont="0" applyAlignment="0" applyProtection="0">
      <alignment vertical="top"/>
    </xf>
    <xf numFmtId="166" fontId="32" fillId="3" borderId="0" applyNumberFormat="0" applyBorder="0">
      <alignment horizontal="center" vertical="top"/>
    </xf>
    <xf numFmtId="166" fontId="3" fillId="38" borderId="0" applyNumberFormat="0" applyFont="0" applyBorder="0" applyAlignment="0" applyProtection="0">
      <alignment vertical="top"/>
    </xf>
  </cellStyleXfs>
  <cellXfs count="112">
    <xf numFmtId="170" fontId="0" fillId="0" borderId="0" xfId="0"/>
    <xf numFmtId="170" fontId="2" fillId="5" borderId="0" xfId="0" applyFont="1" applyFill="1" applyBorder="1"/>
    <xf numFmtId="170" fontId="2" fillId="4" borderId="0" xfId="0" applyFont="1" applyFill="1" applyBorder="1"/>
    <xf numFmtId="170" fontId="2" fillId="5" borderId="0" xfId="0" applyFont="1" applyFill="1" applyBorder="1" applyAlignment="1">
      <alignment vertical="top" wrapText="1"/>
    </xf>
    <xf numFmtId="170" fontId="2" fillId="5" borderId="1" xfId="0" applyFont="1" applyFill="1" applyBorder="1" applyAlignment="1">
      <alignment vertical="top"/>
    </xf>
    <xf numFmtId="166" fontId="32" fillId="2" borderId="0" xfId="48" applyNumberFormat="1">
      <alignment horizontal="left"/>
    </xf>
    <xf numFmtId="170" fontId="25" fillId="2" borderId="0" xfId="0" applyFont="1" applyFill="1" applyBorder="1" applyAlignment="1"/>
    <xf numFmtId="170" fontId="26" fillId="3" borderId="0" xfId="0" applyFont="1" applyFill="1" applyBorder="1" applyAlignment="1"/>
    <xf numFmtId="170" fontId="3" fillId="5" borderId="0" xfId="0" applyFont="1" applyFill="1" applyBorder="1" applyAlignment="1">
      <alignment vertical="top"/>
    </xf>
    <xf numFmtId="170" fontId="25" fillId="2" borderId="0" xfId="0" applyFont="1" applyFill="1" applyBorder="1" applyAlignment="1">
      <alignment vertical="center"/>
    </xf>
    <xf numFmtId="164" fontId="28" fillId="3" borderId="0" xfId="52">
      <alignment horizontal="center"/>
    </xf>
    <xf numFmtId="166" fontId="27" fillId="2" borderId="0" xfId="53">
      <alignment horizontal="center"/>
    </xf>
    <xf numFmtId="166" fontId="32" fillId="2" borderId="0" xfId="48" applyNumberFormat="1" applyAlignment="1"/>
    <xf numFmtId="166" fontId="8" fillId="3" borderId="0" xfId="49" applyNumberFormat="1" applyAlignment="1"/>
    <xf numFmtId="166" fontId="4" fillId="0" borderId="0" xfId="50" applyNumberFormat="1">
      <alignment horizontal="left" vertical="center"/>
    </xf>
    <xf numFmtId="166" fontId="3" fillId="0" borderId="0" xfId="54">
      <alignment vertical="top"/>
    </xf>
    <xf numFmtId="170" fontId="2" fillId="5" borderId="0" xfId="0" applyFont="1" applyFill="1" applyBorder="1" applyAlignment="1">
      <alignment horizontal="left" vertical="top"/>
    </xf>
    <xf numFmtId="170" fontId="2" fillId="5" borderId="0" xfId="0" applyFont="1" applyFill="1" applyBorder="1" applyAlignment="1">
      <alignment vertical="top"/>
    </xf>
    <xf numFmtId="170" fontId="2" fillId="0" borderId="0" xfId="0" applyFont="1" applyFill="1" applyBorder="1" applyAlignment="1">
      <alignment vertical="top" wrapText="1"/>
    </xf>
    <xf numFmtId="170" fontId="3" fillId="0" borderId="0" xfId="0" applyFont="1" applyFill="1" applyBorder="1" applyAlignment="1">
      <alignment vertical="top"/>
    </xf>
    <xf numFmtId="170" fontId="2" fillId="0" borderId="0" xfId="0" applyFont="1" applyFill="1" applyBorder="1" applyAlignment="1">
      <alignment horizontal="left" wrapText="1"/>
    </xf>
    <xf numFmtId="170" fontId="2" fillId="0" borderId="0" xfId="0" applyFont="1" applyFill="1" applyBorder="1" applyAlignment="1">
      <alignment vertical="top"/>
    </xf>
    <xf numFmtId="170" fontId="2" fillId="0" borderId="0" xfId="0" applyFont="1" applyFill="1" applyBorder="1"/>
    <xf numFmtId="170" fontId="4" fillId="0" borderId="0" xfId="0" applyFont="1" applyFill="1" applyBorder="1" applyAlignment="1">
      <alignment vertical="center"/>
    </xf>
    <xf numFmtId="170" fontId="5" fillId="0" borderId="0" xfId="0" applyFont="1" applyFill="1" applyBorder="1" applyAlignment="1">
      <alignment vertical="center" wrapText="1"/>
    </xf>
    <xf numFmtId="170" fontId="2" fillId="0" borderId="0" xfId="0" applyFont="1" applyFill="1" applyBorder="1" applyAlignment="1">
      <alignment horizontal="left" vertical="top"/>
    </xf>
    <xf numFmtId="170" fontId="3" fillId="0" borderId="0" xfId="0" applyFont="1" applyFill="1" applyBorder="1" applyAlignment="1">
      <alignment horizontal="center" vertical="top"/>
    </xf>
    <xf numFmtId="170" fontId="7" fillId="0" borderId="0" xfId="0" applyFont="1" applyFill="1" applyBorder="1" applyAlignment="1">
      <alignment vertical="center" wrapText="1"/>
    </xf>
    <xf numFmtId="164" fontId="2" fillId="0" borderId="0" xfId="0" applyNumberFormat="1" applyFont="1" applyFill="1" applyBorder="1" applyAlignment="1">
      <alignment horizontal="left"/>
    </xf>
    <xf numFmtId="170" fontId="2" fillId="0" borderId="0" xfId="0" applyFont="1" applyFill="1" applyBorder="1" applyAlignment="1">
      <alignment horizontal="left"/>
    </xf>
    <xf numFmtId="165" fontId="2" fillId="0" borderId="0" xfId="0" applyNumberFormat="1" applyFont="1" applyFill="1" applyBorder="1" applyAlignment="1">
      <alignment horizontal="left"/>
    </xf>
    <xf numFmtId="170" fontId="0" fillId="0" borderId="0" xfId="0" applyFill="1"/>
    <xf numFmtId="170" fontId="3" fillId="0" borderId="0" xfId="0" applyFont="1" applyFill="1" applyBorder="1" applyAlignment="1">
      <alignment horizontal="left" vertical="top"/>
    </xf>
    <xf numFmtId="170" fontId="3" fillId="0" borderId="0" xfId="0" applyFont="1" applyFill="1" applyBorder="1"/>
    <xf numFmtId="170" fontId="0" fillId="0" borderId="0" xfId="0" applyFill="1" applyBorder="1"/>
    <xf numFmtId="170" fontId="25" fillId="0" borderId="0" xfId="0" applyFont="1" applyFill="1" applyBorder="1" applyAlignment="1"/>
    <xf numFmtId="170" fontId="26" fillId="0" borderId="0" xfId="0" applyFont="1" applyFill="1" applyBorder="1" applyAlignment="1"/>
    <xf numFmtId="166" fontId="30" fillId="0" borderId="0" xfId="58" applyFill="1" applyBorder="1" applyAlignment="1">
      <alignment vertical="top"/>
    </xf>
    <xf numFmtId="166" fontId="2" fillId="5" borderId="0" xfId="51" applyNumberFormat="1" applyFont="1" applyBorder="1" applyAlignment="1">
      <alignment horizontal="left" vertical="top"/>
    </xf>
    <xf numFmtId="166" fontId="3" fillId="5" borderId="0" xfId="51" applyNumberFormat="1" applyFont="1" applyBorder="1" applyAlignment="1">
      <alignment horizontal="center" vertical="top"/>
    </xf>
    <xf numFmtId="166" fontId="2" fillId="5" borderId="0" xfId="51" applyNumberFormat="1" applyFont="1" applyBorder="1" applyAlignment="1"/>
    <xf numFmtId="166" fontId="5" fillId="5" borderId="0" xfId="51" applyNumberFormat="1" applyFont="1" applyBorder="1" applyAlignment="1">
      <alignment vertical="center" wrapText="1"/>
    </xf>
    <xf numFmtId="166" fontId="2" fillId="5" borderId="0" xfId="51" applyNumberFormat="1" applyFont="1" applyAlignment="1">
      <alignment vertical="top"/>
    </xf>
    <xf numFmtId="166" fontId="2" fillId="5" borderId="0" xfId="51" applyNumberFormat="1" applyFont="1" applyAlignment="1"/>
    <xf numFmtId="166" fontId="5" fillId="5" borderId="0" xfId="51" applyNumberFormat="1" applyFont="1" applyAlignment="1">
      <alignment vertical="center" wrapText="1"/>
    </xf>
    <xf numFmtId="0" fontId="2" fillId="5" borderId="12" xfId="62" applyFont="1" applyAlignment="1">
      <alignment vertical="top"/>
    </xf>
    <xf numFmtId="0" fontId="3" fillId="5" borderId="12" xfId="62" applyFont="1" applyAlignment="1">
      <alignment horizontal="center" vertical="top"/>
    </xf>
    <xf numFmtId="0" fontId="2" fillId="5" borderId="12" xfId="62" applyFont="1" applyAlignment="1"/>
    <xf numFmtId="0" fontId="5" fillId="5" borderId="12" xfId="62" applyFont="1" applyAlignment="1">
      <alignment vertical="center" wrapText="1"/>
    </xf>
    <xf numFmtId="170" fontId="25" fillId="0" borderId="0" xfId="0" applyFont="1" applyFill="1" applyBorder="1" applyAlignment="1">
      <alignment vertical="center"/>
    </xf>
    <xf numFmtId="166" fontId="7" fillId="5" borderId="0" xfId="51" applyNumberFormat="1" applyFont="1" applyAlignment="1">
      <alignment vertical="center" wrapText="1"/>
    </xf>
    <xf numFmtId="0" fontId="3" fillId="5" borderId="12" xfId="62" applyFont="1" applyAlignment="1"/>
    <xf numFmtId="0" fontId="2" fillId="5" borderId="12" xfId="62" applyFont="1" applyAlignment="1">
      <alignment horizontal="left"/>
    </xf>
    <xf numFmtId="0" fontId="7" fillId="5" borderId="12" xfId="62" applyFont="1" applyAlignment="1">
      <alignment horizontal="center" vertical="center" wrapText="1"/>
    </xf>
    <xf numFmtId="0" fontId="7" fillId="5" borderId="12" xfId="62" applyFont="1" applyAlignment="1">
      <alignment vertical="center" wrapText="1"/>
    </xf>
    <xf numFmtId="166" fontId="30" fillId="37" borderId="11" xfId="61" applyNumberFormat="1">
      <protection locked="0"/>
    </xf>
    <xf numFmtId="166" fontId="2" fillId="0" borderId="0" xfId="51" applyNumberFormat="1" applyFont="1" applyFill="1" applyAlignment="1"/>
    <xf numFmtId="0" fontId="2" fillId="0" borderId="0" xfId="62" applyFont="1" applyFill="1" applyBorder="1" applyAlignment="1"/>
    <xf numFmtId="170" fontId="0" fillId="5" borderId="0" xfId="51" applyNumberFormat="1" applyFont="1" applyAlignment="1"/>
    <xf numFmtId="170" fontId="2" fillId="5" borderId="0" xfId="51" applyNumberFormat="1" applyFont="1" applyAlignment="1">
      <alignment vertical="top"/>
    </xf>
    <xf numFmtId="0" fontId="0" fillId="5" borderId="12" xfId="62" applyFont="1" applyAlignment="1"/>
    <xf numFmtId="170" fontId="4" fillId="5" borderId="0" xfId="51" applyNumberFormat="1" applyFont="1" applyAlignment="1">
      <alignment vertical="center"/>
    </xf>
    <xf numFmtId="0" fontId="3" fillId="5" borderId="12" xfId="62" applyFont="1" applyAlignment="1">
      <alignment horizontal="left" vertical="top"/>
    </xf>
    <xf numFmtId="170" fontId="30" fillId="0" borderId="0" xfId="58" applyNumberFormat="1" applyFill="1"/>
    <xf numFmtId="166" fontId="4" fillId="0" borderId="0" xfId="50" applyNumberFormat="1" applyFont="1">
      <alignment horizontal="left" vertical="center"/>
    </xf>
    <xf numFmtId="170" fontId="0" fillId="0" borderId="0" xfId="0" applyAlignment="1">
      <alignment horizontal="right"/>
    </xf>
    <xf numFmtId="168" fontId="0" fillId="0" borderId="0" xfId="57" applyFont="1" applyFill="1"/>
    <xf numFmtId="172" fontId="0" fillId="0" borderId="0" xfId="57" applyNumberFormat="1" applyFont="1" applyFill="1"/>
    <xf numFmtId="168" fontId="30" fillId="0" borderId="0" xfId="58" applyNumberFormat="1" applyFill="1"/>
    <xf numFmtId="172" fontId="30" fillId="0" borderId="0" xfId="58" applyNumberFormat="1" applyFill="1"/>
    <xf numFmtId="172" fontId="30" fillId="37" borderId="11" xfId="61" applyNumberFormat="1">
      <protection locked="0"/>
    </xf>
    <xf numFmtId="168" fontId="30" fillId="37" borderId="11" xfId="57" applyFont="1" applyFill="1" applyBorder="1" applyProtection="1">
      <protection locked="0"/>
    </xf>
    <xf numFmtId="170" fontId="30" fillId="37" borderId="11" xfId="61" applyNumberFormat="1">
      <protection locked="0"/>
    </xf>
    <xf numFmtId="168" fontId="30" fillId="37" borderId="11" xfId="61" applyNumberFormat="1">
      <protection locked="0"/>
    </xf>
    <xf numFmtId="166" fontId="35" fillId="0" borderId="0" xfId="54" applyFont="1">
      <alignment vertical="top"/>
    </xf>
    <xf numFmtId="170" fontId="0" fillId="0" borderId="0" xfId="0"/>
    <xf numFmtId="166" fontId="4" fillId="0" borderId="0" xfId="50" applyNumberFormat="1">
      <alignment horizontal="left" vertical="center"/>
    </xf>
    <xf numFmtId="170" fontId="0" fillId="0" borderId="0" xfId="0"/>
    <xf numFmtId="166" fontId="4" fillId="0" borderId="0" xfId="50" applyNumberFormat="1">
      <alignment horizontal="left" vertical="center"/>
    </xf>
    <xf numFmtId="166" fontId="3" fillId="0" borderId="0" xfId="54">
      <alignment vertical="top"/>
    </xf>
    <xf numFmtId="170" fontId="0" fillId="0" borderId="0" xfId="0" applyFill="1"/>
    <xf numFmtId="170" fontId="30" fillId="0" borderId="0" xfId="58" applyNumberFormat="1" applyFill="1"/>
    <xf numFmtId="170" fontId="0" fillId="0" borderId="0" xfId="0" applyAlignment="1">
      <alignment horizontal="right"/>
    </xf>
    <xf numFmtId="168" fontId="0" fillId="0" borderId="0" xfId="57" applyFont="1" applyFill="1"/>
    <xf numFmtId="168" fontId="30" fillId="0" borderId="0" xfId="58" applyNumberFormat="1" applyFill="1"/>
    <xf numFmtId="172" fontId="30" fillId="0" borderId="0" xfId="58" applyNumberFormat="1" applyFill="1"/>
    <xf numFmtId="166" fontId="3" fillId="0" borderId="0" xfId="54" applyFont="1">
      <alignment vertical="top"/>
    </xf>
    <xf numFmtId="168" fontId="0" fillId="0" borderId="0" xfId="57" applyNumberFormat="1" applyFont="1" applyFill="1"/>
    <xf numFmtId="170" fontId="3" fillId="5" borderId="0" xfId="0" applyFont="1" applyFill="1" applyAlignment="1">
      <alignment horizontal="center" vertical="top"/>
    </xf>
    <xf numFmtId="170" fontId="2" fillId="5" borderId="0" xfId="0" applyFont="1" applyFill="1" applyAlignment="1">
      <alignment vertical="top"/>
    </xf>
    <xf numFmtId="171" fontId="0" fillId="0" borderId="0" xfId="0" applyNumberFormat="1"/>
    <xf numFmtId="166" fontId="36" fillId="0" borderId="0" xfId="50" applyNumberFormat="1" applyFont="1">
      <alignment horizontal="left" vertical="center"/>
    </xf>
    <xf numFmtId="166" fontId="37" fillId="0" borderId="0" xfId="54" applyFont="1">
      <alignment vertical="top"/>
    </xf>
    <xf numFmtId="170" fontId="38" fillId="0" borderId="0" xfId="58" applyNumberFormat="1" applyFont="1" applyFill="1"/>
    <xf numFmtId="170" fontId="39" fillId="0" borderId="0" xfId="0" applyFont="1"/>
    <xf numFmtId="170" fontId="0" fillId="0" borderId="0" xfId="0" applyFont="1"/>
    <xf numFmtId="168" fontId="39" fillId="0" borderId="0" xfId="57" applyFont="1" applyFill="1"/>
    <xf numFmtId="166" fontId="40" fillId="0" borderId="0" xfId="50" applyNumberFormat="1" applyFont="1">
      <alignment horizontal="left" vertical="center"/>
    </xf>
    <xf numFmtId="166" fontId="3" fillId="0" borderId="0" xfId="54" applyFill="1">
      <alignment vertical="top"/>
    </xf>
    <xf numFmtId="166" fontId="41" fillId="0" borderId="0" xfId="50" applyNumberFormat="1" applyFont="1">
      <alignment horizontal="left" vertical="center"/>
    </xf>
    <xf numFmtId="166" fontId="32" fillId="2" borderId="0" xfId="48" applyNumberFormat="1" applyFill="1" applyAlignment="1">
      <alignment horizontal="center"/>
    </xf>
    <xf numFmtId="170" fontId="5" fillId="0" borderId="0" xfId="0" applyFont="1" applyFill="1" applyBorder="1" applyAlignment="1">
      <alignment horizontal="center" vertical="center" wrapText="1"/>
    </xf>
    <xf numFmtId="166" fontId="2" fillId="5" borderId="0" xfId="51" applyNumberFormat="1" applyFont="1" applyBorder="1" applyAlignment="1">
      <alignment horizontal="left" vertical="top"/>
    </xf>
    <xf numFmtId="166" fontId="32" fillId="3" borderId="0" xfId="49" applyNumberFormat="1" applyFont="1" applyAlignment="1">
      <alignment horizontal="center" vertical="center"/>
    </xf>
    <xf numFmtId="166" fontId="31" fillId="5" borderId="0" xfId="59" applyNumberFormat="1" applyFill="1" applyBorder="1" applyAlignment="1">
      <alignment horizontal="center" vertical="center" wrapText="1"/>
    </xf>
    <xf numFmtId="170" fontId="7" fillId="0" borderId="0" xfId="0" applyFont="1" applyFill="1" applyBorder="1" applyAlignment="1">
      <alignment horizontal="center" vertical="center" wrapText="1"/>
    </xf>
    <xf numFmtId="170" fontId="0" fillId="5" borderId="0" xfId="51" applyNumberFormat="1" applyFont="1" applyAlignment="1">
      <alignment horizontal="left"/>
    </xf>
    <xf numFmtId="166" fontId="2" fillId="5" borderId="0" xfId="51" applyNumberFormat="1" applyFont="1" applyAlignment="1">
      <alignment horizontal="left"/>
    </xf>
    <xf numFmtId="164" fontId="2" fillId="5" borderId="0" xfId="51" applyNumberFormat="1" applyFont="1" applyAlignment="1">
      <alignment horizontal="left"/>
    </xf>
    <xf numFmtId="0" fontId="2" fillId="5" borderId="0" xfId="51" applyNumberFormat="1" applyFont="1" applyAlignment="1">
      <alignment horizontal="left"/>
    </xf>
    <xf numFmtId="170" fontId="4" fillId="5" borderId="0" xfId="0" applyFont="1" applyFill="1" applyBorder="1" applyAlignment="1">
      <alignment horizontal="left" vertical="center"/>
    </xf>
    <xf numFmtId="170" fontId="4" fillId="5" borderId="0" xfId="50" applyNumberFormat="1" applyFill="1" applyAlignment="1">
      <alignment horizontal="left" vertical="center"/>
    </xf>
  </cellXfs>
  <cellStyles count="65">
    <cellStyle name="20% - Accent1" xfId="25" builtinId="30" hidden="1"/>
    <cellStyle name="20% - Accent2" xfId="29" builtinId="34" hidden="1"/>
    <cellStyle name="20% - Accent3" xfId="33" builtinId="38" hidden="1"/>
    <cellStyle name="20% - Accent4" xfId="37" builtinId="42" hidden="1"/>
    <cellStyle name="20% - Accent5" xfId="41" builtinId="46" hidden="1"/>
    <cellStyle name="20% - Accent6" xfId="45" builtinId="50" hidden="1"/>
    <cellStyle name="40% - Accent1" xfId="26" builtinId="31" hidden="1"/>
    <cellStyle name="40% - Accent2" xfId="30" builtinId="35" hidden="1"/>
    <cellStyle name="40% - Accent3" xfId="34" builtinId="39" hidden="1"/>
    <cellStyle name="40% - Accent4" xfId="38" builtinId="43" hidden="1"/>
    <cellStyle name="40% - Accent5" xfId="42" builtinId="47" hidden="1"/>
    <cellStyle name="40% - Accent6" xfId="46" builtinId="51" hidden="1"/>
    <cellStyle name="60% - Accent1" xfId="27" builtinId="32" hidden="1"/>
    <cellStyle name="60% - Accent2" xfId="31" builtinId="36" hidden="1"/>
    <cellStyle name="60% - Accent3" xfId="35" builtinId="40" hidden="1"/>
    <cellStyle name="60% - Accent4" xfId="39" builtinId="44" hidden="1"/>
    <cellStyle name="60% - Accent5" xfId="43" builtinId="48" hidden="1"/>
    <cellStyle name="60% - Accent6" xfId="47" builtinId="52" hidden="1"/>
    <cellStyle name="Accent1" xfId="24" builtinId="29" hidden="1"/>
    <cellStyle name="Accent2" xfId="28" builtinId="33" hidden="1"/>
    <cellStyle name="Accent3" xfId="32" builtinId="37" hidden="1"/>
    <cellStyle name="Accent4" xfId="36" builtinId="41" hidden="1"/>
    <cellStyle name="Accent5" xfId="40" builtinId="45" hidden="1"/>
    <cellStyle name="Accent6" xfId="44" builtinId="49" hidden="1"/>
    <cellStyle name="Background Fill" xfId="51" xr:uid="{00000000-0005-0000-0000-000018000000}"/>
    <cellStyle name="Bad" xfId="13" builtinId="27" hidden="1"/>
    <cellStyle name="BG Border" xfId="62" xr:uid="{00000000-0005-0000-0000-00001A000000}"/>
    <cellStyle name="Blank" xfId="60" xr:uid="{00000000-0005-0000-0000-00001B000000}"/>
    <cellStyle name="Calculation" xfId="17" builtinId="22" hidden="1"/>
    <cellStyle name="Check Cell" xfId="19" builtinId="23" hidden="1"/>
    <cellStyle name="Comma" xfId="2" builtinId="3" hidden="1"/>
    <cellStyle name="Comma [0]" xfId="3" builtinId="6" hidden="1"/>
    <cellStyle name="Cover Title" xfId="63" xr:uid="{00000000-0005-0000-0000-000020000000}"/>
    <cellStyle name="Currency" xfId="4" builtinId="4" hidden="1"/>
    <cellStyle name="Currency [0]" xfId="5" builtinId="7" hidden="1"/>
    <cellStyle name="Date" xfId="55" xr:uid="{00000000-0005-0000-0000-000023000000}"/>
    <cellStyle name="Date Heading" xfId="52" xr:uid="{00000000-0005-0000-0000-000024000000}"/>
    <cellStyle name="Explanatory Text" xfId="22" builtinId="53" hidden="1"/>
    <cellStyle name="Good" xfId="12" builtinId="26" hidden="1"/>
    <cellStyle name="Hard Coded Number" xfId="58" xr:uid="{00000000-0005-0000-0000-000027000000}"/>
    <cellStyle name="Heading 1" xfId="8" builtinId="16" hidden="1"/>
    <cellStyle name="Heading 2" xfId="9" builtinId="17" hidden="1"/>
    <cellStyle name="Heading 3" xfId="10" builtinId="18" hidden="1"/>
    <cellStyle name="Heading 4" xfId="11" builtinId="19" hidden="1"/>
    <cellStyle name="Highlight" xfId="64" xr:uid="{00000000-0005-0000-0000-00002C000000}"/>
    <cellStyle name="Hist Proj Title" xfId="53" xr:uid="{00000000-0005-0000-0000-00002D000000}"/>
    <cellStyle name="Hyperlink" xfId="1" builtinId="8" hidden="1" customBuiltin="1"/>
    <cellStyle name="Input" xfId="15" builtinId="20" hidden="1"/>
    <cellStyle name="Input" xfId="61" builtinId="20" customBuiltin="1"/>
    <cellStyle name="Linked Cell" xfId="18" builtinId="24" hidden="1"/>
    <cellStyle name="Multiple" xfId="56" xr:uid="{00000000-0005-0000-0000-000032000000}"/>
    <cellStyle name="Neutral" xfId="14" builtinId="28" hidden="1"/>
    <cellStyle name="Normal" xfId="0" builtinId="0" customBuiltin="1"/>
    <cellStyle name="Note" xfId="21" builtinId="10" hidden="1"/>
    <cellStyle name="Notes and Comments" xfId="59" xr:uid="{00000000-0005-0000-0000-000036000000}"/>
    <cellStyle name="Output" xfId="16" builtinId="21" hidden="1"/>
    <cellStyle name="Percent" xfId="6" builtinId="5" hidden="1"/>
    <cellStyle name="Percent" xfId="57" builtinId="5" customBuiltin="1"/>
    <cellStyle name="Primary Title" xfId="48" xr:uid="{00000000-0005-0000-0000-00003A000000}"/>
    <cellStyle name="Row Label" xfId="54" xr:uid="{00000000-0005-0000-0000-00003B000000}"/>
    <cellStyle name="Secondary Title" xfId="49" xr:uid="{00000000-0005-0000-0000-00003C000000}"/>
    <cellStyle name="Tertiary Title" xfId="50" xr:uid="{00000000-0005-0000-0000-00003D000000}"/>
    <cellStyle name="Title" xfId="7" builtinId="15" hidden="1"/>
    <cellStyle name="Total" xfId="23" builtinId="25" hidden="1"/>
    <cellStyle name="Warning Text" xfId="20" builtinId="11" hidden="1"/>
  </cellStyles>
  <dxfs count="0"/>
  <tableStyles count="0" defaultTableStyle="TableStyleMedium2" defaultPivotStyle="PivotStyleLight16"/>
  <colors>
    <mruColors>
      <color rgb="FF163260"/>
      <color rgb="FF085393"/>
      <color rgb="FFBBDEFB"/>
      <color rgb="FFF0F8FE"/>
      <color rgb="FF0000FF"/>
      <color rgb="FFEBF1FB"/>
      <color rgb="FFD3E0F5"/>
      <color rgb="FFC9D9F3"/>
      <color rgb="FFE2F1FE"/>
      <color rgb="FFC4E3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19050</xdr:colOff>
      <xdr:row>0</xdr:row>
      <xdr:rowOff>1019175</xdr:rowOff>
    </xdr:from>
    <xdr:to>
      <xdr:col>9</xdr:col>
      <xdr:colOff>457200</xdr:colOff>
      <xdr:row>0</xdr:row>
      <xdr:rowOff>1503980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95550" y="1019175"/>
          <a:ext cx="3533775" cy="48480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1931713</xdr:colOff>
      <xdr:row>0</xdr:row>
      <xdr:rowOff>123826</xdr:rowOff>
    </xdr:from>
    <xdr:to>
      <xdr:col>16</xdr:col>
      <xdr:colOff>161849</xdr:colOff>
      <xdr:row>0</xdr:row>
      <xdr:rowOff>466726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27738" y="123826"/>
          <a:ext cx="401836" cy="3429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eborah%20Taylor\AppData\Local\Packages\Microsoft.Office.Desktop_8wekyb3d8bbwe\LocalCache\Roaming\Microsoft\AddIns\FE%20Training.xla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all"/>
      <sheetName val="Shortcuts"/>
      <sheetName val="Constants"/>
    </sheetNames>
    <definedNames>
      <definedName name="FR"/>
    </definedNames>
    <sheetDataSet>
      <sheetData sheetId="0"/>
      <sheetData sheetId="1"/>
      <sheetData sheetId="2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Deborah Taylor" id="{BE0D0B42-C3DD-4BA2-86A8-286B275AED7D}" userId="1d8c3bade270bd65" providerId="Windows Live"/>
</personList>
</file>

<file path=xl/theme/theme1.xml><?xml version="1.0" encoding="utf-8"?>
<a:theme xmlns:a="http://schemas.openxmlformats.org/drawingml/2006/main" name="FE Training">
  <a:themeElements>
    <a:clrScheme name="Financial Edge">
      <a:dk1>
        <a:srgbClr val="3F3F3F"/>
      </a:dk1>
      <a:lt1>
        <a:sysClr val="window" lastClr="FFFFFF"/>
      </a:lt1>
      <a:dk2>
        <a:srgbClr val="163260"/>
      </a:dk2>
      <a:lt2>
        <a:srgbClr val="F2F2F2"/>
      </a:lt2>
      <a:accent1>
        <a:srgbClr val="085393"/>
      </a:accent1>
      <a:accent2>
        <a:srgbClr val="8064A2"/>
      </a:accent2>
      <a:accent3>
        <a:srgbClr val="C0504D"/>
      </a:accent3>
      <a:accent4>
        <a:srgbClr val="ED7D31"/>
      </a:accent4>
      <a:accent5>
        <a:srgbClr val="FFC000"/>
      </a:accent5>
      <a:accent6>
        <a:srgbClr val="70AD47"/>
      </a:accent6>
      <a:hlink>
        <a:srgbClr val="085393"/>
      </a:hlink>
      <a:folHlink>
        <a:srgbClr val="B2B2B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D75" dT="2020-03-02T21:20:39.65" personId="{BE0D0B42-C3DD-4BA2-86A8-286B275AED7D}" id="{7AFC6E1A-3BFF-4183-9F41-8FA96DAB62C4}">
    <text>Includes assets held for sale of €16,146</text>
  </threadedComment>
  <threadedComment ref="E75" dT="2020-03-02T16:27:47.98" personId="{BE0D0B42-C3DD-4BA2-86A8-286B275AED7D}" id="{F50FCAF6-6479-4522-A17F-ADC1806040CA}">
    <text>Includes assets held for sale of €55,914</text>
  </threadedComment>
  <threadedComment ref="D85" dT="2020-03-02T21:21:03.28" personId="{BE0D0B42-C3DD-4BA2-86A8-286B275AED7D}" id="{535B4730-53B7-4944-8656-0EB8F2796BC1}">
    <text>Includes liabilities held for sale of €15,745</text>
  </threadedComment>
  <threadedComment ref="E85" dT="2020-03-02T16:27:07.05" personId="{BE0D0B42-C3DD-4BA2-86A8-286B275AED7D}" id="{EB057771-36CB-4F8B-9F28-4677DD366A55}">
    <text>Includes liabilities held for sale of €54,883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1"/>
  <sheetViews>
    <sheetView showGridLines="0" tabSelected="1" zoomScaleNormal="100" workbookViewId="0">
      <selection sqref="A1:N1"/>
    </sheetView>
  </sheetViews>
  <sheetFormatPr defaultColWidth="9.140625" defaultRowHeight="15" x14ac:dyDescent="0.25"/>
  <cols>
    <col min="1" max="1" width="9.85546875" style="31" customWidth="1"/>
    <col min="2" max="13" width="9.28515625" style="31" customWidth="1"/>
    <col min="14" max="14" width="9.85546875" style="31" customWidth="1"/>
    <col min="15" max="26" width="9.140625" style="31" customWidth="1"/>
    <col min="27" max="16384" width="9.140625" style="31"/>
  </cols>
  <sheetData>
    <row r="1" spans="1:14" s="35" customFormat="1" ht="189.75" customHeight="1" x14ac:dyDescent="0.45">
      <c r="A1" s="100"/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</row>
    <row r="2" spans="1:14" s="21" customFormat="1" ht="75" customHeight="1" x14ac:dyDescent="0.25">
      <c r="A2" s="103" t="s">
        <v>47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</row>
    <row r="3" spans="1:14" s="22" customFormat="1" ht="7.5" customHeight="1" x14ac:dyDescent="0.25">
      <c r="B3" s="23"/>
      <c r="C3" s="23"/>
      <c r="F3" s="24"/>
      <c r="G3" s="24"/>
      <c r="H3" s="24"/>
      <c r="I3" s="24"/>
      <c r="J3" s="24"/>
      <c r="K3" s="24"/>
    </row>
    <row r="4" spans="1:14" s="22" customFormat="1" ht="15" customHeight="1" x14ac:dyDescent="0.25">
      <c r="A4" s="38"/>
      <c r="B4" s="39"/>
      <c r="C4" s="102"/>
      <c r="D4" s="102"/>
      <c r="E4" s="40"/>
      <c r="F4" s="41"/>
      <c r="G4" s="41"/>
      <c r="H4" s="41"/>
      <c r="I4" s="41"/>
      <c r="J4" s="41"/>
      <c r="K4" s="41"/>
      <c r="L4" s="40"/>
      <c r="M4" s="40"/>
      <c r="N4" s="40"/>
    </row>
    <row r="5" spans="1:14" s="22" customFormat="1" ht="15" customHeight="1" x14ac:dyDescent="0.25">
      <c r="A5" s="104" t="s">
        <v>13</v>
      </c>
      <c r="B5" s="104"/>
      <c r="C5" s="104"/>
      <c r="D5" s="104"/>
      <c r="E5" s="104"/>
      <c r="F5" s="104"/>
      <c r="G5" s="104"/>
      <c r="H5" s="104"/>
      <c r="I5" s="104"/>
      <c r="J5" s="104"/>
      <c r="K5" s="104"/>
      <c r="L5" s="104"/>
      <c r="M5" s="104"/>
      <c r="N5" s="104"/>
    </row>
    <row r="6" spans="1:14" s="22" customFormat="1" ht="15" customHeight="1" x14ac:dyDescent="0.25">
      <c r="A6" s="104"/>
      <c r="B6" s="104"/>
      <c r="C6" s="104"/>
      <c r="D6" s="104"/>
      <c r="E6" s="104"/>
      <c r="F6" s="104"/>
      <c r="G6" s="104"/>
      <c r="H6" s="104"/>
      <c r="I6" s="104"/>
      <c r="J6" s="104"/>
      <c r="K6" s="104"/>
      <c r="L6" s="104"/>
      <c r="M6" s="104"/>
      <c r="N6" s="104"/>
    </row>
    <row r="7" spans="1:14" s="22" customFormat="1" ht="15" customHeight="1" x14ac:dyDescent="0.25">
      <c r="A7" s="104" t="str">
        <f ca="1">"© "&amp;YEAR(TODAY())&amp;" Financial Edge Training"</f>
        <v>© 2020 Financial Edge Training</v>
      </c>
      <c r="B7" s="104"/>
      <c r="C7" s="104"/>
      <c r="D7" s="104"/>
      <c r="E7" s="104"/>
      <c r="F7" s="104"/>
      <c r="G7" s="104"/>
      <c r="H7" s="104"/>
      <c r="I7" s="104"/>
      <c r="J7" s="104"/>
      <c r="K7" s="104"/>
      <c r="L7" s="104"/>
      <c r="M7" s="104"/>
      <c r="N7" s="104"/>
    </row>
    <row r="8" spans="1:14" s="22" customFormat="1" ht="15" customHeight="1" thickBot="1" x14ac:dyDescent="0.3">
      <c r="A8" s="45"/>
      <c r="B8" s="46"/>
      <c r="C8" s="45"/>
      <c r="D8" s="45"/>
      <c r="E8" s="47"/>
      <c r="F8" s="48"/>
      <c r="G8" s="48"/>
      <c r="H8" s="48"/>
      <c r="I8" s="48"/>
      <c r="J8" s="48"/>
      <c r="K8" s="48"/>
      <c r="L8" s="47"/>
      <c r="M8" s="47"/>
      <c r="N8" s="47"/>
    </row>
    <row r="9" spans="1:14" s="22" customFormat="1" ht="15" customHeight="1" x14ac:dyDescent="0.25">
      <c r="F9" s="27"/>
      <c r="G9" s="105"/>
      <c r="H9" s="105"/>
      <c r="I9" s="105"/>
      <c r="J9" s="105"/>
      <c r="K9" s="27"/>
    </row>
    <row r="10" spans="1:14" s="22" customFormat="1" ht="15" customHeight="1" x14ac:dyDescent="0.25">
      <c r="B10" s="23"/>
      <c r="C10" s="23"/>
      <c r="F10" s="27"/>
      <c r="G10" s="105"/>
      <c r="H10" s="105"/>
      <c r="I10" s="105"/>
      <c r="J10" s="105"/>
      <c r="K10" s="27"/>
    </row>
    <row r="11" spans="1:14" s="22" customFormat="1" ht="15" customHeight="1" x14ac:dyDescent="0.25">
      <c r="B11" s="19"/>
      <c r="C11" s="19"/>
      <c r="D11" s="20"/>
      <c r="F11" s="24"/>
      <c r="G11" s="24"/>
      <c r="H11" s="24"/>
      <c r="I11" s="24"/>
      <c r="J11" s="24"/>
      <c r="K11" s="24"/>
    </row>
    <row r="12" spans="1:14" s="22" customFormat="1" ht="15" customHeight="1" x14ac:dyDescent="0.25">
      <c r="A12" s="25"/>
      <c r="B12" s="19"/>
      <c r="C12" s="19"/>
      <c r="D12" s="28"/>
      <c r="F12" s="24"/>
      <c r="G12" s="101"/>
      <c r="H12" s="101"/>
      <c r="I12" s="101"/>
      <c r="J12" s="101"/>
      <c r="K12" s="24"/>
    </row>
    <row r="13" spans="1:14" s="22" customFormat="1" ht="15" customHeight="1" x14ac:dyDescent="0.25">
      <c r="A13" s="18"/>
      <c r="B13" s="19"/>
      <c r="C13" s="19"/>
      <c r="D13" s="29"/>
      <c r="F13" s="24"/>
      <c r="G13" s="101"/>
      <c r="H13" s="101"/>
      <c r="I13" s="101"/>
      <c r="J13" s="101"/>
      <c r="K13" s="24"/>
    </row>
    <row r="14" spans="1:14" s="22" customFormat="1" ht="15" customHeight="1" x14ac:dyDescent="0.25">
      <c r="A14" s="21"/>
      <c r="B14" s="19"/>
      <c r="C14" s="19"/>
      <c r="D14" s="29"/>
      <c r="F14" s="24"/>
      <c r="G14" s="101"/>
      <c r="H14" s="101"/>
      <c r="I14" s="101"/>
      <c r="J14" s="101"/>
      <c r="K14" s="24"/>
    </row>
    <row r="15" spans="1:14" s="22" customFormat="1" ht="15" customHeight="1" x14ac:dyDescent="0.25">
      <c r="A15" s="21"/>
      <c r="B15" s="19"/>
      <c r="C15" s="19"/>
      <c r="D15" s="29"/>
      <c r="F15" s="24"/>
      <c r="G15" s="24"/>
      <c r="H15" s="24"/>
      <c r="I15" s="24"/>
      <c r="J15" s="24"/>
      <c r="K15" s="24"/>
    </row>
    <row r="16" spans="1:14" s="22" customFormat="1" ht="15" customHeight="1" x14ac:dyDescent="0.25">
      <c r="A16" s="21"/>
      <c r="B16" s="19"/>
      <c r="C16" s="19"/>
      <c r="D16" s="30"/>
      <c r="F16" s="24"/>
      <c r="G16" s="101"/>
      <c r="H16" s="101"/>
      <c r="I16" s="101"/>
      <c r="J16" s="101"/>
      <c r="K16" s="24"/>
    </row>
    <row r="17" spans="1:12" s="22" customFormat="1" ht="15" customHeight="1" x14ac:dyDescent="0.25">
      <c r="A17" s="21"/>
      <c r="B17" s="32"/>
      <c r="C17" s="33"/>
      <c r="D17" s="30"/>
      <c r="F17" s="24"/>
      <c r="G17" s="24"/>
      <c r="H17" s="24"/>
      <c r="I17" s="24"/>
      <c r="J17" s="24"/>
      <c r="K17" s="24"/>
    </row>
    <row r="18" spans="1:12" ht="15" customHeight="1" x14ac:dyDescent="0.25">
      <c r="A18" s="34"/>
      <c r="B18" s="34"/>
      <c r="C18" s="34"/>
      <c r="D18" s="34"/>
      <c r="E18" s="34"/>
      <c r="F18" s="34"/>
      <c r="G18" s="34"/>
      <c r="H18" s="34"/>
      <c r="I18" s="34"/>
      <c r="J18" s="34"/>
      <c r="K18" s="34"/>
      <c r="L18" s="34"/>
    </row>
    <row r="19" spans="1:12" x14ac:dyDescent="0.25">
      <c r="A19" s="34"/>
      <c r="B19" s="34"/>
      <c r="C19" s="34"/>
      <c r="D19" s="34"/>
      <c r="E19" s="34"/>
      <c r="F19" s="34"/>
      <c r="G19" s="34"/>
      <c r="H19" s="34"/>
      <c r="I19" s="34"/>
      <c r="J19" s="34"/>
      <c r="K19" s="34"/>
      <c r="L19" s="34"/>
    </row>
    <row r="20" spans="1:12" x14ac:dyDescent="0.25">
      <c r="A20" s="34"/>
      <c r="B20" s="34"/>
      <c r="C20" s="34"/>
      <c r="D20" s="34"/>
      <c r="E20" s="34"/>
      <c r="F20" s="34"/>
      <c r="G20" s="34"/>
      <c r="H20" s="34"/>
      <c r="I20" s="34"/>
      <c r="J20" s="34"/>
      <c r="K20" s="34"/>
      <c r="L20" s="34"/>
    </row>
    <row r="21" spans="1:12" x14ac:dyDescent="0.25">
      <c r="A21" s="34"/>
      <c r="B21" s="34"/>
      <c r="C21" s="34"/>
      <c r="D21" s="34"/>
      <c r="E21" s="34"/>
      <c r="F21" s="34"/>
      <c r="G21" s="34"/>
      <c r="H21" s="34"/>
      <c r="I21" s="34"/>
      <c r="J21" s="34"/>
      <c r="K21" s="34"/>
      <c r="L21" s="34"/>
    </row>
  </sheetData>
  <mergeCells count="8">
    <mergeCell ref="A1:N1"/>
    <mergeCell ref="G16:J16"/>
    <mergeCell ref="G12:J14"/>
    <mergeCell ref="C4:D4"/>
    <mergeCell ref="A2:N2"/>
    <mergeCell ref="A5:N6"/>
    <mergeCell ref="A7:N7"/>
    <mergeCell ref="G9:J10"/>
  </mergeCells>
  <pageMargins left="0.7" right="0.7" top="0.75" bottom="0.75" header="0.3" footer="0.3"/>
  <pageSetup paperSize="9" orientation="landscape" verticalDpi="0" r:id="rId1"/>
  <headerFooter>
    <oddHeader xml:space="preserve">&amp;R&amp;10&amp;F 
&amp;A
</oddHeader>
    <oddFooter>&amp;L&amp;10© 2016&amp;C&amp;10Page &amp;P of &amp;N&amp;R&amp;G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26"/>
  <sheetViews>
    <sheetView showGridLines="0" zoomScaleNormal="100" workbookViewId="0">
      <selection activeCell="N10" sqref="N10:Q10"/>
    </sheetView>
  </sheetViews>
  <sheetFormatPr defaultColWidth="9.140625" defaultRowHeight="15" x14ac:dyDescent="0.25"/>
  <cols>
    <col min="1" max="1" width="1.42578125" customWidth="1"/>
    <col min="2" max="2" width="2.85546875" customWidth="1"/>
    <col min="3" max="3" width="13.28515625" customWidth="1"/>
    <col min="4" max="4" width="2.85546875" customWidth="1"/>
    <col min="5" max="7" width="1.42578125" customWidth="1"/>
    <col min="8" max="8" width="2.85546875" customWidth="1"/>
    <col min="9" max="9" width="42.7109375" customWidth="1"/>
    <col min="10" max="11" width="1.42578125" customWidth="1"/>
    <col min="12" max="12" width="15.5703125" bestFit="1" customWidth="1"/>
    <col min="13" max="14" width="1.42578125" customWidth="1"/>
    <col min="15" max="15" width="2.85546875" customWidth="1"/>
    <col min="16" max="16" width="32.5703125" customWidth="1"/>
    <col min="17" max="17" width="2.85546875" customWidth="1"/>
    <col min="18" max="18" width="1.42578125" customWidth="1"/>
    <col min="23" max="23" width="17.7109375" bestFit="1" customWidth="1"/>
  </cols>
  <sheetData>
    <row r="1" spans="1:18" s="35" customFormat="1" ht="45" customHeight="1" x14ac:dyDescent="0.45">
      <c r="A1" s="12" t="str">
        <f>Welcome!A2</f>
        <v>Financial institutions - life insurance</v>
      </c>
      <c r="B1" s="12"/>
      <c r="C1" s="12"/>
      <c r="D1" s="12"/>
      <c r="E1" s="12"/>
      <c r="F1" s="12"/>
      <c r="G1" s="12"/>
      <c r="H1" s="12"/>
      <c r="I1" s="12"/>
      <c r="J1" s="6"/>
      <c r="K1" s="6"/>
      <c r="L1" s="6"/>
      <c r="M1" s="6"/>
      <c r="N1" s="6"/>
      <c r="O1" s="6"/>
      <c r="P1" s="6"/>
      <c r="Q1" s="6"/>
      <c r="R1" s="6"/>
    </row>
    <row r="2" spans="1:18" s="36" customFormat="1" ht="30" customHeight="1" x14ac:dyDescent="0.35">
      <c r="A2" s="13" t="s">
        <v>20</v>
      </c>
      <c r="B2" s="13"/>
      <c r="C2" s="13"/>
      <c r="D2" s="13"/>
      <c r="E2" s="13"/>
      <c r="F2" s="13"/>
      <c r="G2" s="13"/>
      <c r="H2" s="13"/>
      <c r="I2" s="13"/>
      <c r="J2" s="7"/>
      <c r="K2" s="7"/>
      <c r="L2" s="7"/>
      <c r="M2" s="7"/>
      <c r="N2" s="7"/>
      <c r="O2" s="7"/>
      <c r="P2" s="7"/>
      <c r="Q2" s="7"/>
      <c r="R2" s="7"/>
    </row>
    <row r="3" spans="1:18" s="2" customFormat="1" ht="7.5" customHeight="1" x14ac:dyDescent="0.25"/>
    <row r="4" spans="1:18" s="2" customFormat="1" ht="22.5" customHeight="1" x14ac:dyDescent="0.25">
      <c r="A4" s="1"/>
      <c r="B4" s="110" t="s">
        <v>0</v>
      </c>
      <c r="C4" s="110"/>
      <c r="D4" s="110"/>
      <c r="E4" s="110"/>
      <c r="F4" s="110"/>
      <c r="G4" s="110"/>
      <c r="H4" s="110"/>
      <c r="I4" s="110"/>
      <c r="K4" s="1"/>
      <c r="L4" s="110" t="s">
        <v>2</v>
      </c>
      <c r="M4" s="110"/>
      <c r="N4" s="110"/>
      <c r="O4" s="110"/>
      <c r="P4" s="110"/>
      <c r="Q4" s="44"/>
      <c r="R4" s="44"/>
    </row>
    <row r="5" spans="1:18" s="2" customFormat="1" ht="15" customHeight="1" x14ac:dyDescent="0.25">
      <c r="A5" s="16"/>
      <c r="B5" s="88" t="s">
        <v>1</v>
      </c>
      <c r="C5" s="58" t="s">
        <v>113</v>
      </c>
      <c r="D5" s="17"/>
      <c r="E5" s="17"/>
      <c r="F5" s="17"/>
      <c r="G5" s="17"/>
      <c r="H5" s="17"/>
      <c r="I5" s="17"/>
      <c r="K5" s="1"/>
      <c r="L5" s="8" t="s">
        <v>3</v>
      </c>
      <c r="M5" s="8"/>
      <c r="N5" s="107" t="s">
        <v>9</v>
      </c>
      <c r="O5" s="107"/>
      <c r="P5" s="107"/>
      <c r="Q5" s="107"/>
      <c r="R5" s="44"/>
    </row>
    <row r="6" spans="1:18" s="2" customFormat="1" ht="15" customHeight="1" x14ac:dyDescent="0.25">
      <c r="A6" s="3"/>
      <c r="B6" s="88" t="s">
        <v>1</v>
      </c>
      <c r="C6" s="89" t="s">
        <v>132</v>
      </c>
      <c r="D6" s="17"/>
      <c r="E6" s="17"/>
      <c r="F6" s="17"/>
      <c r="G6" s="17"/>
      <c r="H6" s="17"/>
      <c r="I6" s="17"/>
      <c r="K6" s="16"/>
      <c r="L6" s="8" t="s">
        <v>4</v>
      </c>
      <c r="M6" s="8"/>
      <c r="N6" s="108">
        <v>43465</v>
      </c>
      <c r="O6" s="108"/>
      <c r="P6" s="108"/>
      <c r="Q6" s="108"/>
      <c r="R6" s="44"/>
    </row>
    <row r="7" spans="1:18" s="2" customFormat="1" ht="15" customHeight="1" x14ac:dyDescent="0.25">
      <c r="A7" s="17"/>
      <c r="B7" s="88" t="s">
        <v>1</v>
      </c>
      <c r="C7" s="89" t="s">
        <v>131</v>
      </c>
      <c r="D7" s="17"/>
      <c r="E7" s="17"/>
      <c r="F7" s="17"/>
      <c r="G7" s="17"/>
      <c r="H7" s="17"/>
      <c r="I7" s="17"/>
      <c r="K7" s="3"/>
      <c r="L7" s="8" t="s">
        <v>5</v>
      </c>
      <c r="M7" s="8"/>
      <c r="N7" s="107" t="s">
        <v>10</v>
      </c>
      <c r="O7" s="107"/>
      <c r="P7" s="107"/>
      <c r="Q7" s="107"/>
      <c r="R7" s="44"/>
    </row>
    <row r="8" spans="1:18" s="2" customFormat="1" ht="15" customHeight="1" x14ac:dyDescent="0.25">
      <c r="A8" s="17"/>
      <c r="B8" s="88" t="s">
        <v>1</v>
      </c>
      <c r="C8" s="89" t="s">
        <v>130</v>
      </c>
      <c r="D8" s="17"/>
      <c r="E8" s="17"/>
      <c r="F8" s="17"/>
      <c r="G8" s="17"/>
      <c r="H8" s="17"/>
      <c r="I8" s="17"/>
      <c r="K8" s="17"/>
      <c r="L8" s="8" t="s">
        <v>6</v>
      </c>
      <c r="M8" s="8"/>
      <c r="N8" s="107" t="s">
        <v>11</v>
      </c>
      <c r="O8" s="107"/>
      <c r="P8" s="107"/>
      <c r="Q8" s="107"/>
      <c r="R8" s="44"/>
    </row>
    <row r="9" spans="1:18" s="2" customFormat="1" ht="15" customHeight="1" x14ac:dyDescent="0.25">
      <c r="A9" s="42"/>
      <c r="B9" s="88" t="s">
        <v>1</v>
      </c>
      <c r="C9" s="89" t="s">
        <v>133</v>
      </c>
      <c r="D9" s="42"/>
      <c r="E9" s="42"/>
      <c r="F9" s="42"/>
      <c r="G9" s="42"/>
      <c r="H9" s="42"/>
      <c r="I9" s="42"/>
      <c r="K9" s="17"/>
      <c r="L9" s="8" t="s">
        <v>7</v>
      </c>
      <c r="M9" s="8"/>
      <c r="N9" s="107" t="s">
        <v>12</v>
      </c>
      <c r="O9" s="107"/>
      <c r="P9" s="107"/>
      <c r="Q9" s="107"/>
      <c r="R9" s="44"/>
    </row>
    <row r="10" spans="1:18" s="2" customFormat="1" ht="15" customHeight="1" x14ac:dyDescent="0.25">
      <c r="A10" s="43"/>
      <c r="B10" s="88" t="s">
        <v>1</v>
      </c>
      <c r="C10" s="89" t="s">
        <v>114</v>
      </c>
      <c r="D10" s="43"/>
      <c r="E10" s="43"/>
      <c r="F10" s="43"/>
      <c r="G10" s="43"/>
      <c r="H10" s="43"/>
      <c r="I10" s="43"/>
      <c r="K10" s="17"/>
      <c r="L10" s="8" t="s">
        <v>8</v>
      </c>
      <c r="M10" s="8"/>
      <c r="N10" s="109">
        <v>1</v>
      </c>
      <c r="O10" s="109"/>
      <c r="P10" s="109"/>
      <c r="Q10" s="109"/>
      <c r="R10" s="50"/>
    </row>
    <row r="11" spans="1:18" s="2" customFormat="1" ht="15" customHeight="1" thickBot="1" x14ac:dyDescent="0.3">
      <c r="A11" s="47"/>
      <c r="B11" s="47"/>
      <c r="C11" s="47"/>
      <c r="D11" s="47"/>
      <c r="E11" s="47"/>
      <c r="F11" s="47"/>
      <c r="G11" s="47"/>
      <c r="H11" s="47"/>
      <c r="I11" s="47"/>
      <c r="K11" s="4"/>
      <c r="L11" s="62"/>
      <c r="M11" s="62"/>
      <c r="N11" s="51"/>
      <c r="O11" s="52"/>
      <c r="P11" s="52"/>
      <c r="Q11" s="53"/>
      <c r="R11" s="54"/>
    </row>
    <row r="12" spans="1:18" s="2" customFormat="1" ht="7.5" customHeight="1" x14ac:dyDescent="0.25">
      <c r="K12" s="24"/>
      <c r="L12" s="24"/>
      <c r="M12" s="24"/>
      <c r="N12" s="24"/>
      <c r="O12" s="24"/>
      <c r="P12" s="24"/>
      <c r="Q12" s="24"/>
      <c r="R12" s="24"/>
    </row>
    <row r="13" spans="1:18" s="2" customFormat="1" ht="22.5" customHeight="1" x14ac:dyDescent="0.25">
      <c r="A13" s="58"/>
      <c r="B13" s="111" t="s">
        <v>21</v>
      </c>
      <c r="C13" s="111"/>
      <c r="D13" s="111"/>
      <c r="E13" s="111"/>
      <c r="F13" s="111"/>
      <c r="G13" s="111"/>
      <c r="H13" s="111"/>
      <c r="I13" s="111"/>
      <c r="J13" s="111"/>
      <c r="K13" s="111"/>
      <c r="L13" s="111"/>
      <c r="N13" s="1"/>
      <c r="O13" s="110" t="s">
        <v>16</v>
      </c>
      <c r="P13" s="110"/>
      <c r="Q13" s="110"/>
      <c r="R13" s="61"/>
    </row>
    <row r="14" spans="1:18" s="2" customFormat="1" ht="15" customHeight="1" x14ac:dyDescent="0.25">
      <c r="A14" s="59"/>
      <c r="B14" s="106"/>
      <c r="C14" s="106"/>
      <c r="D14" s="106"/>
      <c r="E14" s="106"/>
      <c r="F14" s="106"/>
      <c r="G14" s="106"/>
      <c r="H14" s="106"/>
      <c r="I14" s="106"/>
      <c r="J14" s="106"/>
      <c r="K14" s="106"/>
      <c r="L14" s="106"/>
      <c r="N14" s="16"/>
      <c r="O14" s="26"/>
      <c r="P14" s="21"/>
      <c r="Q14" s="21"/>
      <c r="R14" s="59"/>
    </row>
    <row r="15" spans="1:18" s="2" customFormat="1" ht="15" customHeight="1" x14ac:dyDescent="0.25">
      <c r="A15" s="59"/>
      <c r="B15" s="106"/>
      <c r="C15" s="106"/>
      <c r="D15" s="106"/>
      <c r="E15" s="106"/>
      <c r="F15" s="106"/>
      <c r="G15" s="106"/>
      <c r="H15" s="106"/>
      <c r="I15" s="106"/>
      <c r="J15" s="106"/>
      <c r="K15" s="106"/>
      <c r="L15" s="106"/>
      <c r="N15" s="3"/>
      <c r="O15" s="26"/>
      <c r="P15" s="55" t="s">
        <v>17</v>
      </c>
      <c r="Q15" s="21"/>
      <c r="R15" s="59"/>
    </row>
    <row r="16" spans="1:18" s="2" customFormat="1" ht="15" customHeight="1" x14ac:dyDescent="0.25">
      <c r="A16" s="59"/>
      <c r="B16" s="106"/>
      <c r="C16" s="106"/>
      <c r="D16" s="106"/>
      <c r="E16" s="106"/>
      <c r="F16" s="106"/>
      <c r="G16" s="106"/>
      <c r="H16" s="106"/>
      <c r="I16" s="106"/>
      <c r="J16" s="106"/>
      <c r="K16" s="106"/>
      <c r="L16" s="106"/>
      <c r="N16" s="17"/>
      <c r="O16" s="26"/>
      <c r="P16" s="37" t="s">
        <v>18</v>
      </c>
      <c r="Q16" s="21"/>
      <c r="R16" s="59"/>
    </row>
    <row r="17" spans="1:18" s="2" customFormat="1" ht="15" customHeight="1" x14ac:dyDescent="0.25">
      <c r="A17" s="59"/>
      <c r="B17" s="106"/>
      <c r="C17" s="106"/>
      <c r="D17" s="106"/>
      <c r="E17" s="106"/>
      <c r="F17" s="106"/>
      <c r="G17" s="106"/>
      <c r="H17" s="106"/>
      <c r="I17" s="106"/>
      <c r="J17" s="106"/>
      <c r="K17" s="106"/>
      <c r="L17" s="106"/>
      <c r="N17" s="17"/>
      <c r="O17" s="26"/>
      <c r="P17" t="s">
        <v>19</v>
      </c>
      <c r="Q17" s="21"/>
      <c r="R17" s="59"/>
    </row>
    <row r="18" spans="1:18" s="2" customFormat="1" ht="15" customHeight="1" x14ac:dyDescent="0.25">
      <c r="A18" s="43"/>
      <c r="B18" s="106"/>
      <c r="C18" s="106"/>
      <c r="D18" s="106"/>
      <c r="E18" s="106"/>
      <c r="F18" s="106"/>
      <c r="G18" s="106"/>
      <c r="H18" s="106"/>
      <c r="I18" s="106"/>
      <c r="J18" s="106"/>
      <c r="K18" s="106"/>
      <c r="L18" s="106"/>
      <c r="N18" s="43"/>
      <c r="O18" s="56"/>
      <c r="P18" s="56"/>
      <c r="Q18" s="56"/>
      <c r="R18" s="43"/>
    </row>
    <row r="19" spans="1:18" ht="15.75" thickBot="1" x14ac:dyDescent="0.3">
      <c r="A19" s="47"/>
      <c r="B19" s="47"/>
      <c r="C19" s="47"/>
      <c r="D19" s="60"/>
      <c r="E19" s="60"/>
      <c r="F19" s="60"/>
      <c r="G19" s="60"/>
      <c r="H19" s="60"/>
      <c r="I19" s="60"/>
      <c r="J19" s="60"/>
      <c r="K19" s="60"/>
      <c r="L19" s="60"/>
      <c r="N19" s="47"/>
      <c r="O19" s="47"/>
      <c r="P19" s="47"/>
      <c r="Q19" s="47"/>
      <c r="R19" s="47"/>
    </row>
    <row r="20" spans="1:18" x14ac:dyDescent="0.25">
      <c r="Q20" s="57"/>
      <c r="R20" s="34"/>
    </row>
    <row r="21" spans="1:18" x14ac:dyDescent="0.25"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</row>
    <row r="22" spans="1:18" x14ac:dyDescent="0.25"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</row>
    <row r="23" spans="1:18" x14ac:dyDescent="0.25">
      <c r="F23" s="34"/>
      <c r="G23" s="34"/>
      <c r="H23" s="34"/>
      <c r="I23" s="34"/>
      <c r="J23" s="34"/>
      <c r="K23" s="34"/>
      <c r="L23" s="34"/>
      <c r="M23" s="34"/>
      <c r="N23" s="31"/>
      <c r="O23" s="31"/>
      <c r="P23" s="31"/>
      <c r="Q23" s="31"/>
    </row>
    <row r="24" spans="1:18" x14ac:dyDescent="0.25"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</row>
    <row r="25" spans="1:18" x14ac:dyDescent="0.25"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</row>
    <row r="26" spans="1:18" x14ac:dyDescent="0.25"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</row>
  </sheetData>
  <mergeCells count="20">
    <mergeCell ref="B17:C17"/>
    <mergeCell ref="L4:P4"/>
    <mergeCell ref="B4:I4"/>
    <mergeCell ref="B13:L13"/>
    <mergeCell ref="B18:C18"/>
    <mergeCell ref="D16:L16"/>
    <mergeCell ref="D17:L17"/>
    <mergeCell ref="D18:L18"/>
    <mergeCell ref="N5:Q5"/>
    <mergeCell ref="N6:Q6"/>
    <mergeCell ref="N7:Q7"/>
    <mergeCell ref="N8:Q8"/>
    <mergeCell ref="N9:Q9"/>
    <mergeCell ref="N10:Q10"/>
    <mergeCell ref="O13:Q13"/>
    <mergeCell ref="D14:L14"/>
    <mergeCell ref="D15:L15"/>
    <mergeCell ref="B14:C14"/>
    <mergeCell ref="B15:C15"/>
    <mergeCell ref="B16:C16"/>
  </mergeCells>
  <pageMargins left="0.7" right="0.7" top="0.75" bottom="0.75" header="0.3" footer="0.3"/>
  <pageSetup paperSize="9" orientation="landscape" verticalDpi="0" r:id="rId1"/>
  <headerFooter>
    <oddHeader xml:space="preserve">&amp;R&amp;10&amp;F 
&amp;A
</oddHeader>
    <oddFooter>&amp;L&amp;10© 2016&amp;C&amp;10Page &amp;P of &amp;N&amp;R&amp;G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160"/>
  <sheetViews>
    <sheetView zoomScaleNormal="100" zoomScaleSheetLayoutView="110" workbookViewId="0"/>
  </sheetViews>
  <sheetFormatPr defaultColWidth="9.140625" defaultRowHeight="15" customHeight="1" x14ac:dyDescent="0.25"/>
  <cols>
    <col min="1" max="1" width="1.42578125" style="14" customWidth="1"/>
    <col min="2" max="2" width="43.42578125" style="15" customWidth="1"/>
    <col min="3" max="5" width="10.28515625" bestFit="1" customWidth="1"/>
    <col min="6" max="10" width="10.140625" customWidth="1"/>
    <col min="11" max="11" width="10.7109375" customWidth="1"/>
    <col min="12" max="13" width="9.7109375" customWidth="1"/>
    <col min="14" max="15" width="9.5703125" bestFit="1" customWidth="1"/>
  </cols>
  <sheetData>
    <row r="1" spans="1:13" s="49" customFormat="1" ht="45" customHeight="1" x14ac:dyDescent="0.45">
      <c r="A1" s="5" t="s">
        <v>48</v>
      </c>
      <c r="B1" s="9"/>
      <c r="C1" s="11" t="s">
        <v>14</v>
      </c>
      <c r="D1" s="11" t="s">
        <v>14</v>
      </c>
      <c r="E1" s="11" t="s">
        <v>14</v>
      </c>
      <c r="F1" s="11" t="s">
        <v>15</v>
      </c>
      <c r="G1" s="11" t="s">
        <v>15</v>
      </c>
      <c r="H1" s="11" t="s">
        <v>15</v>
      </c>
      <c r="I1" s="11" t="s">
        <v>15</v>
      </c>
      <c r="J1" s="11" t="s">
        <v>15</v>
      </c>
    </row>
    <row r="2" spans="1:13" s="36" customFormat="1" ht="30" customHeight="1" x14ac:dyDescent="0.35">
      <c r="A2" s="13" t="s">
        <v>22</v>
      </c>
      <c r="B2" s="7"/>
      <c r="C2" s="10">
        <f>DATE(YEAR(D2)-1,MONTH(D2),DAY(D2))</f>
        <v>42735</v>
      </c>
      <c r="D2" s="10">
        <f>DATE(YEAR(E2)-1,MONTH(E2),DAY(E2))</f>
        <v>43100</v>
      </c>
      <c r="E2" s="10">
        <f>Info!N6</f>
        <v>43465</v>
      </c>
      <c r="F2" s="10">
        <f>DATE(YEAR(E2)+1,MONTH(E2),DAY(E2))</f>
        <v>43830</v>
      </c>
      <c r="G2" s="10">
        <f>DATE(YEAR(F2)+1,MONTH(F2),DAY(F2))</f>
        <v>44196</v>
      </c>
      <c r="H2" s="10">
        <f>DATE(YEAR(G2)+1,MONTH(G2),DAY(G2))</f>
        <v>44561</v>
      </c>
      <c r="I2" s="10">
        <f>DATE(YEAR(H2)+1,MONTH(H2),DAY(H2))</f>
        <v>44926</v>
      </c>
      <c r="J2" s="10">
        <f>DATE(YEAR(I2)+1,MONTH(I2),DAY(I2))</f>
        <v>45291</v>
      </c>
    </row>
    <row r="4" spans="1:13" s="77" customFormat="1" ht="15" customHeight="1" x14ac:dyDescent="0.25">
      <c r="A4" s="78" t="s">
        <v>155</v>
      </c>
    </row>
    <row r="5" spans="1:13" s="77" customFormat="1" ht="15" customHeight="1" x14ac:dyDescent="0.25">
      <c r="A5" s="78"/>
      <c r="B5" s="79" t="s">
        <v>89</v>
      </c>
      <c r="D5" s="83">
        <f>D29/C29-1</f>
        <v>-9.438016528925619E-2</v>
      </c>
      <c r="E5" s="83">
        <f>E29/D29-1</f>
        <v>5.13779886840664E-2</v>
      </c>
      <c r="F5" s="73">
        <v>0.03</v>
      </c>
      <c r="G5" s="73">
        <v>0.03</v>
      </c>
      <c r="H5" s="73">
        <v>0.03</v>
      </c>
      <c r="I5" s="73">
        <v>0.03</v>
      </c>
      <c r="J5" s="73">
        <v>0.03</v>
      </c>
    </row>
    <row r="6" spans="1:13" s="77" customFormat="1" ht="15" customHeight="1" x14ac:dyDescent="0.25">
      <c r="A6" s="78"/>
      <c r="B6" s="79" t="s">
        <v>90</v>
      </c>
      <c r="D6" s="83">
        <f>D30/C30-1</f>
        <v>1.9993173062855529E-3</v>
      </c>
      <c r="E6" s="83">
        <f>E30/D30-1</f>
        <v>2.8713256764647532E-3</v>
      </c>
      <c r="F6" s="73">
        <v>3.0000000000000001E-3</v>
      </c>
      <c r="G6" s="73">
        <v>5.0000000000000001E-3</v>
      </c>
      <c r="H6" s="73">
        <v>5.0000000000000001E-3</v>
      </c>
      <c r="I6" s="73">
        <v>5.0000000000000001E-3</v>
      </c>
      <c r="J6" s="73">
        <v>5.0000000000000001E-3</v>
      </c>
    </row>
    <row r="7" spans="1:13" s="77" customFormat="1" ht="15" customHeight="1" x14ac:dyDescent="0.25">
      <c r="A7" s="78"/>
      <c r="B7" s="79"/>
    </row>
    <row r="8" spans="1:13" ht="15" customHeight="1" x14ac:dyDescent="0.25">
      <c r="A8" s="14" t="s">
        <v>156</v>
      </c>
      <c r="E8" s="77"/>
    </row>
    <row r="9" spans="1:13" ht="15" customHeight="1" x14ac:dyDescent="0.25">
      <c r="B9" s="15" t="s">
        <v>119</v>
      </c>
      <c r="C9" s="77"/>
      <c r="D9" s="83">
        <f>D80/C80-1</f>
        <v>-1.4400836432143516E-3</v>
      </c>
      <c r="E9" s="83">
        <f>E80/D80-1</f>
        <v>-0.13850173355591333</v>
      </c>
      <c r="F9" s="71">
        <v>5.0000000000000001E-3</v>
      </c>
      <c r="G9" s="71">
        <v>0.01</v>
      </c>
      <c r="H9" s="71">
        <v>0.02</v>
      </c>
      <c r="I9" s="71">
        <v>0.03</v>
      </c>
      <c r="J9" s="71">
        <v>0.03</v>
      </c>
    </row>
    <row r="10" spans="1:13" s="77" customFormat="1" ht="15" customHeight="1" x14ac:dyDescent="0.25">
      <c r="A10" s="78"/>
      <c r="B10" s="79" t="s">
        <v>136</v>
      </c>
      <c r="C10" s="83">
        <f>C81/C80</f>
        <v>0.19284051566830732</v>
      </c>
      <c r="D10" s="83">
        <f t="shared" ref="D10:E10" si="0">D81/D80</f>
        <v>0.18609055977557612</v>
      </c>
      <c r="E10" s="83">
        <f t="shared" si="0"/>
        <v>0.18890850823534808</v>
      </c>
      <c r="F10" s="71">
        <v>0.19</v>
      </c>
      <c r="G10" s="71">
        <v>0.19</v>
      </c>
      <c r="H10" s="71">
        <v>0.19</v>
      </c>
      <c r="I10" s="71">
        <v>0.19</v>
      </c>
      <c r="J10" s="71">
        <v>0.19</v>
      </c>
    </row>
    <row r="11" spans="1:13" s="77" customFormat="1" ht="15" customHeight="1" x14ac:dyDescent="0.25">
      <c r="A11" s="78"/>
      <c r="B11" s="79" t="s">
        <v>120</v>
      </c>
      <c r="D11" s="83">
        <f>D82/C82-1</f>
        <v>-1.3403700260877338E-2</v>
      </c>
      <c r="E11" s="83">
        <f>E82/D82-1</f>
        <v>-3.5924867789192128E-2</v>
      </c>
      <c r="F11" s="71">
        <v>3.0000000000000001E-3</v>
      </c>
      <c r="G11" s="71">
        <v>5.0000000000000001E-3</v>
      </c>
      <c r="H11" s="71">
        <v>5.0000000000000001E-3</v>
      </c>
      <c r="I11" s="71">
        <v>5.0000000000000001E-3</v>
      </c>
      <c r="J11" s="71">
        <v>5.0000000000000001E-3</v>
      </c>
    </row>
    <row r="12" spans="1:13" ht="15" customHeight="1" x14ac:dyDescent="0.25">
      <c r="B12" s="15" t="s">
        <v>123</v>
      </c>
      <c r="C12" s="81">
        <v>-312</v>
      </c>
      <c r="D12" s="81">
        <v>-259</v>
      </c>
      <c r="E12" s="81">
        <v>-420</v>
      </c>
      <c r="F12" s="72">
        <v>-300</v>
      </c>
      <c r="G12" s="72">
        <f>F12</f>
        <v>-300</v>
      </c>
      <c r="H12" s="72">
        <f>G12</f>
        <v>-300</v>
      </c>
      <c r="I12" s="72">
        <f>H12</f>
        <v>-300</v>
      </c>
      <c r="J12" s="72">
        <f>I12</f>
        <v>-300</v>
      </c>
      <c r="M12" s="83"/>
    </row>
    <row r="13" spans="1:13" ht="15" customHeight="1" x14ac:dyDescent="0.25">
      <c r="B13" s="15" t="s">
        <v>49</v>
      </c>
      <c r="D13" s="84">
        <f>(89+56)/C66</f>
        <v>3.2394995531724757E-2</v>
      </c>
      <c r="E13" s="68">
        <f>(97+42)/D66</f>
        <v>3.4110429447852759E-2</v>
      </c>
      <c r="F13" s="73">
        <v>3.4000000000000002E-2</v>
      </c>
      <c r="G13" s="73">
        <v>3.4000000000000002E-2</v>
      </c>
      <c r="H13" s="73">
        <v>3.4000000000000002E-2</v>
      </c>
      <c r="I13" s="73">
        <v>3.4000000000000002E-2</v>
      </c>
      <c r="J13" s="73">
        <v>3.4000000000000002E-2</v>
      </c>
    </row>
    <row r="14" spans="1:13" ht="15" customHeight="1" x14ac:dyDescent="0.25">
      <c r="B14" s="15" t="s">
        <v>58</v>
      </c>
      <c r="C14" s="67"/>
      <c r="D14" s="85">
        <f>(36+599+100)/(D80+D82)</f>
        <v>1.6786570743405275E-3</v>
      </c>
      <c r="E14" s="69">
        <f>(13+57+116)/(E80+E82)</f>
        <v>4.8872516303976547E-4</v>
      </c>
      <c r="F14" s="70">
        <v>5.0000000000000001E-4</v>
      </c>
      <c r="G14" s="70">
        <v>5.0000000000000001E-4</v>
      </c>
      <c r="H14" s="70">
        <v>5.0000000000000001E-4</v>
      </c>
      <c r="I14" s="70">
        <v>5.0000000000000001E-4</v>
      </c>
      <c r="J14" s="70">
        <v>5.0000000000000001E-4</v>
      </c>
    </row>
    <row r="15" spans="1:13" s="77" customFormat="1" ht="15" customHeight="1" x14ac:dyDescent="0.25">
      <c r="A15" s="78"/>
      <c r="B15" s="79" t="s">
        <v>127</v>
      </c>
      <c r="C15" s="83">
        <f>441/C29</f>
        <v>9.1115702479338846E-3</v>
      </c>
      <c r="D15" s="83">
        <f>389/D29</f>
        <v>8.8747946705603209E-3</v>
      </c>
      <c r="E15" s="83">
        <f>557/E29</f>
        <v>1.2086624424963111E-2</v>
      </c>
      <c r="F15" s="73">
        <v>0.01</v>
      </c>
      <c r="G15" s="73">
        <v>0.01</v>
      </c>
      <c r="H15" s="73">
        <v>0.01</v>
      </c>
      <c r="I15" s="73">
        <v>0.01</v>
      </c>
      <c r="J15" s="73">
        <v>0.01</v>
      </c>
    </row>
    <row r="16" spans="1:13" s="77" customFormat="1" ht="15" customHeight="1" x14ac:dyDescent="0.25">
      <c r="A16" s="78"/>
      <c r="B16" s="79" t="s">
        <v>124</v>
      </c>
      <c r="C16" s="67"/>
      <c r="D16" s="83">
        <f>-D115/C74</f>
        <v>0.17042726836293806</v>
      </c>
      <c r="E16" s="83">
        <f>-E115/D74</f>
        <v>0.25247758376592733</v>
      </c>
      <c r="F16" s="71">
        <v>0.2</v>
      </c>
      <c r="G16" s="71">
        <v>0.2</v>
      </c>
      <c r="H16" s="71">
        <v>0.2</v>
      </c>
      <c r="I16" s="71">
        <v>0.2</v>
      </c>
      <c r="J16" s="71">
        <v>0.2</v>
      </c>
    </row>
    <row r="17" spans="1:11" ht="15" customHeight="1" x14ac:dyDescent="0.25">
      <c r="B17" s="15" t="s">
        <v>115</v>
      </c>
      <c r="C17" s="66">
        <f>C67/C80</f>
        <v>3.030586982038409E-3</v>
      </c>
      <c r="D17" s="83">
        <f>D67/D80</f>
        <v>2.6645396445963434E-3</v>
      </c>
      <c r="E17" s="83">
        <f>E67/E80</f>
        <v>3.5658799181338178E-3</v>
      </c>
      <c r="F17" s="73">
        <v>4.0000000000000001E-3</v>
      </c>
      <c r="G17" s="73">
        <v>4.0000000000000001E-3</v>
      </c>
      <c r="H17" s="73">
        <v>4.0000000000000001E-3</v>
      </c>
      <c r="I17" s="73">
        <v>4.0000000000000001E-3</v>
      </c>
      <c r="J17" s="73">
        <v>4.0000000000000001E-3</v>
      </c>
    </row>
    <row r="18" spans="1:11" s="77" customFormat="1" ht="15" customHeight="1" x14ac:dyDescent="0.25">
      <c r="A18" s="78"/>
      <c r="B18" s="79" t="s">
        <v>116</v>
      </c>
      <c r="C18" s="83">
        <f>C68/C82</f>
        <v>8.1081891510989837E-2</v>
      </c>
      <c r="D18" s="83">
        <f>D68/D82</f>
        <v>9.7714424655036172E-2</v>
      </c>
      <c r="E18" s="83">
        <f>E68/E82</f>
        <v>8.7168978562421187E-2</v>
      </c>
      <c r="F18" s="73">
        <v>0.09</v>
      </c>
      <c r="G18" s="73">
        <v>0.09</v>
      </c>
      <c r="H18" s="73">
        <v>0.09</v>
      </c>
      <c r="I18" s="73">
        <v>0.09</v>
      </c>
      <c r="J18" s="73">
        <v>0.09</v>
      </c>
    </row>
    <row r="19" spans="1:11" s="77" customFormat="1" ht="15" customHeight="1" x14ac:dyDescent="0.25">
      <c r="A19" s="78"/>
      <c r="B19" s="79" t="s">
        <v>50</v>
      </c>
      <c r="C19" s="83">
        <f>C73/(C80+C82)</f>
        <v>2.6863774007077089E-2</v>
      </c>
      <c r="D19" s="83">
        <f>D73/(D80+D82)</f>
        <v>2.6666666666666668E-2</v>
      </c>
      <c r="E19" s="83">
        <f>E73/(E80+E82)</f>
        <v>2.9236800479265967E-2</v>
      </c>
      <c r="F19" s="73">
        <v>2.9000000000000001E-2</v>
      </c>
      <c r="G19" s="73">
        <v>2.9000000000000001E-2</v>
      </c>
      <c r="H19" s="73">
        <v>2.9000000000000001E-2</v>
      </c>
      <c r="I19" s="73">
        <v>2.9000000000000001E-2</v>
      </c>
      <c r="J19" s="73">
        <v>2.9000000000000001E-2</v>
      </c>
    </row>
    <row r="20" spans="1:11" s="77" customFormat="1" ht="15" customHeight="1" x14ac:dyDescent="0.25">
      <c r="A20" s="78"/>
      <c r="B20" s="79" t="s">
        <v>51</v>
      </c>
      <c r="C20" s="83">
        <f>C75/(C80+C82)</f>
        <v>3.037497636033458E-2</v>
      </c>
      <c r="D20" s="83">
        <f>D75/(D80+D82)</f>
        <v>6.4063035286056863E-2</v>
      </c>
      <c r="E20" s="83">
        <f>E75/(E80+E82)</f>
        <v>0.17633519189031535</v>
      </c>
      <c r="F20" s="73">
        <v>0.04</v>
      </c>
      <c r="G20" s="73">
        <v>0.04</v>
      </c>
      <c r="H20" s="73">
        <v>0.04</v>
      </c>
      <c r="I20" s="73">
        <v>0.04</v>
      </c>
      <c r="J20" s="73">
        <v>0.04</v>
      </c>
    </row>
    <row r="21" spans="1:11" ht="15" customHeight="1" x14ac:dyDescent="0.25">
      <c r="B21" s="15" t="s">
        <v>143</v>
      </c>
      <c r="C21" s="83">
        <f>(C69+C71)/SUM(C$69, C$71,C$72, C$76)</f>
        <v>0.97045342507420729</v>
      </c>
      <c r="D21" s="83">
        <f t="shared" ref="D21:E21" si="1">(D69+D71)/SUM(D$69, D$71,D$72, D$76)</f>
        <v>0.96796992984467101</v>
      </c>
      <c r="E21" s="83">
        <f t="shared" si="1"/>
        <v>0.96090230948260424</v>
      </c>
      <c r="F21" s="73">
        <v>0.96</v>
      </c>
      <c r="G21" s="73">
        <v>0.96</v>
      </c>
      <c r="H21" s="73">
        <v>0.96</v>
      </c>
      <c r="I21" s="73">
        <v>0.96</v>
      </c>
      <c r="J21" s="73">
        <v>0.96</v>
      </c>
      <c r="K21" s="83"/>
    </row>
    <row r="22" spans="1:11" s="77" customFormat="1" ht="15" customHeight="1" x14ac:dyDescent="0.25">
      <c r="A22" s="78"/>
      <c r="B22" s="79" t="s">
        <v>110</v>
      </c>
      <c r="C22" s="83">
        <f>C72/SUM(C$69, C$71,C$72, C$76)</f>
        <v>1.3744349230656277E-2</v>
      </c>
      <c r="D22" s="83">
        <f t="shared" ref="D22:E22" si="2">D72/SUM(D$69, D$71,D$72, D$76)</f>
        <v>1.7704075869829861E-2</v>
      </c>
      <c r="E22" s="83">
        <f t="shared" si="2"/>
        <v>2.3111535477710807E-2</v>
      </c>
      <c r="F22" s="73">
        <v>2.1999999999999999E-2</v>
      </c>
      <c r="G22" s="73">
        <v>2.1999999999999999E-2</v>
      </c>
      <c r="H22" s="73">
        <v>2.1999999999999999E-2</v>
      </c>
      <c r="I22" s="73">
        <v>2.1999999999999999E-2</v>
      </c>
      <c r="J22" s="73">
        <v>2.1999999999999999E-2</v>
      </c>
    </row>
    <row r="23" spans="1:11" ht="15" customHeight="1" x14ac:dyDescent="0.25">
      <c r="B23" s="15" t="s">
        <v>94</v>
      </c>
      <c r="C23">
        <f>C83</f>
        <v>34012</v>
      </c>
      <c r="D23" s="77">
        <f>D83</f>
        <v>34956</v>
      </c>
      <c r="E23" s="77">
        <f>E83</f>
        <v>35786</v>
      </c>
      <c r="F23" s="72">
        <v>35786</v>
      </c>
      <c r="G23" s="72">
        <v>35786</v>
      </c>
      <c r="H23" s="72">
        <v>35786</v>
      </c>
      <c r="I23" s="72">
        <v>35786</v>
      </c>
      <c r="J23" s="72">
        <v>35786</v>
      </c>
    </row>
    <row r="24" spans="1:11" ht="15" customHeight="1" x14ac:dyDescent="0.25">
      <c r="B24" s="15" t="s">
        <v>52</v>
      </c>
      <c r="C24" s="83">
        <f>C84/(C80+C82)</f>
        <v>2.1759884797929278E-2</v>
      </c>
      <c r="D24" s="83">
        <f>D84/(D80+D82)</f>
        <v>2.396711202466598E-2</v>
      </c>
      <c r="E24" s="83">
        <f>E84/(E80+E82)</f>
        <v>2.4402099941668288E-2</v>
      </c>
      <c r="F24" s="73">
        <v>2.4E-2</v>
      </c>
      <c r="G24" s="73">
        <v>2.4E-2</v>
      </c>
      <c r="H24" s="73">
        <v>2.4E-2</v>
      </c>
      <c r="I24" s="73">
        <v>2.4E-2</v>
      </c>
      <c r="J24" s="73">
        <v>2.4E-2</v>
      </c>
    </row>
    <row r="25" spans="1:11" ht="15" customHeight="1" x14ac:dyDescent="0.25">
      <c r="A25" s="99" t="s">
        <v>157</v>
      </c>
      <c r="B25" s="15" t="s">
        <v>68</v>
      </c>
      <c r="C25" s="83">
        <f>C85/(C80+C82)</f>
        <v>2.9787117692495233E-2</v>
      </c>
      <c r="D25" s="83">
        <f>D85/(D80+D82)</f>
        <v>6.3042137718396715E-2</v>
      </c>
      <c r="E25" s="83">
        <f>E85/(E80+E82)</f>
        <v>0.17218102800447735</v>
      </c>
      <c r="F25" s="73">
        <v>0.04</v>
      </c>
      <c r="G25" s="73">
        <v>0.04</v>
      </c>
      <c r="H25" s="73">
        <v>0.04</v>
      </c>
      <c r="I25" s="73">
        <v>0.04</v>
      </c>
      <c r="J25" s="73">
        <v>0.04</v>
      </c>
    </row>
    <row r="26" spans="1:11" ht="15" customHeight="1" x14ac:dyDescent="0.25">
      <c r="E26" s="77"/>
    </row>
    <row r="27" spans="1:11" ht="15" customHeight="1" x14ac:dyDescent="0.25">
      <c r="A27" s="14" t="s">
        <v>36</v>
      </c>
    </row>
    <row r="28" spans="1:11" s="77" customFormat="1" ht="15" customHeight="1" x14ac:dyDescent="0.25">
      <c r="A28" s="78"/>
      <c r="B28" s="74" t="s">
        <v>102</v>
      </c>
    </row>
    <row r="29" spans="1:11" s="77" customFormat="1" ht="15" customHeight="1" x14ac:dyDescent="0.25">
      <c r="A29" s="78"/>
      <c r="B29" s="79" t="s">
        <v>103</v>
      </c>
      <c r="C29" s="81">
        <v>48400</v>
      </c>
      <c r="D29" s="81">
        <v>43832</v>
      </c>
      <c r="E29" s="81">
        <f>46084</f>
        <v>46084</v>
      </c>
      <c r="F29" s="77">
        <f>(1+F5)*E29</f>
        <v>47466.520000000004</v>
      </c>
      <c r="G29" s="77">
        <f t="shared" ref="G29:J29" si="3">(1+G5)*F29</f>
        <v>48890.515600000006</v>
      </c>
      <c r="H29" s="77">
        <f t="shared" si="3"/>
        <v>50357.231068000008</v>
      </c>
      <c r="I29" s="77">
        <f t="shared" si="3"/>
        <v>51867.948000040007</v>
      </c>
      <c r="J29" s="77">
        <f t="shared" si="3"/>
        <v>53423.986440041212</v>
      </c>
    </row>
    <row r="30" spans="1:11" s="77" customFormat="1" ht="15" customHeight="1" x14ac:dyDescent="0.25">
      <c r="A30" s="78"/>
      <c r="B30" s="79" t="s">
        <v>104</v>
      </c>
      <c r="C30" s="81">
        <v>20507</v>
      </c>
      <c r="D30" s="81">
        <v>20548</v>
      </c>
      <c r="E30" s="81">
        <v>20607</v>
      </c>
      <c r="F30" s="77">
        <f>(1+F6)*E30</f>
        <v>20668.820999999996</v>
      </c>
      <c r="G30" s="77">
        <f t="shared" ref="G30:J30" si="4">(1+G6)*F30</f>
        <v>20772.165104999993</v>
      </c>
      <c r="H30" s="77">
        <f t="shared" si="4"/>
        <v>20876.025930524989</v>
      </c>
      <c r="I30" s="77">
        <f t="shared" si="4"/>
        <v>20980.406060177611</v>
      </c>
      <c r="J30" s="77">
        <f t="shared" si="4"/>
        <v>21085.308090478498</v>
      </c>
    </row>
    <row r="31" spans="1:11" s="77" customFormat="1" ht="15" customHeight="1" x14ac:dyDescent="0.25">
      <c r="A31" s="99" t="s">
        <v>157</v>
      </c>
      <c r="B31" s="79"/>
      <c r="C31" s="81"/>
      <c r="D31" s="81"/>
      <c r="E31" s="81"/>
    </row>
    <row r="32" spans="1:11" ht="15" customHeight="1" x14ac:dyDescent="0.25">
      <c r="B32" s="74" t="s">
        <v>43</v>
      </c>
      <c r="K32" s="77"/>
    </row>
    <row r="33" spans="1:11" ht="15" customHeight="1" x14ac:dyDescent="0.25">
      <c r="B33" s="15" t="s">
        <v>38</v>
      </c>
      <c r="F33">
        <f>E35</f>
        <v>8745</v>
      </c>
      <c r="G33" s="77">
        <f t="shared" ref="G33:J33" si="5">F35</f>
        <v>8445</v>
      </c>
      <c r="H33" s="77">
        <f t="shared" si="5"/>
        <v>8145</v>
      </c>
      <c r="I33" s="77">
        <f t="shared" si="5"/>
        <v>7845</v>
      </c>
      <c r="J33" s="77">
        <f t="shared" si="5"/>
        <v>7545</v>
      </c>
      <c r="K33" s="77"/>
    </row>
    <row r="34" spans="1:11" ht="15" customHeight="1" x14ac:dyDescent="0.25">
      <c r="B34" s="15" t="s">
        <v>44</v>
      </c>
      <c r="C34" s="63"/>
      <c r="D34" s="63"/>
      <c r="F34">
        <f>F12</f>
        <v>-300</v>
      </c>
      <c r="G34" s="77">
        <f t="shared" ref="G34:J34" si="6">G12</f>
        <v>-300</v>
      </c>
      <c r="H34" s="77">
        <f t="shared" si="6"/>
        <v>-300</v>
      </c>
      <c r="I34" s="77">
        <f t="shared" si="6"/>
        <v>-300</v>
      </c>
      <c r="J34" s="77">
        <f t="shared" si="6"/>
        <v>-300</v>
      </c>
      <c r="K34" s="77"/>
    </row>
    <row r="35" spans="1:11" ht="15" customHeight="1" x14ac:dyDescent="0.25">
      <c r="A35" s="99" t="s">
        <v>157</v>
      </c>
      <c r="B35" s="15" t="s">
        <v>41</v>
      </c>
      <c r="E35">
        <f>E65</f>
        <v>8745</v>
      </c>
      <c r="F35">
        <f>SUM(F33:F34)</f>
        <v>8445</v>
      </c>
      <c r="G35" s="77">
        <f t="shared" ref="G35:J35" si="7">SUM(G33:G34)</f>
        <v>8145</v>
      </c>
      <c r="H35" s="77">
        <f t="shared" si="7"/>
        <v>7845</v>
      </c>
      <c r="I35" s="77">
        <f t="shared" si="7"/>
        <v>7545</v>
      </c>
      <c r="J35" s="77">
        <f t="shared" si="7"/>
        <v>7245</v>
      </c>
      <c r="K35" s="77"/>
    </row>
    <row r="36" spans="1:11" s="77" customFormat="1" ht="15" customHeight="1" x14ac:dyDescent="0.25">
      <c r="A36" s="78"/>
      <c r="B36" s="79"/>
    </row>
    <row r="37" spans="1:11" ht="15" customHeight="1" x14ac:dyDescent="0.25">
      <c r="B37" s="74" t="s">
        <v>37</v>
      </c>
      <c r="G37" s="77"/>
      <c r="H37" s="77"/>
      <c r="I37" s="77"/>
      <c r="J37" s="77"/>
      <c r="K37" s="77"/>
    </row>
    <row r="38" spans="1:11" ht="15" customHeight="1" x14ac:dyDescent="0.25">
      <c r="B38" s="15" t="s">
        <v>38</v>
      </c>
      <c r="F38">
        <f>E41</f>
        <v>3768</v>
      </c>
      <c r="G38" s="77">
        <f t="shared" ref="G38:J38" si="8">F41</f>
        <v>3831.098735</v>
      </c>
      <c r="H38" s="77">
        <f t="shared" si="8"/>
        <v>3893.88468246</v>
      </c>
      <c r="I38" s="77">
        <f t="shared" si="8"/>
        <v>3958.15696702686</v>
      </c>
      <c r="J38" s="77">
        <f t="shared" si="8"/>
        <v>4025.7422484943245</v>
      </c>
      <c r="K38" s="77"/>
    </row>
    <row r="39" spans="1:11" ht="15" customHeight="1" x14ac:dyDescent="0.25">
      <c r="B39" s="15" t="s">
        <v>39</v>
      </c>
      <c r="C39" s="63"/>
      <c r="D39" s="63"/>
      <c r="F39">
        <f>F14*SUM(F82,F80)</f>
        <v>191.21073499999997</v>
      </c>
      <c r="G39" s="77">
        <f t="shared" ref="G39:J39" si="9">G14*SUM(G82,G80)</f>
        <v>193.04330444999997</v>
      </c>
      <c r="H39" s="77">
        <f t="shared" si="9"/>
        <v>196.66436377049999</v>
      </c>
      <c r="I39" s="77">
        <f t="shared" si="9"/>
        <v>202.16261834637749</v>
      </c>
      <c r="J39" s="77">
        <f t="shared" si="9"/>
        <v>207.8238121778451</v>
      </c>
      <c r="K39" s="77"/>
    </row>
    <row r="40" spans="1:11" ht="15" customHeight="1" x14ac:dyDescent="0.25">
      <c r="B40" s="15" t="s">
        <v>40</v>
      </c>
      <c r="C40" s="63"/>
      <c r="D40" s="63"/>
      <c r="F40">
        <f>-F13*F38</f>
        <v>-128.11200000000002</v>
      </c>
      <c r="G40" s="77">
        <f t="shared" ref="G40:J40" si="10">-G13*G38</f>
        <v>-130.25735699000001</v>
      </c>
      <c r="H40" s="77">
        <f t="shared" si="10"/>
        <v>-132.39207920364001</v>
      </c>
      <c r="I40" s="77">
        <f t="shared" si="10"/>
        <v>-134.57733687891326</v>
      </c>
      <c r="J40" s="77">
        <f t="shared" si="10"/>
        <v>-136.87523644880704</v>
      </c>
      <c r="K40" s="77"/>
    </row>
    <row r="41" spans="1:11" ht="15" customHeight="1" x14ac:dyDescent="0.25">
      <c r="A41" s="99"/>
      <c r="B41" s="15" t="s">
        <v>41</v>
      </c>
      <c r="E41">
        <f>E66</f>
        <v>3768</v>
      </c>
      <c r="F41">
        <f>SUM(F38:F40)</f>
        <v>3831.098735</v>
      </c>
      <c r="G41" s="77">
        <f t="shared" ref="G41:J41" si="11">SUM(G38:G40)</f>
        <v>3893.88468246</v>
      </c>
      <c r="H41" s="77">
        <f t="shared" si="11"/>
        <v>3958.15696702686</v>
      </c>
      <c r="I41" s="77">
        <f t="shared" si="11"/>
        <v>4025.7422484943245</v>
      </c>
      <c r="J41" s="77">
        <f t="shared" si="11"/>
        <v>4096.6908242233621</v>
      </c>
      <c r="K41" s="77"/>
    </row>
    <row r="42" spans="1:11" ht="15" customHeight="1" x14ac:dyDescent="0.25">
      <c r="G42" s="77"/>
      <c r="H42" s="77"/>
      <c r="I42" s="77"/>
      <c r="J42" s="77"/>
      <c r="K42" s="77"/>
    </row>
    <row r="43" spans="1:11" ht="15" customHeight="1" x14ac:dyDescent="0.25">
      <c r="B43" s="74" t="s">
        <v>121</v>
      </c>
      <c r="G43" s="77"/>
      <c r="H43" s="77"/>
      <c r="I43" s="77"/>
      <c r="J43" s="77"/>
      <c r="K43" s="77"/>
    </row>
    <row r="44" spans="1:11" s="77" customFormat="1" ht="15" customHeight="1" x14ac:dyDescent="0.25">
      <c r="A44" s="78"/>
      <c r="B44" s="79" t="s">
        <v>38</v>
      </c>
      <c r="F44" s="77">
        <f>E47</f>
        <v>2143</v>
      </c>
      <c r="G44" s="77">
        <f t="shared" ref="G44:J44" si="12">F47</f>
        <v>2189.0652</v>
      </c>
      <c r="H44" s="77">
        <f t="shared" si="12"/>
        <v>2240.1573160000003</v>
      </c>
      <c r="I44" s="77">
        <f t="shared" si="12"/>
        <v>2295.6981634800004</v>
      </c>
      <c r="J44" s="77">
        <f t="shared" si="12"/>
        <v>2355.2380107844001</v>
      </c>
    </row>
    <row r="45" spans="1:11" s="77" customFormat="1" ht="15" customHeight="1" x14ac:dyDescent="0.25">
      <c r="B45" s="79" t="s">
        <v>122</v>
      </c>
      <c r="C45" s="81"/>
      <c r="D45" s="81"/>
      <c r="F45" s="77">
        <f>F15*F29</f>
        <v>474.66520000000003</v>
      </c>
      <c r="G45" s="77">
        <f t="shared" ref="G45:J45" si="13">G15*G29</f>
        <v>488.90515600000009</v>
      </c>
      <c r="H45" s="77">
        <f t="shared" si="13"/>
        <v>503.5723106800001</v>
      </c>
      <c r="I45" s="77">
        <f t="shared" si="13"/>
        <v>518.67948000040008</v>
      </c>
      <c r="J45" s="77">
        <f t="shared" si="13"/>
        <v>534.2398644004121</v>
      </c>
    </row>
    <row r="46" spans="1:11" s="77" customFormat="1" ht="15" customHeight="1" x14ac:dyDescent="0.25">
      <c r="A46" s="78"/>
      <c r="B46" s="79" t="s">
        <v>44</v>
      </c>
      <c r="C46" s="81"/>
      <c r="D46" s="81"/>
      <c r="F46" s="77">
        <f>-F16*F44</f>
        <v>-428.6</v>
      </c>
      <c r="G46" s="77">
        <f t="shared" ref="G46:J46" si="14">-G16*G44</f>
        <v>-437.81304</v>
      </c>
      <c r="H46" s="77">
        <f t="shared" si="14"/>
        <v>-448.03146320000008</v>
      </c>
      <c r="I46" s="77">
        <f t="shared" si="14"/>
        <v>-459.13963269600009</v>
      </c>
      <c r="J46" s="77">
        <f t="shared" si="14"/>
        <v>-471.04760215688003</v>
      </c>
    </row>
    <row r="47" spans="1:11" s="77" customFormat="1" ht="15" customHeight="1" x14ac:dyDescent="0.25">
      <c r="B47" s="79" t="s">
        <v>41</v>
      </c>
      <c r="E47" s="77">
        <f>E74</f>
        <v>2143</v>
      </c>
      <c r="F47" s="77">
        <f>SUM(F44:F46)</f>
        <v>2189.0652</v>
      </c>
      <c r="G47" s="77">
        <f t="shared" ref="G47:J47" si="15">SUM(G44:G46)</f>
        <v>2240.1573160000003</v>
      </c>
      <c r="H47" s="77">
        <f t="shared" si="15"/>
        <v>2295.6981634800004</v>
      </c>
      <c r="I47" s="77">
        <f t="shared" si="15"/>
        <v>2355.2380107844001</v>
      </c>
      <c r="J47" s="77">
        <f t="shared" si="15"/>
        <v>2418.4302730279319</v>
      </c>
    </row>
    <row r="48" spans="1:11" s="77" customFormat="1" ht="15" customHeight="1" x14ac:dyDescent="0.25">
      <c r="A48" s="78"/>
      <c r="B48" s="79"/>
    </row>
    <row r="49" spans="1:11" s="77" customFormat="1" ht="15" customHeight="1" x14ac:dyDescent="0.25">
      <c r="A49" s="78"/>
      <c r="B49" s="74" t="s">
        <v>99</v>
      </c>
    </row>
    <row r="50" spans="1:11" s="77" customFormat="1" ht="15" customHeight="1" x14ac:dyDescent="0.25">
      <c r="A50" s="78"/>
      <c r="B50" s="79" t="s">
        <v>140</v>
      </c>
      <c r="F50" s="77">
        <f ca="1">(F53-F51)*(F80-F81)/(F80-F81+F82)</f>
        <v>305490.30712866358</v>
      </c>
      <c r="G50" s="77">
        <f t="shared" ref="G50:J50" ca="1" si="16">(G53-G51)*(G80-G81)/(G80-G81+G82)</f>
        <v>302070.65698888473</v>
      </c>
      <c r="H50" s="77">
        <f t="shared" ca="1" si="16"/>
        <v>307356.46086584654</v>
      </c>
      <c r="I50" s="77">
        <f t="shared" ca="1" si="16"/>
        <v>316492.25762743625</v>
      </c>
      <c r="J50" s="77">
        <f t="shared" ca="1" si="16"/>
        <v>326408.20466643985</v>
      </c>
    </row>
    <row r="51" spans="1:11" s="77" customFormat="1" ht="15" customHeight="1" x14ac:dyDescent="0.25">
      <c r="A51" s="78"/>
      <c r="B51" s="86" t="s">
        <v>141</v>
      </c>
      <c r="E51" s="95"/>
      <c r="F51" s="95">
        <f>F81</f>
        <v>66615.198899999988</v>
      </c>
      <c r="G51" s="95">
        <f t="shared" ref="G51:J51" si="17">G81</f>
        <v>67281.350888999994</v>
      </c>
      <c r="H51" s="95">
        <f t="shared" si="17"/>
        <v>68626.977906779997</v>
      </c>
      <c r="I51" s="95">
        <f t="shared" si="17"/>
        <v>70685.787243983388</v>
      </c>
      <c r="J51" s="95">
        <f t="shared" si="17"/>
        <v>72806.360861302892</v>
      </c>
    </row>
    <row r="52" spans="1:11" s="77" customFormat="1" ht="15" customHeight="1" x14ac:dyDescent="0.25">
      <c r="A52" s="78"/>
      <c r="B52" s="79" t="s">
        <v>142</v>
      </c>
      <c r="F52" s="77">
        <f ca="1">(F53-F51)*F82/(F80-F81+F82)</f>
        <v>34223.687361556898</v>
      </c>
      <c r="G52" s="77">
        <f t="shared" ref="G52:J52" ca="1" si="18">(G53-G51)*G82/(G80-G81+G82)</f>
        <v>33673.060676534849</v>
      </c>
      <c r="H52" s="77">
        <f t="shared" ca="1" si="18"/>
        <v>33758.433791631462</v>
      </c>
      <c r="I52" s="77">
        <f t="shared" ca="1" si="18"/>
        <v>33918.127635444805</v>
      </c>
      <c r="J52" s="77">
        <f t="shared" ca="1" si="18"/>
        <v>34131.76003157979</v>
      </c>
    </row>
    <row r="53" spans="1:11" s="77" customFormat="1" ht="15" customHeight="1" x14ac:dyDescent="0.25">
      <c r="A53" s="78"/>
      <c r="B53" s="79" t="s">
        <v>144</v>
      </c>
      <c r="F53" s="77">
        <f ca="1">F21*F56</f>
        <v>406329.1933902204</v>
      </c>
      <c r="G53" s="77">
        <f t="shared" ref="G53:J53" ca="1" si="19">G21*G56</f>
        <v>403025.06855441956</v>
      </c>
      <c r="H53" s="77">
        <f t="shared" ca="1" si="19"/>
        <v>409741.87256425811</v>
      </c>
      <c r="I53" s="77">
        <f t="shared" ca="1" si="19"/>
        <v>421096.17250686651</v>
      </c>
      <c r="J53" s="77">
        <f t="shared" ca="1" si="19"/>
        <v>433346.3255593339</v>
      </c>
    </row>
    <row r="54" spans="1:11" s="77" customFormat="1" ht="15" customHeight="1" x14ac:dyDescent="0.25">
      <c r="A54" s="78"/>
      <c r="B54" s="79" t="s">
        <v>109</v>
      </c>
      <c r="F54" s="77">
        <f ca="1">F22*F56</f>
        <v>9311.7106818592165</v>
      </c>
      <c r="G54" s="77">
        <f t="shared" ref="G54:J54" ca="1" si="20">G22*G56</f>
        <v>9235.9911543721155</v>
      </c>
      <c r="H54" s="77">
        <f t="shared" ca="1" si="20"/>
        <v>9389.9179129309141</v>
      </c>
      <c r="I54" s="77">
        <f t="shared" ca="1" si="20"/>
        <v>9650.1206199490243</v>
      </c>
      <c r="J54" s="77">
        <f t="shared" ca="1" si="20"/>
        <v>9930.853294068067</v>
      </c>
    </row>
    <row r="55" spans="1:11" s="77" customFormat="1" ht="15" customHeight="1" x14ac:dyDescent="0.25">
      <c r="A55" s="78"/>
      <c r="B55" s="79" t="s">
        <v>100</v>
      </c>
      <c r="F55" s="77">
        <f ca="1">F56-F53-F54</f>
        <v>7618.6723760666337</v>
      </c>
      <c r="G55" s="77">
        <f t="shared" ref="G55:J55" ca="1" si="21">G56-G53-G54</f>
        <v>7556.7200353954049</v>
      </c>
      <c r="H55" s="77">
        <f t="shared" ca="1" si="21"/>
        <v>7682.6601105798381</v>
      </c>
      <c r="I55" s="77">
        <f t="shared" ca="1" si="21"/>
        <v>7895.5532345037664</v>
      </c>
      <c r="J55" s="77">
        <f t="shared" ca="1" si="21"/>
        <v>8125.243604237512</v>
      </c>
    </row>
    <row r="56" spans="1:11" s="95" customFormat="1" ht="15" customHeight="1" x14ac:dyDescent="0.25">
      <c r="A56" s="97"/>
      <c r="B56" s="86" t="s">
        <v>101</v>
      </c>
      <c r="F56" s="95">
        <f ca="1">F86-SUM(F65:F68)-SUM(F73:F75)</f>
        <v>423259.57644814625</v>
      </c>
      <c r="G56" s="95">
        <f t="shared" ref="G56:J56" ca="1" si="22">G86-SUM(G65:G68)-SUM(G73:G75)</f>
        <v>419817.77974418708</v>
      </c>
      <c r="H56" s="95">
        <f t="shared" ca="1" si="22"/>
        <v>426814.4505877691</v>
      </c>
      <c r="I56" s="95">
        <f t="shared" ca="1" si="22"/>
        <v>438641.84636132722</v>
      </c>
      <c r="J56" s="95">
        <f t="shared" ca="1" si="22"/>
        <v>451402.42245771235</v>
      </c>
      <c r="K56" s="77"/>
    </row>
    <row r="57" spans="1:11" ht="15" customHeight="1" x14ac:dyDescent="0.25">
      <c r="A57" s="99" t="s">
        <v>157</v>
      </c>
      <c r="G57" s="77"/>
      <c r="H57" s="77"/>
      <c r="I57" s="77"/>
      <c r="J57" s="77"/>
      <c r="K57" s="77"/>
    </row>
    <row r="58" spans="1:11" s="75" customFormat="1" ht="15" customHeight="1" x14ac:dyDescent="0.25">
      <c r="A58" s="76"/>
      <c r="B58" s="74" t="s">
        <v>75</v>
      </c>
      <c r="G58" s="77"/>
      <c r="H58" s="77"/>
      <c r="I58" s="77"/>
      <c r="J58" s="77"/>
      <c r="K58" s="77"/>
    </row>
    <row r="59" spans="1:11" s="75" customFormat="1" ht="15" customHeight="1" x14ac:dyDescent="0.25">
      <c r="A59" s="76"/>
      <c r="B59" s="79" t="s">
        <v>76</v>
      </c>
      <c r="F59" s="75">
        <f>E62</f>
        <v>24643</v>
      </c>
      <c r="G59" s="77">
        <f t="shared" ref="G59:J59" ca="1" si="23">F62</f>
        <v>25695.167373146211</v>
      </c>
      <c r="H59" s="77">
        <f t="shared" ca="1" si="23"/>
        <v>18448.776601547124</v>
      </c>
      <c r="I59" s="77">
        <f t="shared" ca="1" si="23"/>
        <v>18102.069925339016</v>
      </c>
      <c r="J59" s="77">
        <f t="shared" ca="1" si="23"/>
        <v>18872.867924280734</v>
      </c>
      <c r="K59" s="77"/>
    </row>
    <row r="60" spans="1:11" s="75" customFormat="1" ht="15" customHeight="1" x14ac:dyDescent="0.25">
      <c r="A60" s="76"/>
      <c r="B60" s="79" t="s">
        <v>77</v>
      </c>
      <c r="F60" s="75">
        <f ca="1">F132</f>
        <v>2465.1673731462106</v>
      </c>
      <c r="G60" s="77">
        <f t="shared" ref="G60:J60" ca="1" si="24">G132</f>
        <v>2450.2278486565415</v>
      </c>
      <c r="H60" s="77">
        <f t="shared" ca="1" si="24"/>
        <v>2466.0922062011741</v>
      </c>
      <c r="I60" s="77">
        <f t="shared" ca="1" si="24"/>
        <v>2525.0849682958806</v>
      </c>
      <c r="J60" s="77">
        <f t="shared" ca="1" si="24"/>
        <v>2601.0442329298485</v>
      </c>
      <c r="K60" s="77"/>
    </row>
    <row r="61" spans="1:11" ht="15" customHeight="1" x14ac:dyDescent="0.25">
      <c r="B61" s="79" t="s">
        <v>46</v>
      </c>
      <c r="F61">
        <f>E155</f>
        <v>-1413</v>
      </c>
      <c r="G61" s="77">
        <f t="shared" ref="G61:J61" ca="1" si="25">F155</f>
        <v>-9696.6186202556273</v>
      </c>
      <c r="H61" s="77">
        <f t="shared" ca="1" si="25"/>
        <v>-2812.7988824092827</v>
      </c>
      <c r="I61" s="77">
        <f t="shared" ca="1" si="25"/>
        <v>-1754.2869693405664</v>
      </c>
      <c r="J61" s="77">
        <f t="shared" ca="1" si="25"/>
        <v>-1212.9267179330782</v>
      </c>
      <c r="K61" s="77"/>
    </row>
    <row r="62" spans="1:11" ht="15" customHeight="1" x14ac:dyDescent="0.25">
      <c r="B62" s="79" t="s">
        <v>78</v>
      </c>
      <c r="E62">
        <f>E79</f>
        <v>24643</v>
      </c>
      <c r="F62">
        <f ca="1">SUM(F59:F61)</f>
        <v>25695.167373146211</v>
      </c>
      <c r="G62" s="77">
        <f t="shared" ref="G62:J62" ca="1" si="26">SUM(G59:G61)</f>
        <v>18448.776601547124</v>
      </c>
      <c r="H62" s="77">
        <f t="shared" ca="1" si="26"/>
        <v>18102.069925339016</v>
      </c>
      <c r="I62" s="77">
        <f t="shared" ca="1" si="26"/>
        <v>18872.867924294329</v>
      </c>
      <c r="J62" s="77">
        <f t="shared" ca="1" si="26"/>
        <v>20260.985439277505</v>
      </c>
      <c r="K62" s="77"/>
    </row>
    <row r="63" spans="1:11" s="77" customFormat="1" ht="15" customHeight="1" x14ac:dyDescent="0.25">
      <c r="A63" s="78"/>
      <c r="B63" s="79"/>
    </row>
    <row r="64" spans="1:11" ht="15" customHeight="1" x14ac:dyDescent="0.25">
      <c r="A64" s="14" t="s">
        <v>29</v>
      </c>
      <c r="G64" s="77"/>
      <c r="H64" s="77"/>
      <c r="I64" s="77"/>
      <c r="J64" s="77"/>
      <c r="K64" s="77"/>
    </row>
    <row r="65" spans="1:12" ht="15" customHeight="1" x14ac:dyDescent="0.25">
      <c r="B65" s="15" t="s">
        <v>62</v>
      </c>
      <c r="C65" s="63">
        <v>8866</v>
      </c>
      <c r="D65" s="63">
        <v>8784</v>
      </c>
      <c r="E65" s="81">
        <v>8745</v>
      </c>
      <c r="F65">
        <f>F35</f>
        <v>8445</v>
      </c>
      <c r="G65" s="77">
        <f t="shared" ref="G65:J65" si="27">G35</f>
        <v>8145</v>
      </c>
      <c r="H65" s="77">
        <f t="shared" si="27"/>
        <v>7845</v>
      </c>
      <c r="I65" s="77">
        <f t="shared" si="27"/>
        <v>7545</v>
      </c>
      <c r="J65" s="77">
        <f t="shared" si="27"/>
        <v>7245</v>
      </c>
      <c r="K65" s="77"/>
    </row>
    <row r="66" spans="1:12" ht="15" customHeight="1" x14ac:dyDescent="0.25">
      <c r="B66" s="15" t="s">
        <v>63</v>
      </c>
      <c r="C66" s="63">
        <v>4476</v>
      </c>
      <c r="D66" s="63">
        <v>4075</v>
      </c>
      <c r="E66" s="81">
        <v>3768</v>
      </c>
      <c r="F66">
        <f>F41</f>
        <v>3831.098735</v>
      </c>
      <c r="G66" s="77">
        <f t="shared" ref="G66:J66" si="28">G41</f>
        <v>3893.88468246</v>
      </c>
      <c r="H66" s="77">
        <f t="shared" si="28"/>
        <v>3958.15696702686</v>
      </c>
      <c r="I66" s="77">
        <f t="shared" si="28"/>
        <v>4025.7422484943245</v>
      </c>
      <c r="J66" s="77">
        <f t="shared" si="28"/>
        <v>4096.6908242233621</v>
      </c>
      <c r="K66" s="77"/>
    </row>
    <row r="67" spans="1:12" ht="15" customHeight="1" x14ac:dyDescent="0.25">
      <c r="B67" s="15" t="s">
        <v>117</v>
      </c>
      <c r="C67" s="81">
        <v>1229</v>
      </c>
      <c r="D67" s="81">
        <v>1079</v>
      </c>
      <c r="E67" s="81">
        <v>1244</v>
      </c>
      <c r="F67">
        <f>F17*F80</f>
        <v>1402.4252399999998</v>
      </c>
      <c r="G67" s="77">
        <f t="shared" ref="G67:J67" si="29">G17*G80</f>
        <v>1416.4494923999998</v>
      </c>
      <c r="H67" s="77">
        <f t="shared" si="29"/>
        <v>1444.7784822479998</v>
      </c>
      <c r="I67" s="77">
        <f t="shared" si="29"/>
        <v>1488.1218367154399</v>
      </c>
      <c r="J67" s="77">
        <f t="shared" si="29"/>
        <v>1532.765491816903</v>
      </c>
      <c r="K67" s="77"/>
    </row>
    <row r="68" spans="1:12" s="77" customFormat="1" ht="15" customHeight="1" x14ac:dyDescent="0.25">
      <c r="A68" s="78"/>
      <c r="B68" s="79" t="s">
        <v>118</v>
      </c>
      <c r="C68" s="81">
        <v>2704</v>
      </c>
      <c r="D68" s="81">
        <v>3215</v>
      </c>
      <c r="E68" s="81">
        <v>2765</v>
      </c>
      <c r="F68" s="77">
        <f>F18*F82</f>
        <v>2863.3643999999995</v>
      </c>
      <c r="G68" s="77">
        <f t="shared" ref="G68:J68" si="30">G18*G82</f>
        <v>2877.6812219999993</v>
      </c>
      <c r="H68" s="77">
        <f t="shared" si="30"/>
        <v>2892.069628109999</v>
      </c>
      <c r="I68" s="77">
        <f t="shared" si="30"/>
        <v>2906.5299762505488</v>
      </c>
      <c r="J68" s="77">
        <f t="shared" si="30"/>
        <v>2921.0626261318012</v>
      </c>
    </row>
    <row r="69" spans="1:12" ht="15" customHeight="1" x14ac:dyDescent="0.25">
      <c r="A69" s="99"/>
      <c r="B69" s="15" t="s">
        <v>64</v>
      </c>
      <c r="C69" s="81">
        <f>425202</f>
        <v>425202</v>
      </c>
      <c r="D69" s="81">
        <f>425810</f>
        <v>425810</v>
      </c>
      <c r="E69" s="81">
        <f>366505</f>
        <v>366505</v>
      </c>
      <c r="F69">
        <f ca="1">F50+F51</f>
        <v>372105.5060286636</v>
      </c>
      <c r="G69" s="77">
        <f t="shared" ref="G69:J69" ca="1" si="31">G50+G51</f>
        <v>369352.00787788472</v>
      </c>
      <c r="H69" s="77">
        <f t="shared" ca="1" si="31"/>
        <v>375983.43877262657</v>
      </c>
      <c r="I69" s="77">
        <f t="shared" ca="1" si="31"/>
        <v>387178.04487141967</v>
      </c>
      <c r="J69" s="77">
        <f t="shared" ca="1" si="31"/>
        <v>399214.56552774273</v>
      </c>
      <c r="K69" s="77"/>
    </row>
    <row r="70" spans="1:12" s="94" customFormat="1" ht="15" customHeight="1" x14ac:dyDescent="0.25">
      <c r="A70" s="91"/>
      <c r="B70" s="92" t="s">
        <v>135</v>
      </c>
      <c r="C70" s="93">
        <v>78317</v>
      </c>
      <c r="D70" s="93">
        <v>75373</v>
      </c>
      <c r="E70" s="93">
        <v>65789</v>
      </c>
      <c r="F70" s="94">
        <f>F51</f>
        <v>66615.198899999988</v>
      </c>
      <c r="G70" s="94">
        <f t="shared" ref="G70:J70" si="32">G51</f>
        <v>67281.350888999994</v>
      </c>
      <c r="H70" s="94">
        <f t="shared" si="32"/>
        <v>68626.977906779997</v>
      </c>
      <c r="I70" s="94">
        <f t="shared" si="32"/>
        <v>70685.787243983388</v>
      </c>
      <c r="J70" s="94">
        <f t="shared" si="32"/>
        <v>72806.360861302892</v>
      </c>
      <c r="K70" s="77"/>
      <c r="L70" s="96"/>
    </row>
    <row r="71" spans="1:12" ht="15" customHeight="1" x14ac:dyDescent="0.25">
      <c r="B71" s="15" t="s">
        <v>65</v>
      </c>
      <c r="C71" s="63">
        <v>37418</v>
      </c>
      <c r="D71" s="63">
        <v>36959</v>
      </c>
      <c r="E71" s="81">
        <v>36041</v>
      </c>
      <c r="F71" s="77">
        <f ca="1">F52</f>
        <v>34223.687361556898</v>
      </c>
      <c r="G71" s="77">
        <f t="shared" ref="G71:J71" ca="1" si="33">G52</f>
        <v>33673.060676534849</v>
      </c>
      <c r="H71" s="77">
        <f t="shared" ca="1" si="33"/>
        <v>33758.433791631462</v>
      </c>
      <c r="I71" s="77">
        <f t="shared" ca="1" si="33"/>
        <v>33918.127635444805</v>
      </c>
      <c r="J71" s="77">
        <f t="shared" ca="1" si="33"/>
        <v>34131.76003157979</v>
      </c>
      <c r="K71" s="77"/>
    </row>
    <row r="72" spans="1:12" s="77" customFormat="1" ht="15" customHeight="1" x14ac:dyDescent="0.25">
      <c r="A72" s="78"/>
      <c r="B72" s="79" t="s">
        <v>109</v>
      </c>
      <c r="C72" s="81">
        <f>469172-C69-C71</f>
        <v>6552</v>
      </c>
      <c r="D72" s="81">
        <f>471233-D69-D71</f>
        <v>8464</v>
      </c>
      <c r="E72" s="81">
        <f>412228-E69-E71</f>
        <v>9682</v>
      </c>
      <c r="F72" s="77">
        <f ca="1">F54</f>
        <v>9311.7106818592165</v>
      </c>
      <c r="G72" s="77">
        <f t="shared" ref="G72:J72" ca="1" si="34">G54</f>
        <v>9235.9911543721155</v>
      </c>
      <c r="H72" s="77">
        <f t="shared" ca="1" si="34"/>
        <v>9389.9179129309141</v>
      </c>
      <c r="I72" s="77">
        <f t="shared" ca="1" si="34"/>
        <v>9650.1206199490243</v>
      </c>
      <c r="J72" s="77">
        <f t="shared" ca="1" si="34"/>
        <v>9930.853294068067</v>
      </c>
    </row>
    <row r="73" spans="1:12" ht="15" customHeight="1" x14ac:dyDescent="0.25">
      <c r="B73" s="15" t="s">
        <v>66</v>
      </c>
      <c r="C73" s="81">
        <v>11790</v>
      </c>
      <c r="D73" s="81">
        <v>11676</v>
      </c>
      <c r="E73" s="81">
        <v>11127</v>
      </c>
      <c r="F73">
        <f>F19*SUM(F80,F82)</f>
        <v>11090.222629999998</v>
      </c>
      <c r="G73" s="77">
        <f t="shared" ref="G73:J73" si="35">G19*SUM(G80,G82)</f>
        <v>11196.511658099998</v>
      </c>
      <c r="H73" s="77">
        <f t="shared" si="35"/>
        <v>11406.533098688999</v>
      </c>
      <c r="I73" s="77">
        <f t="shared" si="35"/>
        <v>11725.431864089895</v>
      </c>
      <c r="J73" s="77">
        <f t="shared" si="35"/>
        <v>12053.781106315017</v>
      </c>
      <c r="K73" s="77"/>
    </row>
    <row r="74" spans="1:12" s="77" customFormat="1" ht="15" customHeight="1" x14ac:dyDescent="0.25">
      <c r="A74" s="78"/>
      <c r="B74" s="79" t="s">
        <v>149</v>
      </c>
      <c r="C74" s="81">
        <v>2083</v>
      </c>
      <c r="D74" s="81">
        <v>2119</v>
      </c>
      <c r="E74" s="81">
        <v>2143</v>
      </c>
      <c r="F74" s="77">
        <f>F47</f>
        <v>2189.0652</v>
      </c>
      <c r="G74" s="77">
        <f t="shared" ref="G74:J74" si="36">G47</f>
        <v>2240.1573160000003</v>
      </c>
      <c r="H74" s="77">
        <f t="shared" si="36"/>
        <v>2295.6981634800004</v>
      </c>
      <c r="I74" s="77">
        <f t="shared" si="36"/>
        <v>2355.2380107844001</v>
      </c>
      <c r="J74" s="77">
        <f t="shared" si="36"/>
        <v>2418.4302730279319</v>
      </c>
    </row>
    <row r="75" spans="1:12" ht="15" customHeight="1" x14ac:dyDescent="0.25">
      <c r="B75" s="15" t="s">
        <v>30</v>
      </c>
      <c r="C75" s="81">
        <f>15414-C74</f>
        <v>13331</v>
      </c>
      <c r="D75" s="81">
        <f>30169-D74</f>
        <v>28050</v>
      </c>
      <c r="E75" s="81">
        <f>69253-E74</f>
        <v>67110</v>
      </c>
      <c r="F75" s="77">
        <f>F20*SUM(F80,F82)</f>
        <v>15296.858799999996</v>
      </c>
      <c r="G75" s="77">
        <f t="shared" ref="G75:J75" si="37">G20*SUM(G80,G82)</f>
        <v>15443.464355999997</v>
      </c>
      <c r="H75" s="77">
        <f t="shared" si="37"/>
        <v>15733.149101639998</v>
      </c>
      <c r="I75" s="77">
        <f t="shared" si="37"/>
        <v>16173.009467710199</v>
      </c>
      <c r="J75" s="77">
        <f t="shared" si="37"/>
        <v>16625.904974227607</v>
      </c>
      <c r="K75" s="77"/>
    </row>
    <row r="76" spans="1:12" ht="15" customHeight="1" x14ac:dyDescent="0.25">
      <c r="B76" s="15" t="s">
        <v>67</v>
      </c>
      <c r="C76" s="63">
        <v>7533</v>
      </c>
      <c r="D76" s="63">
        <v>6849</v>
      </c>
      <c r="E76" s="81">
        <v>6697</v>
      </c>
      <c r="F76">
        <f ca="1">F55</f>
        <v>7618.6723760666337</v>
      </c>
      <c r="G76" s="77">
        <f t="shared" ref="G76:J76" ca="1" si="38">G55</f>
        <v>7556.7200353954049</v>
      </c>
      <c r="H76" s="77">
        <f t="shared" ca="1" si="38"/>
        <v>7682.6601105798381</v>
      </c>
      <c r="I76" s="77">
        <f t="shared" ca="1" si="38"/>
        <v>7895.5532345037664</v>
      </c>
      <c r="J76" s="77">
        <f t="shared" ca="1" si="38"/>
        <v>8125.243604237512</v>
      </c>
      <c r="K76" s="77"/>
    </row>
    <row r="77" spans="1:12" ht="15" customHeight="1" x14ac:dyDescent="0.25">
      <c r="A77" s="99" t="s">
        <v>157</v>
      </c>
      <c r="B77" s="15" t="s">
        <v>31</v>
      </c>
      <c r="C77" s="77">
        <f>SUM(C65:C76)-C70</f>
        <v>521184</v>
      </c>
      <c r="D77" s="77">
        <f t="shared" ref="D77:F77" si="39">SUM(D65:D76)-D70</f>
        <v>537080</v>
      </c>
      <c r="E77" s="77">
        <f t="shared" si="39"/>
        <v>515827</v>
      </c>
      <c r="F77" s="77">
        <f t="shared" ca="1" si="39"/>
        <v>468377.61145314644</v>
      </c>
      <c r="G77" s="77">
        <f t="shared" ref="G77:J77" ca="1" si="40">SUM(G65:G76)-G70</f>
        <v>465030.92847114708</v>
      </c>
      <c r="H77" s="77">
        <f t="shared" ca="1" si="40"/>
        <v>472389.83602896263</v>
      </c>
      <c r="I77" s="77">
        <f t="shared" ca="1" si="40"/>
        <v>484860.91976536205</v>
      </c>
      <c r="J77" s="77">
        <f t="shared" ca="1" si="40"/>
        <v>498296.05775337078</v>
      </c>
      <c r="K77" s="77"/>
    </row>
    <row r="78" spans="1:12" ht="15" customHeight="1" x14ac:dyDescent="0.25">
      <c r="C78" s="63"/>
      <c r="D78" s="63"/>
      <c r="E78" s="81"/>
      <c r="G78" s="77"/>
      <c r="H78" s="77"/>
      <c r="I78" s="77"/>
      <c r="J78" s="77"/>
      <c r="K78" s="77"/>
    </row>
    <row r="79" spans="1:12" ht="15" customHeight="1" x14ac:dyDescent="0.25">
      <c r="B79" s="15" t="s">
        <v>42</v>
      </c>
      <c r="C79" s="63">
        <v>25668</v>
      </c>
      <c r="D79" s="63">
        <v>26177</v>
      </c>
      <c r="E79" s="81">
        <v>24643</v>
      </c>
      <c r="F79" s="80">
        <f ca="1">IF(switch=1,F62,0)</f>
        <v>25695.167373146211</v>
      </c>
      <c r="G79" s="80">
        <f ca="1">IF(switch=1,G62,0)</f>
        <v>18448.776601547124</v>
      </c>
      <c r="H79" s="80">
        <f ca="1">IF(switch=1,H62,0)</f>
        <v>18102.069925339016</v>
      </c>
      <c r="I79" s="80">
        <f ca="1">IF(switch=1,I62,0)</f>
        <v>18872.867924294329</v>
      </c>
      <c r="J79" s="80">
        <f ca="1">IF(switch=1,J62,0)</f>
        <v>20260.985439277505</v>
      </c>
      <c r="K79" s="77" t="str">
        <f ca="1">_xlfn.FORMULATEXT(J79)</f>
        <v>=IF(switch=1,J62,0)</v>
      </c>
    </row>
    <row r="80" spans="1:12" ht="15" customHeight="1" x14ac:dyDescent="0.25">
      <c r="B80" s="15" t="s">
        <v>93</v>
      </c>
      <c r="C80" s="63">
        <f>388128+17404</f>
        <v>405532</v>
      </c>
      <c r="D80" s="63">
        <f>397588+7360</f>
        <v>404948</v>
      </c>
      <c r="E80" s="81">
        <f>346108+2754</f>
        <v>348862</v>
      </c>
      <c r="F80">
        <f>(1+F9)*E80</f>
        <v>350606.30999999994</v>
      </c>
      <c r="G80" s="77">
        <f t="shared" ref="G80:J80" si="41">(1+G9)*F80</f>
        <v>354112.37309999997</v>
      </c>
      <c r="H80" s="77">
        <f t="shared" si="41"/>
        <v>361194.62056199997</v>
      </c>
      <c r="I80" s="77">
        <f t="shared" si="41"/>
        <v>372030.45917885995</v>
      </c>
      <c r="J80" s="77">
        <f t="shared" si="41"/>
        <v>383191.37295422575</v>
      </c>
      <c r="K80" s="77"/>
    </row>
    <row r="81" spans="1:11" s="94" customFormat="1" ht="15" customHeight="1" x14ac:dyDescent="0.25">
      <c r="A81" s="91"/>
      <c r="B81" s="92" t="s">
        <v>135</v>
      </c>
      <c r="C81" s="93">
        <f>60799+17404</f>
        <v>78203</v>
      </c>
      <c r="D81" s="93">
        <f>67997+7360</f>
        <v>75357</v>
      </c>
      <c r="E81" s="93">
        <f>63149+2754</f>
        <v>65903</v>
      </c>
      <c r="F81" s="94">
        <f>F10*F80</f>
        <v>66615.198899999988</v>
      </c>
      <c r="G81" s="94">
        <f t="shared" ref="G81:J81" si="42">G10*G80</f>
        <v>67281.350888999994</v>
      </c>
      <c r="H81" s="94">
        <f t="shared" si="42"/>
        <v>68626.977906779997</v>
      </c>
      <c r="I81" s="94">
        <f t="shared" si="42"/>
        <v>70685.787243983388</v>
      </c>
      <c r="J81" s="94">
        <f t="shared" si="42"/>
        <v>72806.360861302892</v>
      </c>
      <c r="K81" s="77"/>
    </row>
    <row r="82" spans="1:11" ht="15" customHeight="1" x14ac:dyDescent="0.25">
      <c r="B82" s="15" t="s">
        <v>88</v>
      </c>
      <c r="C82" s="81">
        <v>33349</v>
      </c>
      <c r="D82" s="81">
        <v>32902</v>
      </c>
      <c r="E82" s="81">
        <v>31720</v>
      </c>
      <c r="F82" s="77">
        <f>(1+F11)*E82</f>
        <v>31815.159999999996</v>
      </c>
      <c r="G82" s="77">
        <f t="shared" ref="G82:J82" si="43">(1+G11)*F82</f>
        <v>31974.235799999991</v>
      </c>
      <c r="H82" s="77">
        <f t="shared" si="43"/>
        <v>32134.106978999989</v>
      </c>
      <c r="I82" s="77">
        <f t="shared" si="43"/>
        <v>32294.777513894987</v>
      </c>
      <c r="J82" s="77">
        <f t="shared" si="43"/>
        <v>32456.251401464458</v>
      </c>
      <c r="K82" s="77"/>
    </row>
    <row r="83" spans="1:11" ht="15" customHeight="1" x14ac:dyDescent="0.25">
      <c r="B83" s="15" t="s">
        <v>69</v>
      </c>
      <c r="C83" s="81">
        <f>51416-17404</f>
        <v>34012</v>
      </c>
      <c r="D83" s="81">
        <f>42316-7360</f>
        <v>34956</v>
      </c>
      <c r="E83" s="81">
        <f>38540-2754</f>
        <v>35786</v>
      </c>
      <c r="F83">
        <f>F23</f>
        <v>35786</v>
      </c>
      <c r="G83" s="77">
        <f t="shared" ref="G83:J83" si="44">G23</f>
        <v>35786</v>
      </c>
      <c r="H83" s="77">
        <f t="shared" si="44"/>
        <v>35786</v>
      </c>
      <c r="I83" s="77">
        <f t="shared" si="44"/>
        <v>35786</v>
      </c>
      <c r="J83" s="77">
        <f t="shared" si="44"/>
        <v>35786</v>
      </c>
      <c r="K83" s="77"/>
    </row>
    <row r="84" spans="1:11" ht="15" customHeight="1" x14ac:dyDescent="0.25">
      <c r="B84" s="15" t="s">
        <v>70</v>
      </c>
      <c r="C84" s="63">
        <v>9550</v>
      </c>
      <c r="D84" s="63">
        <v>10494</v>
      </c>
      <c r="E84" s="81">
        <v>9287</v>
      </c>
      <c r="F84">
        <f>F24*SUM(F80,F82)</f>
        <v>9178.1152799999982</v>
      </c>
      <c r="G84" s="77">
        <f t="shared" ref="G84:J84" si="45">G24*SUM(G80,G82)</f>
        <v>9266.0786135999988</v>
      </c>
      <c r="H84" s="77">
        <f t="shared" si="45"/>
        <v>9439.889460983999</v>
      </c>
      <c r="I84" s="77">
        <f t="shared" si="45"/>
        <v>9703.8056806261193</v>
      </c>
      <c r="J84" s="77">
        <f t="shared" si="45"/>
        <v>9975.5429845365652</v>
      </c>
      <c r="K84" s="77"/>
    </row>
    <row r="85" spans="1:11" ht="15" customHeight="1" x14ac:dyDescent="0.25">
      <c r="B85" s="15" t="s">
        <v>71</v>
      </c>
      <c r="C85" s="63">
        <f>11269+1804</f>
        <v>13073</v>
      </c>
      <c r="D85" s="63">
        <f>25653+1950</f>
        <v>27603</v>
      </c>
      <c r="E85" s="81">
        <f>63713+1816</f>
        <v>65529</v>
      </c>
      <c r="F85">
        <f>F25*SUM(F80,F82)</f>
        <v>15296.858799999996</v>
      </c>
      <c r="G85" s="77">
        <f t="shared" ref="G85:J85" si="46">G25*SUM(G80,G82)</f>
        <v>15443.464355999997</v>
      </c>
      <c r="H85" s="77">
        <f t="shared" si="46"/>
        <v>15733.149101639998</v>
      </c>
      <c r="I85" s="77">
        <f t="shared" si="46"/>
        <v>16173.009467710199</v>
      </c>
      <c r="J85" s="77">
        <f t="shared" si="46"/>
        <v>16625.904974227607</v>
      </c>
      <c r="K85" s="77"/>
    </row>
    <row r="86" spans="1:11" ht="15" customHeight="1" x14ac:dyDescent="0.25">
      <c r="B86" s="15" t="s">
        <v>32</v>
      </c>
      <c r="C86" s="77">
        <f>SUM(C79:C85)-C81</f>
        <v>521184</v>
      </c>
      <c r="D86" s="77">
        <f t="shared" ref="D86:F86" si="47">SUM(D79:D85)-D81</f>
        <v>537080</v>
      </c>
      <c r="E86" s="77">
        <f t="shared" si="47"/>
        <v>515827</v>
      </c>
      <c r="F86" s="77">
        <f t="shared" ca="1" si="47"/>
        <v>468377.61145314621</v>
      </c>
      <c r="G86" s="77">
        <f t="shared" ref="G86:J86" ca="1" si="48">SUM(G79:G85)-G81</f>
        <v>465030.92847114708</v>
      </c>
      <c r="H86" s="77">
        <f t="shared" ca="1" si="48"/>
        <v>472389.83602896298</v>
      </c>
      <c r="I86" s="77">
        <f t="shared" ca="1" si="48"/>
        <v>484860.91976538557</v>
      </c>
      <c r="J86" s="77">
        <f t="shared" ca="1" si="48"/>
        <v>498296.05775373202</v>
      </c>
      <c r="K86" s="77"/>
    </row>
    <row r="87" spans="1:11" ht="15" customHeight="1" x14ac:dyDescent="0.25">
      <c r="G87" s="77"/>
      <c r="H87" s="77"/>
      <c r="I87" s="77"/>
      <c r="J87" s="77"/>
      <c r="K87" s="77"/>
    </row>
    <row r="88" spans="1:11" ht="15" customHeight="1" x14ac:dyDescent="0.25">
      <c r="B88" s="15" t="s">
        <v>33</v>
      </c>
      <c r="C88" s="65">
        <f>C86-C77</f>
        <v>0</v>
      </c>
      <c r="D88" s="82">
        <f t="shared" ref="D88:F88" si="49">D86-D77</f>
        <v>0</v>
      </c>
      <c r="E88" s="82">
        <f t="shared" si="49"/>
        <v>0</v>
      </c>
      <c r="F88" s="82">
        <f t="shared" ca="1" si="49"/>
        <v>0</v>
      </c>
      <c r="G88" s="82">
        <f t="shared" ref="G88:J88" ca="1" si="50">G86-G77</f>
        <v>0</v>
      </c>
      <c r="H88" s="82">
        <f t="shared" ca="1" si="50"/>
        <v>0</v>
      </c>
      <c r="I88" s="82">
        <f t="shared" ca="1" si="50"/>
        <v>2.3515895009040833E-8</v>
      </c>
      <c r="J88" s="82">
        <f t="shared" ca="1" si="50"/>
        <v>3.6123674362897873E-7</v>
      </c>
      <c r="K88" s="77"/>
    </row>
    <row r="89" spans="1:11" s="77" customFormat="1" ht="15" customHeight="1" x14ac:dyDescent="0.25">
      <c r="A89" s="78"/>
      <c r="B89" s="79"/>
      <c r="C89" s="82"/>
      <c r="D89" s="82"/>
      <c r="E89" s="82"/>
      <c r="F89" s="82"/>
      <c r="G89" s="82"/>
      <c r="H89" s="82"/>
      <c r="I89" s="82"/>
      <c r="J89" s="82"/>
    </row>
    <row r="90" spans="1:11" ht="15" customHeight="1" x14ac:dyDescent="0.25">
      <c r="A90" s="14" t="s">
        <v>153</v>
      </c>
      <c r="E90" s="77"/>
    </row>
    <row r="91" spans="1:11" ht="15" customHeight="1" x14ac:dyDescent="0.25">
      <c r="B91" s="74" t="s">
        <v>54</v>
      </c>
      <c r="E91" s="77"/>
    </row>
    <row r="92" spans="1:11" ht="15" customHeight="1" x14ac:dyDescent="0.25">
      <c r="B92" s="15" t="s">
        <v>138</v>
      </c>
      <c r="D92" s="83">
        <f>D113/AVERAGE(C80-C67,D80-D67)</f>
        <v>1.3437733551768683E-2</v>
      </c>
      <c r="E92" s="83">
        <f>E113/AVERAGE(D80-D67,E80-E67)</f>
        <v>1.5486628511205117E-2</v>
      </c>
      <c r="F92" s="71">
        <v>1.4999999999999999E-2</v>
      </c>
      <c r="G92" s="71">
        <v>1.4999999999999999E-2</v>
      </c>
      <c r="H92" s="71">
        <v>1.4999999999999999E-2</v>
      </c>
      <c r="I92" s="71">
        <v>1.4999999999999999E-2</v>
      </c>
      <c r="J92" s="71">
        <v>1.4999999999999999E-2</v>
      </c>
    </row>
    <row r="93" spans="1:11" ht="15" customHeight="1" x14ac:dyDescent="0.25">
      <c r="B93" s="15" t="s">
        <v>139</v>
      </c>
      <c r="D93" s="66">
        <f>D114/AVERAGE(C69:D69)</f>
        <v>4.9306002735566594E-3</v>
      </c>
      <c r="E93" s="83">
        <f>E114/AVERAGE(D69:E69)</f>
        <v>4.6319961126572136E-3</v>
      </c>
      <c r="F93" s="71">
        <v>5.0000000000000001E-3</v>
      </c>
      <c r="G93" s="71">
        <v>5.0000000000000001E-3</v>
      </c>
      <c r="H93" s="71">
        <v>5.0000000000000001E-3</v>
      </c>
      <c r="I93" s="71">
        <v>5.0000000000000001E-3</v>
      </c>
      <c r="J93" s="71">
        <v>5.0000000000000001E-3</v>
      </c>
    </row>
    <row r="94" spans="1:11" ht="15" customHeight="1" x14ac:dyDescent="0.25">
      <c r="B94" s="15" t="s">
        <v>79</v>
      </c>
      <c r="C94" s="83">
        <f>-C116/C113</f>
        <v>0.76878710771840542</v>
      </c>
      <c r="D94" s="66">
        <f>-D116/D113</f>
        <v>0.7718232044198895</v>
      </c>
      <c r="E94" s="83">
        <f>-E116/E113</f>
        <v>0.69633957724694961</v>
      </c>
      <c r="F94" s="71">
        <v>0.7</v>
      </c>
      <c r="G94" s="71">
        <v>0.7</v>
      </c>
      <c r="H94" s="71">
        <v>0.7</v>
      </c>
      <c r="I94" s="71">
        <v>0.7</v>
      </c>
      <c r="J94" s="71">
        <v>0.7</v>
      </c>
    </row>
    <row r="95" spans="1:11" ht="15" customHeight="1" x14ac:dyDescent="0.25">
      <c r="B95" s="74" t="s">
        <v>55</v>
      </c>
      <c r="E95" s="77"/>
    </row>
    <row r="96" spans="1:11" ht="15" customHeight="1" x14ac:dyDescent="0.25">
      <c r="B96" s="15" t="s">
        <v>92</v>
      </c>
      <c r="C96" s="83">
        <f>C119/C30</f>
        <v>0.94826156922026628</v>
      </c>
      <c r="D96" s="66">
        <f>D119/D30</f>
        <v>0.94948413470897408</v>
      </c>
      <c r="E96" s="83">
        <f>E119/E30</f>
        <v>0.95098752850972967</v>
      </c>
      <c r="F96" s="73">
        <v>0.95</v>
      </c>
      <c r="G96" s="73">
        <v>0.95</v>
      </c>
      <c r="H96" s="73">
        <v>0.95</v>
      </c>
      <c r="I96" s="73">
        <v>0.95</v>
      </c>
      <c r="J96" s="73">
        <v>0.95</v>
      </c>
    </row>
    <row r="97" spans="1:11" ht="15" customHeight="1" x14ac:dyDescent="0.25">
      <c r="B97" s="15" t="s">
        <v>56</v>
      </c>
      <c r="C97" s="83">
        <f>-C120/C119</f>
        <v>0.65000514244574725</v>
      </c>
      <c r="D97" s="66">
        <f>-D120/D119</f>
        <v>0.65084572014351616</v>
      </c>
      <c r="E97" s="83">
        <f>-E120/E119</f>
        <v>0.65076287186814308</v>
      </c>
      <c r="F97" s="73">
        <v>0.65</v>
      </c>
      <c r="G97" s="73">
        <v>0.65</v>
      </c>
      <c r="H97" s="73">
        <v>0.65</v>
      </c>
      <c r="I97" s="73">
        <v>0.65</v>
      </c>
      <c r="J97" s="73">
        <v>0.65</v>
      </c>
    </row>
    <row r="98" spans="1:11" ht="15" customHeight="1" x14ac:dyDescent="0.25">
      <c r="B98" s="15" t="s">
        <v>57</v>
      </c>
      <c r="C98" s="83">
        <f>-C121/C119</f>
        <v>0.27789776817854572</v>
      </c>
      <c r="D98" s="83">
        <f>-D121/D119</f>
        <v>0.28339313172731934</v>
      </c>
      <c r="E98" s="83">
        <f>-E121/E119</f>
        <v>0.28524774200132674</v>
      </c>
      <c r="F98" s="73">
        <v>0.28499999999999998</v>
      </c>
      <c r="G98" s="73">
        <v>0.28499999999999998</v>
      </c>
      <c r="H98" s="73">
        <v>0.28499999999999998</v>
      </c>
      <c r="I98" s="73">
        <v>0.28499999999999998</v>
      </c>
      <c r="J98" s="73">
        <v>0.28499999999999998</v>
      </c>
    </row>
    <row r="99" spans="1:11" ht="15" customHeight="1" x14ac:dyDescent="0.25">
      <c r="B99" s="15" t="s">
        <v>53</v>
      </c>
      <c r="D99" s="83">
        <f>D122/AVERAGE(C71,D71)</f>
        <v>2.4900170751710877E-2</v>
      </c>
      <c r="E99" s="83">
        <f>E122/AVERAGE(D71,E71)</f>
        <v>2.5534246575342465E-2</v>
      </c>
      <c r="F99" s="73">
        <v>2.5999999999999999E-2</v>
      </c>
      <c r="G99" s="73">
        <v>2.5999999999999999E-2</v>
      </c>
      <c r="H99" s="73">
        <v>2.5999999999999999E-2</v>
      </c>
      <c r="I99" s="73">
        <v>2.5999999999999999E-2</v>
      </c>
      <c r="J99" s="73">
        <v>2.5999999999999999E-2</v>
      </c>
    </row>
    <row r="100" spans="1:11" s="77" customFormat="1" ht="15" customHeight="1" x14ac:dyDescent="0.25">
      <c r="A100" s="78"/>
      <c r="B100" s="79" t="s">
        <v>95</v>
      </c>
      <c r="C100" s="83">
        <f>-C123/C119</f>
        <v>1.5273063869176181E-2</v>
      </c>
      <c r="D100" s="83">
        <f>-D123/D119</f>
        <v>1.3582778062532035E-2</v>
      </c>
      <c r="E100" s="83">
        <f>-E123/E119</f>
        <v>9.8994744093483696E-3</v>
      </c>
      <c r="F100" s="73">
        <v>0.01</v>
      </c>
      <c r="G100" s="73">
        <v>0.01</v>
      </c>
      <c r="H100" s="73">
        <v>0.01</v>
      </c>
      <c r="I100" s="73">
        <v>0.01</v>
      </c>
      <c r="J100" s="73">
        <v>0.01</v>
      </c>
    </row>
    <row r="101" spans="1:11" s="77" customFormat="1" ht="15" customHeight="1" x14ac:dyDescent="0.25">
      <c r="A101" s="78"/>
      <c r="B101" s="74" t="s">
        <v>112</v>
      </c>
      <c r="C101" s="83"/>
      <c r="D101" s="83"/>
      <c r="E101" s="83"/>
      <c r="F101" s="83"/>
      <c r="G101" s="83"/>
      <c r="H101" s="83"/>
      <c r="I101" s="83"/>
      <c r="J101" s="83"/>
      <c r="K101" s="83"/>
    </row>
    <row r="102" spans="1:11" s="77" customFormat="1" ht="15" customHeight="1" x14ac:dyDescent="0.25">
      <c r="A102" s="78"/>
      <c r="B102" s="79" t="s">
        <v>134</v>
      </c>
      <c r="C102" s="83"/>
      <c r="D102" s="83">
        <f>D125/AVERAGE(C72,D72)</f>
        <v>2.7304208843899839E-2</v>
      </c>
      <c r="E102" s="83">
        <f>E125/AVERAGE(D72,E72)</f>
        <v>2.8105367574121017E-2</v>
      </c>
      <c r="F102" s="73">
        <v>2.8000000000000001E-2</v>
      </c>
      <c r="G102" s="73">
        <v>2.8000000000000001E-2</v>
      </c>
      <c r="H102" s="73">
        <v>2.8000000000000001E-2</v>
      </c>
      <c r="I102" s="73">
        <v>2.8000000000000001E-2</v>
      </c>
      <c r="J102" s="73">
        <v>2.8000000000000001E-2</v>
      </c>
      <c r="K102" s="83"/>
    </row>
    <row r="103" spans="1:11" ht="15" customHeight="1" x14ac:dyDescent="0.25">
      <c r="B103" s="15" t="s">
        <v>97</v>
      </c>
      <c r="D103" s="77">
        <f>D126</f>
        <v>-418</v>
      </c>
      <c r="E103" s="77">
        <f>E126</f>
        <v>-457</v>
      </c>
      <c r="F103" s="72">
        <v>-450</v>
      </c>
      <c r="G103" s="72">
        <v>-450</v>
      </c>
      <c r="H103" s="72">
        <v>-450</v>
      </c>
      <c r="I103" s="72">
        <v>-450</v>
      </c>
      <c r="J103" s="72">
        <v>-450</v>
      </c>
    </row>
    <row r="104" spans="1:11" s="77" customFormat="1" ht="15" customHeight="1" x14ac:dyDescent="0.25">
      <c r="A104" s="78"/>
      <c r="B104" s="79"/>
    </row>
    <row r="105" spans="1:11" ht="15" customHeight="1" x14ac:dyDescent="0.25">
      <c r="B105" s="15" t="s">
        <v>91</v>
      </c>
      <c r="C105">
        <f>C128</f>
        <v>-802</v>
      </c>
      <c r="D105" s="77">
        <f>D128</f>
        <v>-429</v>
      </c>
      <c r="E105" s="77">
        <f>E128</f>
        <v>-695</v>
      </c>
      <c r="F105" s="72">
        <v>-400</v>
      </c>
      <c r="G105" s="72">
        <v>-400</v>
      </c>
      <c r="H105" s="72">
        <v>-400</v>
      </c>
      <c r="I105" s="72">
        <v>-400</v>
      </c>
      <c r="J105" s="72">
        <v>-400</v>
      </c>
    </row>
    <row r="106" spans="1:11" ht="15" customHeight="1" x14ac:dyDescent="0.25">
      <c r="B106" s="15" t="s">
        <v>96</v>
      </c>
      <c r="C106" s="83"/>
      <c r="D106" s="83">
        <f>-D129/AVERAGE(C83,D83)</f>
        <v>1.951629741329312E-2</v>
      </c>
      <c r="E106" s="83">
        <f>-E129/AVERAGE(D83,E83)</f>
        <v>1.8828984196092843E-2</v>
      </c>
      <c r="F106" s="73">
        <v>0.02</v>
      </c>
      <c r="G106" s="73">
        <v>0.02</v>
      </c>
      <c r="H106" s="73">
        <v>0.02</v>
      </c>
      <c r="I106" s="73">
        <v>0.02</v>
      </c>
      <c r="J106" s="73">
        <v>0.02</v>
      </c>
    </row>
    <row r="107" spans="1:11" ht="15" customHeight="1" x14ac:dyDescent="0.25">
      <c r="B107" s="15" t="s">
        <v>34</v>
      </c>
      <c r="C107" s="66">
        <f>-C131/C130</f>
        <v>0.32504604051565378</v>
      </c>
      <c r="D107" s="83">
        <f>-D131/D130</f>
        <v>0.35447244530600941</v>
      </c>
      <c r="E107" s="83">
        <f>-E131/E130</f>
        <v>0.33524027459954231</v>
      </c>
      <c r="F107" s="73">
        <v>0.33</v>
      </c>
      <c r="G107" s="73">
        <v>0.33</v>
      </c>
      <c r="H107" s="73">
        <v>0.33</v>
      </c>
      <c r="I107" s="73">
        <v>0.33</v>
      </c>
      <c r="J107" s="73">
        <v>0.33</v>
      </c>
    </row>
    <row r="108" spans="1:11" ht="15" customHeight="1" x14ac:dyDescent="0.25">
      <c r="B108" s="15" t="s">
        <v>45</v>
      </c>
      <c r="C108" s="68">
        <v>0.31</v>
      </c>
      <c r="D108" s="68">
        <v>0.24</v>
      </c>
      <c r="E108" s="68">
        <v>0.24</v>
      </c>
      <c r="F108" s="73">
        <v>0.24</v>
      </c>
      <c r="G108" s="73">
        <v>0.24</v>
      </c>
      <c r="H108" s="73">
        <v>0.24</v>
      </c>
      <c r="I108" s="73">
        <v>0.24</v>
      </c>
      <c r="J108" s="73">
        <v>0.24</v>
      </c>
    </row>
    <row r="109" spans="1:11" ht="15" customHeight="1" x14ac:dyDescent="0.25">
      <c r="A109" s="99" t="s">
        <v>157</v>
      </c>
      <c r="B109" s="15" t="s">
        <v>35</v>
      </c>
      <c r="C109">
        <f>C134</f>
        <v>1559</v>
      </c>
      <c r="D109" s="77">
        <f>D134</f>
        <v>1561</v>
      </c>
      <c r="E109" s="77">
        <f>E134</f>
        <v>1563</v>
      </c>
      <c r="F109" s="72">
        <f>E109</f>
        <v>1563</v>
      </c>
      <c r="G109" s="72">
        <f t="shared" ref="G109:J109" si="51">F109</f>
        <v>1563</v>
      </c>
      <c r="H109" s="72">
        <f t="shared" si="51"/>
        <v>1563</v>
      </c>
      <c r="I109" s="72">
        <f t="shared" si="51"/>
        <v>1563</v>
      </c>
      <c r="J109" s="72">
        <f t="shared" si="51"/>
        <v>1563</v>
      </c>
    </row>
    <row r="110" spans="1:11" s="77" customFormat="1" ht="15" customHeight="1" x14ac:dyDescent="0.25">
      <c r="A110" s="78"/>
      <c r="B110" s="79"/>
      <c r="E110" s="81"/>
      <c r="F110" s="81"/>
      <c r="G110" s="81"/>
      <c r="H110" s="81"/>
      <c r="I110" s="81"/>
      <c r="J110" s="81"/>
    </row>
    <row r="111" spans="1:11" ht="15" customHeight="1" x14ac:dyDescent="0.25">
      <c r="A111" s="64" t="s">
        <v>28</v>
      </c>
    </row>
    <row r="112" spans="1:11" ht="15" customHeight="1" x14ac:dyDescent="0.25">
      <c r="B112" s="74" t="s">
        <v>54</v>
      </c>
      <c r="C112" s="63"/>
      <c r="D112" s="63"/>
    </row>
    <row r="113" spans="1:11" ht="15" customHeight="1" x14ac:dyDescent="0.25">
      <c r="B113" s="15" t="s">
        <v>59</v>
      </c>
      <c r="C113" s="81">
        <v>5895</v>
      </c>
      <c r="D113" s="81">
        <v>5430</v>
      </c>
      <c r="E113" s="81">
        <v>5819</v>
      </c>
      <c r="F113">
        <f>F92*AVERAGE(F80-F67,E80-E67)</f>
        <v>5226.164135699999</v>
      </c>
      <c r="G113" s="77">
        <f t="shared" ref="G113:J113" si="52">G92*AVERAGE(G80-G67,F80-F67)</f>
        <v>5264.2485627569995</v>
      </c>
      <c r="H113" s="77">
        <f t="shared" si="52"/>
        <v>5343.343242655139</v>
      </c>
      <c r="I113" s="77">
        <f t="shared" si="52"/>
        <v>5477.1913456642233</v>
      </c>
      <c r="J113" s="77">
        <f t="shared" si="52"/>
        <v>5641.5070860341502</v>
      </c>
      <c r="K113" s="77"/>
    </row>
    <row r="114" spans="1:11" ht="15" customHeight="1" x14ac:dyDescent="0.25">
      <c r="B114" s="15" t="s">
        <v>60</v>
      </c>
      <c r="C114" s="81">
        <v>2080</v>
      </c>
      <c r="D114" s="81">
        <v>2098</v>
      </c>
      <c r="E114" s="81">
        <v>1835</v>
      </c>
      <c r="F114" s="80">
        <f ca="1">F93*AVERAGE(F69,E69)</f>
        <v>1846.5262650716591</v>
      </c>
      <c r="G114" s="80">
        <f t="shared" ref="G114:J114" ca="1" si="53">G93*AVERAGE(G69,F69)</f>
        <v>1853.6437847663708</v>
      </c>
      <c r="H114" s="80">
        <f t="shared" ca="1" si="53"/>
        <v>1863.3386166262785</v>
      </c>
      <c r="I114" s="80">
        <f t="shared" ca="1" si="53"/>
        <v>1907.9037091101156</v>
      </c>
      <c r="J114" s="80">
        <f t="shared" ca="1" si="53"/>
        <v>1965.9815259979059</v>
      </c>
      <c r="K114" s="77"/>
    </row>
    <row r="115" spans="1:11" s="77" customFormat="1" ht="15" customHeight="1" x14ac:dyDescent="0.25">
      <c r="A115" s="78"/>
      <c r="B115" s="79" t="s">
        <v>125</v>
      </c>
      <c r="C115" s="81">
        <v>-358</v>
      </c>
      <c r="D115" s="81">
        <v>-355</v>
      </c>
      <c r="E115" s="81">
        <v>-535</v>
      </c>
      <c r="F115" s="80">
        <f>F46</f>
        <v>-428.6</v>
      </c>
      <c r="G115" s="80">
        <f t="shared" ref="G115:J115" si="54">G46</f>
        <v>-437.81304</v>
      </c>
      <c r="H115" s="80">
        <f t="shared" si="54"/>
        <v>-448.03146320000008</v>
      </c>
      <c r="I115" s="80">
        <f t="shared" si="54"/>
        <v>-459.13963269600009</v>
      </c>
      <c r="J115" s="80">
        <f t="shared" si="54"/>
        <v>-471.04760215688003</v>
      </c>
    </row>
    <row r="116" spans="1:11" ht="15" customHeight="1" x14ac:dyDescent="0.25">
      <c r="B116" s="15" t="s">
        <v>126</v>
      </c>
      <c r="C116" s="81">
        <f>-4890-C115</f>
        <v>-4532</v>
      </c>
      <c r="D116" s="81">
        <f>-4546-D115</f>
        <v>-4191</v>
      </c>
      <c r="E116" s="81">
        <f>-4587-E115</f>
        <v>-4052</v>
      </c>
      <c r="F116">
        <f>-F94*F113</f>
        <v>-3658.3148949899992</v>
      </c>
      <c r="G116" s="77">
        <f t="shared" ref="G116:J116" si="55">-G94*G113</f>
        <v>-3684.9739939298993</v>
      </c>
      <c r="H116" s="77">
        <f t="shared" si="55"/>
        <v>-3740.3402698585969</v>
      </c>
      <c r="I116" s="77">
        <f t="shared" si="55"/>
        <v>-3834.0339419649558</v>
      </c>
      <c r="J116" s="77">
        <f t="shared" si="55"/>
        <v>-3949.0549602239048</v>
      </c>
      <c r="K116" s="77"/>
    </row>
    <row r="117" spans="1:11" s="77" customFormat="1" ht="15" customHeight="1" x14ac:dyDescent="0.25">
      <c r="A117" s="78"/>
      <c r="B117" s="79" t="s">
        <v>82</v>
      </c>
      <c r="C117" s="77">
        <f>SUM(C113:C116)</f>
        <v>3085</v>
      </c>
      <c r="D117" s="77">
        <f t="shared" ref="D117:F117" si="56">SUM(D113:D116)</f>
        <v>2982</v>
      </c>
      <c r="E117" s="77">
        <f t="shared" si="56"/>
        <v>3067</v>
      </c>
      <c r="F117" s="77">
        <f t="shared" ca="1" si="56"/>
        <v>2985.7755057816589</v>
      </c>
      <c r="G117" s="77">
        <f t="shared" ref="G117:J117" ca="1" si="57">SUM(G113:G116)</f>
        <v>2995.1053135934712</v>
      </c>
      <c r="H117" s="77">
        <f t="shared" ca="1" si="57"/>
        <v>3018.3101262228211</v>
      </c>
      <c r="I117" s="77">
        <f t="shared" ca="1" si="57"/>
        <v>3091.9214801133826</v>
      </c>
      <c r="J117" s="77">
        <f t="shared" ca="1" si="57"/>
        <v>3187.3860496512712</v>
      </c>
    </row>
    <row r="118" spans="1:11" ht="15" customHeight="1" x14ac:dyDescent="0.25">
      <c r="B118" s="74" t="s">
        <v>55</v>
      </c>
      <c r="C118" s="63"/>
      <c r="D118" s="63"/>
      <c r="G118" s="77"/>
      <c r="H118" s="77"/>
      <c r="I118" s="77"/>
      <c r="J118" s="77"/>
    </row>
    <row r="119" spans="1:11" ht="15" customHeight="1" x14ac:dyDescent="0.25">
      <c r="B119" s="15" t="s">
        <v>61</v>
      </c>
      <c r="C119" s="81">
        <v>19446</v>
      </c>
      <c r="D119" s="81">
        <v>19510</v>
      </c>
      <c r="E119" s="81">
        <v>19597</v>
      </c>
      <c r="F119">
        <f>F96*F30</f>
        <v>19635.379949999995</v>
      </c>
      <c r="G119" s="77">
        <f t="shared" ref="G119:J119" si="58">G96*G30</f>
        <v>19733.556849749992</v>
      </c>
      <c r="H119" s="77">
        <f t="shared" si="58"/>
        <v>19832.22463399874</v>
      </c>
      <c r="I119" s="77">
        <f t="shared" si="58"/>
        <v>19931.385757168729</v>
      </c>
      <c r="J119" s="77">
        <f t="shared" si="58"/>
        <v>20031.042685954573</v>
      </c>
      <c r="K119" s="77"/>
    </row>
    <row r="120" spans="1:11" ht="15" customHeight="1" x14ac:dyDescent="0.25">
      <c r="B120" s="15" t="s">
        <v>98</v>
      </c>
      <c r="C120" s="81">
        <v>-12640</v>
      </c>
      <c r="D120" s="81">
        <v>-12698</v>
      </c>
      <c r="E120" s="81">
        <v>-12753</v>
      </c>
      <c r="F120">
        <f>-F97*F119</f>
        <v>-12762.996967499997</v>
      </c>
      <c r="G120" s="77">
        <f t="shared" ref="G120:J120" si="59">-G97*G119</f>
        <v>-12826.811952337495</v>
      </c>
      <c r="H120" s="77">
        <f t="shared" si="59"/>
        <v>-12890.946012099181</v>
      </c>
      <c r="I120" s="77">
        <f t="shared" si="59"/>
        <v>-12955.400742159674</v>
      </c>
      <c r="J120" s="77">
        <f t="shared" si="59"/>
        <v>-13020.177745870473</v>
      </c>
      <c r="K120" s="77"/>
    </row>
    <row r="121" spans="1:11" ht="15" customHeight="1" x14ac:dyDescent="0.25">
      <c r="B121" s="15" t="s">
        <v>80</v>
      </c>
      <c r="C121" s="81">
        <f>-5316-88</f>
        <v>-5404</v>
      </c>
      <c r="D121" s="81">
        <f>-5419-110</f>
        <v>-5529</v>
      </c>
      <c r="E121" s="81">
        <f>-5468-122</f>
        <v>-5590</v>
      </c>
      <c r="F121">
        <f>-F98*F119</f>
        <v>-5596.0832857499981</v>
      </c>
      <c r="G121" s="77">
        <f t="shared" ref="G121:J121" si="60">-G98*G119</f>
        <v>-5624.063702178747</v>
      </c>
      <c r="H121" s="77">
        <f t="shared" si="60"/>
        <v>-5652.1840206896404</v>
      </c>
      <c r="I121" s="77">
        <f t="shared" si="60"/>
        <v>-5680.444940793087</v>
      </c>
      <c r="J121" s="77">
        <f t="shared" si="60"/>
        <v>-5708.8471654970526</v>
      </c>
      <c r="K121" s="77"/>
    </row>
    <row r="122" spans="1:11" ht="15" customHeight="1" x14ac:dyDescent="0.25">
      <c r="B122" s="15" t="s">
        <v>60</v>
      </c>
      <c r="C122" s="81">
        <v>968</v>
      </c>
      <c r="D122" s="81">
        <v>926</v>
      </c>
      <c r="E122" s="81">
        <v>932</v>
      </c>
      <c r="F122" s="80">
        <f ca="1">F99*AVERAGE(F71,E71)</f>
        <v>913.44093570023949</v>
      </c>
      <c r="G122" s="80">
        <f t="shared" ref="G122:J122" ca="1" si="61">G99*AVERAGE(G71,F71)</f>
        <v>882.65772449519272</v>
      </c>
      <c r="H122" s="80">
        <f t="shared" ca="1" si="61"/>
        <v>876.6094280861621</v>
      </c>
      <c r="I122" s="80">
        <f t="shared" ca="1" si="61"/>
        <v>879.79529855199132</v>
      </c>
      <c r="J122" s="80">
        <f t="shared" ca="1" si="61"/>
        <v>884.64853967131967</v>
      </c>
      <c r="K122" s="77"/>
    </row>
    <row r="123" spans="1:11" s="77" customFormat="1" ht="15" customHeight="1" x14ac:dyDescent="0.25">
      <c r="A123" s="78"/>
      <c r="B123" s="79" t="s">
        <v>87</v>
      </c>
      <c r="C123" s="81">
        <v>-297</v>
      </c>
      <c r="D123" s="81">
        <v>-265</v>
      </c>
      <c r="E123" s="81">
        <v>-194</v>
      </c>
      <c r="F123" s="77">
        <f>-F100*F119</f>
        <v>-196.35379949999995</v>
      </c>
      <c r="G123" s="77">
        <f t="shared" ref="G123:J123" si="62">-G100*G119</f>
        <v>-197.33556849749993</v>
      </c>
      <c r="H123" s="77">
        <f t="shared" si="62"/>
        <v>-198.3222463399874</v>
      </c>
      <c r="I123" s="77">
        <f t="shared" si="62"/>
        <v>-199.31385757168729</v>
      </c>
      <c r="J123" s="77">
        <f t="shared" si="62"/>
        <v>-200.31042685954574</v>
      </c>
    </row>
    <row r="124" spans="1:11" ht="15" customHeight="1" x14ac:dyDescent="0.25">
      <c r="B124" s="15" t="s">
        <v>83</v>
      </c>
      <c r="C124">
        <f>SUM(C119:C123)</f>
        <v>2073</v>
      </c>
      <c r="D124" s="77">
        <f t="shared" ref="D124:F124" si="63">SUM(D119:D123)</f>
        <v>1944</v>
      </c>
      <c r="E124" s="77">
        <f t="shared" si="63"/>
        <v>1992</v>
      </c>
      <c r="F124" s="77">
        <f t="shared" ca="1" si="63"/>
        <v>1993.3868329502391</v>
      </c>
      <c r="G124" s="77">
        <f t="shared" ref="G124:J124" ca="1" si="64">SUM(G119:G123)</f>
        <v>1968.0033512314421</v>
      </c>
      <c r="H124" s="77">
        <f t="shared" ca="1" si="64"/>
        <v>1967.381782956093</v>
      </c>
      <c r="I124" s="77">
        <f t="shared" ca="1" si="64"/>
        <v>1976.0215151962723</v>
      </c>
      <c r="J124" s="77">
        <f t="shared" ca="1" si="64"/>
        <v>1986.3558873988218</v>
      </c>
      <c r="K124" s="77"/>
    </row>
    <row r="125" spans="1:11" s="77" customFormat="1" ht="15" customHeight="1" x14ac:dyDescent="0.25">
      <c r="B125" s="79" t="s">
        <v>111</v>
      </c>
      <c r="C125" s="81">
        <f>190+7</f>
        <v>197</v>
      </c>
      <c r="D125" s="81">
        <f>193+12</f>
        <v>205</v>
      </c>
      <c r="E125" s="81">
        <f>245+10</f>
        <v>255</v>
      </c>
      <c r="F125" s="77">
        <f ca="1">F102*AVERAGE(F72,E72)</f>
        <v>265.91194954602901</v>
      </c>
      <c r="G125" s="77">
        <f t="shared" ref="G125:J125" ca="1" si="65">G102*AVERAGE(G72,F72)</f>
        <v>259.66782570723865</v>
      </c>
      <c r="H125" s="77">
        <f t="shared" ca="1" si="65"/>
        <v>260.76272694224241</v>
      </c>
      <c r="I125" s="77">
        <f t="shared" ca="1" si="65"/>
        <v>266.56053946031915</v>
      </c>
      <c r="J125" s="77">
        <f t="shared" ca="1" si="65"/>
        <v>274.13363479623933</v>
      </c>
    </row>
    <row r="126" spans="1:11" ht="15" customHeight="1" x14ac:dyDescent="0.25">
      <c r="B126" s="15" t="s">
        <v>81</v>
      </c>
      <c r="C126" s="81">
        <f>-75-300-C125</f>
        <v>-572</v>
      </c>
      <c r="D126" s="81">
        <f>261-163-311-D125</f>
        <v>-418</v>
      </c>
      <c r="E126" s="81">
        <f>335-70-467-E125</f>
        <v>-457</v>
      </c>
      <c r="F126">
        <f>F103</f>
        <v>-450</v>
      </c>
      <c r="G126" s="77">
        <f t="shared" ref="G126:J126" si="66">G103</f>
        <v>-450</v>
      </c>
      <c r="H126" s="77">
        <f t="shared" si="66"/>
        <v>-450</v>
      </c>
      <c r="I126" s="77">
        <f t="shared" si="66"/>
        <v>-450</v>
      </c>
      <c r="J126" s="77">
        <f t="shared" si="66"/>
        <v>-450</v>
      </c>
      <c r="K126" s="77"/>
    </row>
    <row r="127" spans="1:11" s="77" customFormat="1" ht="15" customHeight="1" x14ac:dyDescent="0.25">
      <c r="A127" s="78"/>
      <c r="B127" s="79" t="s">
        <v>84</v>
      </c>
      <c r="C127" s="77">
        <f>C117+C124+C125+C126</f>
        <v>4783</v>
      </c>
      <c r="D127" s="77">
        <f t="shared" ref="D127:E127" si="67">D117+D124+D125+D126</f>
        <v>4713</v>
      </c>
      <c r="E127" s="77">
        <f t="shared" si="67"/>
        <v>4857</v>
      </c>
      <c r="F127" s="77">
        <f ca="1">F117+F124+F125+F126</f>
        <v>4795.0742882779268</v>
      </c>
      <c r="G127" s="77">
        <f t="shared" ref="G127:J127" ca="1" si="68">G117+G124+G125+G126</f>
        <v>4772.7764905321519</v>
      </c>
      <c r="H127" s="77">
        <f t="shared" ca="1" si="68"/>
        <v>4796.4546361211569</v>
      </c>
      <c r="I127" s="77">
        <f t="shared" ca="1" si="68"/>
        <v>4884.5035347699741</v>
      </c>
      <c r="J127" s="77">
        <f t="shared" ca="1" si="68"/>
        <v>4997.8755718463326</v>
      </c>
    </row>
    <row r="128" spans="1:11" s="77" customFormat="1" ht="15" customHeight="1" x14ac:dyDescent="0.25">
      <c r="B128" s="79" t="s">
        <v>86</v>
      </c>
      <c r="C128" s="81">
        <f>-1525-C129</f>
        <v>-802</v>
      </c>
      <c r="D128" s="81">
        <f>-1102-D129</f>
        <v>-429</v>
      </c>
      <c r="E128" s="81">
        <f>-1361-E129</f>
        <v>-695</v>
      </c>
      <c r="F128" s="77">
        <f>F105</f>
        <v>-400</v>
      </c>
      <c r="G128" s="77">
        <f t="shared" ref="G128:J128" si="69">G105</f>
        <v>-400</v>
      </c>
      <c r="H128" s="77">
        <f t="shared" si="69"/>
        <v>-400</v>
      </c>
      <c r="I128" s="77">
        <f t="shared" si="69"/>
        <v>-400</v>
      </c>
      <c r="J128" s="77">
        <f t="shared" si="69"/>
        <v>-400</v>
      </c>
    </row>
    <row r="129" spans="1:11" ht="15" customHeight="1" x14ac:dyDescent="0.25">
      <c r="B129" s="15" t="s">
        <v>85</v>
      </c>
      <c r="C129" s="63">
        <v>-723</v>
      </c>
      <c r="D129" s="63">
        <v>-673</v>
      </c>
      <c r="E129" s="81">
        <v>-666</v>
      </c>
      <c r="F129" s="80">
        <f>-F106*AVERAGE(F83,E83)</f>
        <v>-715.72</v>
      </c>
      <c r="G129" s="80">
        <f t="shared" ref="G129:J129" si="70">-G106*AVERAGE(G83,F83)</f>
        <v>-715.72</v>
      </c>
      <c r="H129" s="80">
        <f t="shared" si="70"/>
        <v>-715.72</v>
      </c>
      <c r="I129" s="80">
        <f t="shared" si="70"/>
        <v>-715.72</v>
      </c>
      <c r="J129" s="80">
        <f t="shared" si="70"/>
        <v>-715.72</v>
      </c>
      <c r="K129" s="77"/>
    </row>
    <row r="130" spans="1:11" ht="15" customHeight="1" x14ac:dyDescent="0.25">
      <c r="B130" s="15" t="s">
        <v>23</v>
      </c>
      <c r="C130">
        <f>C127+C128+C129</f>
        <v>3258</v>
      </c>
      <c r="D130" s="77">
        <f t="shared" ref="D130:F130" si="71">D127+D128+D129</f>
        <v>3611</v>
      </c>
      <c r="E130" s="77">
        <f t="shared" si="71"/>
        <v>3496</v>
      </c>
      <c r="F130" s="77">
        <f t="shared" ca="1" si="71"/>
        <v>3679.3542882779266</v>
      </c>
      <c r="G130" s="77">
        <f t="shared" ref="G130:J130" ca="1" si="72">G127+G128+G129</f>
        <v>3657.0564905321517</v>
      </c>
      <c r="H130" s="77">
        <f t="shared" ca="1" si="72"/>
        <v>3680.7346361211567</v>
      </c>
      <c r="I130" s="77">
        <f t="shared" ca="1" si="72"/>
        <v>3768.7835347699738</v>
      </c>
      <c r="J130" s="77">
        <f t="shared" ca="1" si="72"/>
        <v>3882.1555718463324</v>
      </c>
      <c r="K130" s="77"/>
    </row>
    <row r="131" spans="1:11" ht="15" customHeight="1" x14ac:dyDescent="0.25">
      <c r="A131" s="99" t="s">
        <v>157</v>
      </c>
      <c r="B131" s="15" t="s">
        <v>24</v>
      </c>
      <c r="C131" s="63">
        <v>-1059</v>
      </c>
      <c r="D131" s="63">
        <v>-1280</v>
      </c>
      <c r="E131" s="81">
        <v>-1172</v>
      </c>
      <c r="F131">
        <f ca="1">-F107*F130</f>
        <v>-1214.1869151317158</v>
      </c>
      <c r="G131" s="77">
        <f t="shared" ref="G131:J131" ca="1" si="73">-G107*G130</f>
        <v>-1206.8286418756102</v>
      </c>
      <c r="H131" s="77">
        <f t="shared" ca="1" si="73"/>
        <v>-1214.6424299199819</v>
      </c>
      <c r="I131" s="77">
        <f t="shared" ca="1" si="73"/>
        <v>-1243.6985664740914</v>
      </c>
      <c r="J131" s="77">
        <f t="shared" ca="1" si="73"/>
        <v>-1281.1113387092898</v>
      </c>
      <c r="K131" s="77"/>
    </row>
    <row r="132" spans="1:11" ht="15" customHeight="1" x14ac:dyDescent="0.25">
      <c r="A132" s="99" t="s">
        <v>157</v>
      </c>
      <c r="B132" s="15" t="s">
        <v>25</v>
      </c>
      <c r="C132">
        <f>C130+C131</f>
        <v>2199</v>
      </c>
      <c r="D132" s="77">
        <f t="shared" ref="D132:F132" si="74">D130+D131</f>
        <v>2331</v>
      </c>
      <c r="E132" s="77">
        <f t="shared" si="74"/>
        <v>2324</v>
      </c>
      <c r="F132" s="77">
        <f t="shared" ca="1" si="74"/>
        <v>2465.1673731462106</v>
      </c>
      <c r="G132" s="77">
        <f t="shared" ref="G132:J132" ca="1" si="75">G130+G131</f>
        <v>2450.2278486565415</v>
      </c>
      <c r="H132" s="77">
        <f t="shared" ca="1" si="75"/>
        <v>2466.092206201175</v>
      </c>
      <c r="I132" s="77">
        <f t="shared" ca="1" si="75"/>
        <v>2525.0849682958824</v>
      </c>
      <c r="J132" s="77">
        <f t="shared" ca="1" si="75"/>
        <v>2601.0442331370423</v>
      </c>
      <c r="K132" s="77"/>
    </row>
    <row r="134" spans="1:11" ht="15" customHeight="1" x14ac:dyDescent="0.25">
      <c r="B134" s="15" t="s">
        <v>27</v>
      </c>
      <c r="C134" s="81">
        <v>1559</v>
      </c>
      <c r="D134" s="81">
        <v>1561</v>
      </c>
      <c r="E134" s="81">
        <v>1563</v>
      </c>
      <c r="F134">
        <f>F109</f>
        <v>1563</v>
      </c>
      <c r="G134" s="77">
        <f t="shared" ref="G134:J134" si="76">G109</f>
        <v>1563</v>
      </c>
      <c r="H134" s="77">
        <f t="shared" si="76"/>
        <v>1563</v>
      </c>
      <c r="I134" s="77">
        <f t="shared" si="76"/>
        <v>1563</v>
      </c>
      <c r="J134" s="77">
        <f t="shared" si="76"/>
        <v>1563</v>
      </c>
      <c r="K134" s="77"/>
    </row>
    <row r="135" spans="1:11" ht="15" customHeight="1" x14ac:dyDescent="0.25">
      <c r="B135" s="15" t="s">
        <v>26</v>
      </c>
      <c r="C135" s="90">
        <f>C132/C134</f>
        <v>1.4105195638229635</v>
      </c>
      <c r="D135" s="90">
        <f t="shared" ref="D135:J135" si="77">D132/D134</f>
        <v>1.493273542600897</v>
      </c>
      <c r="E135" s="90">
        <f t="shared" si="77"/>
        <v>1.4868841970569417</v>
      </c>
      <c r="F135" s="90">
        <f t="shared" ca="1" si="77"/>
        <v>1.5772024140410816</v>
      </c>
      <c r="G135" s="90">
        <f t="shared" ca="1" si="77"/>
        <v>1.5676441770035454</v>
      </c>
      <c r="H135" s="90">
        <f t="shared" ca="1" si="77"/>
        <v>1.5777941178510397</v>
      </c>
      <c r="I135" s="90">
        <f t="shared" ca="1" si="77"/>
        <v>1.6155374077388882</v>
      </c>
      <c r="J135" s="90">
        <f t="shared" ca="1" si="77"/>
        <v>1.6641357857562651</v>
      </c>
      <c r="K135" s="77"/>
    </row>
    <row r="136" spans="1:11" ht="15" customHeight="1" x14ac:dyDescent="0.25">
      <c r="B136" s="15" t="s">
        <v>128</v>
      </c>
      <c r="D136" s="90"/>
      <c r="E136" s="90"/>
      <c r="F136" s="90"/>
      <c r="G136" s="77"/>
      <c r="H136" s="90"/>
      <c r="I136" s="90"/>
      <c r="J136" s="90"/>
      <c r="K136" s="77"/>
    </row>
    <row r="137" spans="1:11" s="77" customFormat="1" ht="15" customHeight="1" x14ac:dyDescent="0.25">
      <c r="A137" s="78"/>
      <c r="B137" s="79"/>
      <c r="D137" s="90"/>
      <c r="E137" s="90"/>
      <c r="F137" s="90"/>
      <c r="G137" s="90"/>
      <c r="H137" s="90"/>
      <c r="I137" s="90"/>
      <c r="J137" s="90"/>
    </row>
    <row r="138" spans="1:11" s="77" customFormat="1" ht="15" customHeight="1" x14ac:dyDescent="0.25">
      <c r="A138" s="78" t="s">
        <v>152</v>
      </c>
    </row>
    <row r="139" spans="1:11" ht="15" customHeight="1" x14ac:dyDescent="0.25">
      <c r="B139" s="15" t="s">
        <v>105</v>
      </c>
      <c r="C139" s="66"/>
      <c r="D139" s="66">
        <f>D156/D148</f>
        <v>2.062367626515254</v>
      </c>
      <c r="E139" s="83">
        <f>E156/E148</f>
        <v>2.1469798329996581</v>
      </c>
      <c r="F139" s="73">
        <v>2</v>
      </c>
      <c r="G139" s="73">
        <v>2</v>
      </c>
      <c r="H139" s="73">
        <v>2</v>
      </c>
      <c r="I139" s="73">
        <v>2</v>
      </c>
      <c r="J139" s="73">
        <v>2</v>
      </c>
    </row>
    <row r="140" spans="1:11" ht="15" customHeight="1" x14ac:dyDescent="0.25">
      <c r="B140" s="15" t="s">
        <v>148</v>
      </c>
      <c r="D140" s="87">
        <f>D145/(D77-D65-D74)</f>
        <v>4.2996938292627768E-2</v>
      </c>
      <c r="E140" s="87">
        <f>E145/(E77-E65-E74)</f>
        <v>4.313194267030275E-2</v>
      </c>
      <c r="F140" s="73">
        <v>4.2999999999999997E-2</v>
      </c>
      <c r="G140" s="73">
        <v>4.2999999999999997E-2</v>
      </c>
      <c r="H140" s="73">
        <v>4.2999999999999997E-2</v>
      </c>
      <c r="I140" s="73">
        <v>4.2999999999999997E-2</v>
      </c>
      <c r="J140" s="73">
        <v>4.2999999999999997E-2</v>
      </c>
    </row>
    <row r="141" spans="1:11" ht="15" customHeight="1" x14ac:dyDescent="0.25">
      <c r="B141" s="15" t="s">
        <v>137</v>
      </c>
      <c r="D141" s="87">
        <f>D146/(D80+D82-D67-D68)</f>
        <v>2.1678860400963198E-2</v>
      </c>
      <c r="E141" s="87">
        <f>E146/(E80+E82-E67-E68)</f>
        <v>2.0790125686121947E-2</v>
      </c>
      <c r="F141" s="73">
        <v>2.1000000000000001E-2</v>
      </c>
      <c r="G141" s="73">
        <v>2.1000000000000001E-2</v>
      </c>
      <c r="H141" s="73">
        <v>2.1000000000000001E-2</v>
      </c>
      <c r="I141" s="73">
        <v>2.1000000000000001E-2</v>
      </c>
      <c r="J141" s="73">
        <v>2.1000000000000001E-2</v>
      </c>
    </row>
    <row r="142" spans="1:11" s="77" customFormat="1" ht="15" customHeight="1" x14ac:dyDescent="0.25">
      <c r="A142" s="78"/>
      <c r="B142" s="79" t="s">
        <v>108</v>
      </c>
      <c r="D142" s="77">
        <f>D147</f>
        <v>-9832</v>
      </c>
      <c r="E142" s="77">
        <f>E147</f>
        <v>-9129</v>
      </c>
      <c r="F142" s="72">
        <f>E142</f>
        <v>-9129</v>
      </c>
      <c r="G142" s="72">
        <f t="shared" ref="G142:J142" si="78">F142</f>
        <v>-9129</v>
      </c>
      <c r="H142" s="72">
        <f t="shared" si="78"/>
        <v>-9129</v>
      </c>
      <c r="I142" s="72">
        <f t="shared" si="78"/>
        <v>-9129</v>
      </c>
      <c r="J142" s="72">
        <f t="shared" si="78"/>
        <v>-9129</v>
      </c>
    </row>
    <row r="143" spans="1:11" s="77" customFormat="1" ht="15" customHeight="1" x14ac:dyDescent="0.25">
      <c r="A143" s="78"/>
      <c r="B143" s="79"/>
    </row>
    <row r="144" spans="1:11" ht="15" customHeight="1" x14ac:dyDescent="0.25">
      <c r="B144" s="74" t="s">
        <v>107</v>
      </c>
      <c r="C144" s="63"/>
      <c r="D144" s="63"/>
    </row>
    <row r="145" spans="1:11" s="77" customFormat="1" ht="15" customHeight="1" x14ac:dyDescent="0.25">
      <c r="A145" s="78"/>
      <c r="B145" s="86" t="s">
        <v>151</v>
      </c>
      <c r="C145" s="81"/>
      <c r="D145" s="81">
        <f>13156+9468</f>
        <v>22624</v>
      </c>
      <c r="E145" s="81">
        <f>13437+8342</f>
        <v>21779</v>
      </c>
      <c r="F145" s="77">
        <f ca="1">F140*SUM(F77,-F65,-F74)</f>
        <v>19682.972488885294</v>
      </c>
      <c r="G145" s="77">
        <f t="shared" ref="G145:J145" ca="1" si="79">G140*SUM(G77,-G65,-G74)</f>
        <v>19549.768159671323</v>
      </c>
      <c r="H145" s="77">
        <f t="shared" ca="1" si="79"/>
        <v>19876.712928215751</v>
      </c>
      <c r="I145" s="77">
        <f t="shared" ca="1" si="79"/>
        <v>20423.309315446837</v>
      </c>
      <c r="J145" s="77">
        <f t="shared" ca="1" si="79"/>
        <v>21011.20298165474</v>
      </c>
    </row>
    <row r="146" spans="1:11" s="77" customFormat="1" ht="15" customHeight="1" x14ac:dyDescent="0.25">
      <c r="A146" s="78"/>
      <c r="B146" s="86" t="s">
        <v>106</v>
      </c>
      <c r="C146" s="81"/>
      <c r="D146" s="81">
        <f>3519+5245+635</f>
        <v>9399</v>
      </c>
      <c r="E146" s="81">
        <f>3437+321+4071</f>
        <v>7829</v>
      </c>
      <c r="F146" s="77">
        <f>F141*SUM(F80,F82,-F67,-F68)</f>
        <v>7941.2692875599978</v>
      </c>
      <c r="G146" s="77">
        <f t="shared" ref="G146:J146" si="80">G141*SUM(G80,G82,-G67,-G68)</f>
        <v>8017.6420418975995</v>
      </c>
      <c r="H146" s="77">
        <f t="shared" si="80"/>
        <v>8168.829468043481</v>
      </c>
      <c r="I146" s="77">
        <f t="shared" si="80"/>
        <v>8398.5422824755697</v>
      </c>
      <c r="J146" s="77">
        <f t="shared" si="80"/>
        <v>8635.0697209925711</v>
      </c>
    </row>
    <row r="147" spans="1:11" s="77" customFormat="1" ht="15" customHeight="1" x14ac:dyDescent="0.25">
      <c r="A147" s="78"/>
      <c r="B147" s="79" t="s">
        <v>147</v>
      </c>
      <c r="C147" s="81"/>
      <c r="D147" s="81">
        <f>22191-D145-D146</f>
        <v>-9832</v>
      </c>
      <c r="E147" s="81">
        <f>20479-E145-E146</f>
        <v>-9129</v>
      </c>
      <c r="F147" s="77">
        <f>F142</f>
        <v>-9129</v>
      </c>
      <c r="G147" s="77">
        <f t="shared" ref="G147:J147" si="81">G142</f>
        <v>-9129</v>
      </c>
      <c r="H147" s="77">
        <f t="shared" si="81"/>
        <v>-9129</v>
      </c>
      <c r="I147" s="77">
        <f t="shared" si="81"/>
        <v>-9129</v>
      </c>
      <c r="J147" s="77">
        <f t="shared" si="81"/>
        <v>-9129</v>
      </c>
    </row>
    <row r="148" spans="1:11" s="77" customFormat="1" ht="15" customHeight="1" x14ac:dyDescent="0.25">
      <c r="A148" s="78"/>
      <c r="B148" s="86" t="s">
        <v>74</v>
      </c>
      <c r="C148" s="81"/>
      <c r="D148" s="77">
        <f>SUM(D145:D147)</f>
        <v>22191</v>
      </c>
      <c r="E148" s="77">
        <f t="shared" ref="E148" si="82">SUM(E145:E147)</f>
        <v>20479</v>
      </c>
      <c r="F148" s="77">
        <f ca="1">SUM(F145:F147)</f>
        <v>18495.241776445291</v>
      </c>
      <c r="G148" s="77">
        <f t="shared" ref="G148:J148" ca="1" si="83">SUM(G145:G147)</f>
        <v>18438.41020156892</v>
      </c>
      <c r="H148" s="77">
        <f t="shared" ca="1" si="83"/>
        <v>18916.542396259232</v>
      </c>
      <c r="I148" s="77">
        <f t="shared" ca="1" si="83"/>
        <v>19692.851597922407</v>
      </c>
      <c r="J148" s="77">
        <f t="shared" ca="1" si="83"/>
        <v>20517.272702647311</v>
      </c>
    </row>
    <row r="149" spans="1:11" s="77" customFormat="1" ht="15" customHeight="1" x14ac:dyDescent="0.25">
      <c r="A149" s="78"/>
      <c r="B149" s="86"/>
      <c r="C149" s="81"/>
      <c r="G149" s="77" t="str">
        <f>[1]!FR(F149)</f>
        <v/>
      </c>
    </row>
    <row r="150" spans="1:11" ht="15" customHeight="1" x14ac:dyDescent="0.25">
      <c r="B150" s="15" t="s">
        <v>42</v>
      </c>
      <c r="D150" s="77">
        <f>D79</f>
        <v>26177</v>
      </c>
      <c r="E150" s="77">
        <f>E79</f>
        <v>24643</v>
      </c>
      <c r="F150" s="80">
        <f ca="1">F62</f>
        <v>25695.167373146211</v>
      </c>
      <c r="G150" s="80">
        <f t="shared" ref="G150:J150" ca="1" si="84">G62</f>
        <v>18448.776601547124</v>
      </c>
      <c r="H150" s="80">
        <f t="shared" ca="1" si="84"/>
        <v>18102.069925339016</v>
      </c>
      <c r="I150" s="80">
        <f t="shared" ca="1" si="84"/>
        <v>18872.867924294329</v>
      </c>
      <c r="J150" s="80">
        <f t="shared" ca="1" si="84"/>
        <v>20260.985439277505</v>
      </c>
      <c r="K150" s="77"/>
    </row>
    <row r="151" spans="1:11" ht="15" customHeight="1" x14ac:dyDescent="0.25">
      <c r="B151" s="98" t="s">
        <v>150</v>
      </c>
      <c r="D151" s="77">
        <f>-D65-D74</f>
        <v>-10903</v>
      </c>
      <c r="E151" s="77">
        <f>-E65-E74</f>
        <v>-10888</v>
      </c>
      <c r="F151" s="77">
        <f>-F65-F74</f>
        <v>-10634.065200000001</v>
      </c>
      <c r="G151" s="77">
        <f t="shared" ref="G151:J151" si="85">-G65-G74</f>
        <v>-10385.157316000001</v>
      </c>
      <c r="H151" s="77">
        <f t="shared" si="85"/>
        <v>-10140.698163479999</v>
      </c>
      <c r="I151" s="77">
        <f t="shared" si="85"/>
        <v>-9900.2380107844001</v>
      </c>
      <c r="J151" s="77">
        <f t="shared" si="85"/>
        <v>-9663.4302730279323</v>
      </c>
      <c r="K151" s="77"/>
    </row>
    <row r="152" spans="1:11" s="77" customFormat="1" ht="15" customHeight="1" x14ac:dyDescent="0.25">
      <c r="A152" s="78"/>
      <c r="B152" s="79" t="s">
        <v>145</v>
      </c>
      <c r="D152" s="81">
        <f>9867+21669-7404</f>
        <v>24132</v>
      </c>
      <c r="E152" s="81">
        <f>9310+22826-7843</f>
        <v>24293</v>
      </c>
      <c r="F152" s="77">
        <f>E152</f>
        <v>24293</v>
      </c>
      <c r="G152" s="77">
        <f t="shared" ref="G152:J152" si="86">F152</f>
        <v>24293</v>
      </c>
      <c r="H152" s="77">
        <f t="shared" si="86"/>
        <v>24293</v>
      </c>
      <c r="I152" s="77">
        <f t="shared" si="86"/>
        <v>24293</v>
      </c>
      <c r="J152" s="77">
        <f t="shared" si="86"/>
        <v>24293</v>
      </c>
    </row>
    <row r="153" spans="1:11" ht="15" customHeight="1" x14ac:dyDescent="0.25">
      <c r="B153" s="15" t="s">
        <v>72</v>
      </c>
      <c r="D153" s="81">
        <v>8931</v>
      </c>
      <c r="E153" s="81">
        <v>8625</v>
      </c>
      <c r="F153">
        <f>E153+F83-E83</f>
        <v>8625</v>
      </c>
      <c r="G153" s="77">
        <f t="shared" ref="G153:J153" si="87">F153+G83-F83</f>
        <v>8625</v>
      </c>
      <c r="H153" s="77">
        <f t="shared" si="87"/>
        <v>8625</v>
      </c>
      <c r="I153" s="77">
        <f t="shared" si="87"/>
        <v>8625</v>
      </c>
      <c r="J153" s="77">
        <f t="shared" si="87"/>
        <v>8625</v>
      </c>
      <c r="K153" s="77"/>
    </row>
    <row r="154" spans="1:11" s="77" customFormat="1" ht="15" customHeight="1" x14ac:dyDescent="0.25">
      <c r="A154" s="78"/>
      <c r="B154" s="79" t="s">
        <v>129</v>
      </c>
      <c r="D154" s="81">
        <f>1703-2535-1483+1074</f>
        <v>-1241</v>
      </c>
      <c r="E154" s="81">
        <f>933-2089-1389+1253</f>
        <v>-1292</v>
      </c>
      <c r="F154" s="80">
        <f>E154</f>
        <v>-1292</v>
      </c>
      <c r="G154" s="80">
        <f t="shared" ref="G154:J154" si="88">F154</f>
        <v>-1292</v>
      </c>
      <c r="H154" s="80">
        <f t="shared" si="88"/>
        <v>-1292</v>
      </c>
      <c r="I154" s="80">
        <f t="shared" si="88"/>
        <v>-1292</v>
      </c>
      <c r="J154" s="80">
        <f t="shared" si="88"/>
        <v>-1292</v>
      </c>
    </row>
    <row r="155" spans="1:11" ht="15" customHeight="1" x14ac:dyDescent="0.25">
      <c r="B155" s="15" t="s">
        <v>73</v>
      </c>
      <c r="D155" s="81">
        <v>-1330</v>
      </c>
      <c r="E155" s="81">
        <v>-1413</v>
      </c>
      <c r="F155" s="80">
        <f ca="1">F156-SUM(F150:F154)</f>
        <v>-9696.6186202556273</v>
      </c>
      <c r="G155" s="80">
        <f t="shared" ref="G155:J155" ca="1" si="89">G156-SUM(G150:G154)</f>
        <v>-2812.7988824092827</v>
      </c>
      <c r="H155" s="80">
        <f t="shared" ca="1" si="89"/>
        <v>-1754.2869693405664</v>
      </c>
      <c r="I155" s="80">
        <f t="shared" ca="1" si="89"/>
        <v>-1212.9267176651483</v>
      </c>
      <c r="J155" s="80">
        <f t="shared" ca="1" si="89"/>
        <v>-1189.0097685664514</v>
      </c>
      <c r="K155" s="77"/>
    </row>
    <row r="156" spans="1:11" s="77" customFormat="1" ht="15" customHeight="1" x14ac:dyDescent="0.25">
      <c r="A156" s="99" t="s">
        <v>157</v>
      </c>
      <c r="B156" s="79" t="s">
        <v>146</v>
      </c>
      <c r="D156" s="77">
        <f>SUM(D150:D155)</f>
        <v>45766</v>
      </c>
      <c r="E156" s="77">
        <f t="shared" ref="E156" si="90">SUM(E150:E155)</f>
        <v>43968</v>
      </c>
      <c r="F156" s="77">
        <f ca="1">F139*F148</f>
        <v>36990.483552890582</v>
      </c>
      <c r="G156" s="77">
        <f t="shared" ref="G156:J156" ca="1" si="91">G139*G148</f>
        <v>36876.820403137841</v>
      </c>
      <c r="H156" s="77">
        <f t="shared" ca="1" si="91"/>
        <v>37833.084792518464</v>
      </c>
      <c r="I156" s="77">
        <f t="shared" ca="1" si="91"/>
        <v>39385.703195844813</v>
      </c>
      <c r="J156" s="77">
        <f t="shared" ca="1" si="91"/>
        <v>41034.545405294622</v>
      </c>
    </row>
    <row r="157" spans="1:11" s="77" customFormat="1" ht="15" customHeight="1" x14ac:dyDescent="0.25">
      <c r="A157" s="78"/>
      <c r="B157" s="79"/>
    </row>
    <row r="160" spans="1:11" ht="15" customHeight="1" x14ac:dyDescent="0.25">
      <c r="A160" s="78" t="s">
        <v>154</v>
      </c>
    </row>
  </sheetData>
  <printOptions headings="1" gridLines="1"/>
  <pageMargins left="0.7" right="0.7" top="0.75" bottom="0.75" header="0.3" footer="0.3"/>
  <pageSetup paperSize="9" scale="65" orientation="landscape" r:id="rId1"/>
  <headerFooter>
    <oddHeader xml:space="preserve">&amp;R&amp;10&amp;F 
&amp;A
</oddHeader>
    <oddFooter>&amp;L&amp;10© 2016&amp;C&amp;10Page &amp;P of &amp;N&amp;R&amp;G</oddFooter>
  </headerFooter>
  <rowBreaks count="4" manualBreakCount="4">
    <brk id="47" max="12" man="1"/>
    <brk id="89" max="16383" man="1"/>
    <brk id="136" max="12" man="1"/>
    <brk id="157" max="12" man="1"/>
  </rowBreaks>
  <colBreaks count="1" manualBreakCount="1">
    <brk id="13" max="1048575" man="1"/>
  </colBreaks>
  <legacy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Welcome</vt:lpstr>
      <vt:lpstr>Info</vt:lpstr>
      <vt:lpstr>Life insurance model</vt:lpstr>
      <vt:lpstr>'Life insurance model'!Print_Area</vt:lpstr>
      <vt:lpstr>switch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</dc:creator>
  <cp:lastModifiedBy>Deborah Taylor</cp:lastModifiedBy>
  <cp:lastPrinted>2020-04-09T16:05:17Z</cp:lastPrinted>
  <dcterms:created xsi:type="dcterms:W3CDTF">2016-02-03T14:06:14Z</dcterms:created>
  <dcterms:modified xsi:type="dcterms:W3CDTF">2020-04-21T12:45:58Z</dcterms:modified>
</cp:coreProperties>
</file>