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G:\.shortcut-targets-by-id\1SJstdTTet4PLIKGltLVHnuPAZW9zzP1c\3125 Building a 13 Week Cash Flow Model\Classroom Materials\Final\Final Models\"/>
    </mc:Choice>
  </mc:AlternateContent>
  <xr:revisionPtr revIDLastSave="0" documentId="8_{732DE4AC-F132-4A57-B22E-EE7BCA8F4BFD}" xr6:coauthVersionLast="46" xr6:coauthVersionMax="46" xr10:uidLastSave="{00000000-0000-0000-0000-000000000000}"/>
  <bookViews>
    <workbookView xWindow="-110" yWindow="-110" windowWidth="19420" windowHeight="10420" tabRatio="803" firstSheet="6" activeTab="10" xr2:uid="{00000000-000D-0000-FFFF-FFFF00000000}"/>
  </bookViews>
  <sheets>
    <sheet name="Welcome" sheetId="1" r:id="rId1"/>
    <sheet name="Info" sheetId="6" r:id="rId2"/>
    <sheet name="Monthly Balance Sheet" sheetId="2" r:id="rId3"/>
    <sheet name="Monthly Income Statement" sheetId="7" r:id="rId4"/>
    <sheet name="Monthly Rollforward" sheetId="12" r:id="rId5"/>
    <sheet name="Monthly Revolver Base " sheetId="13" r:id="rId6"/>
    <sheet name="Weekly BS Summary" sheetId="17" r:id="rId7"/>
    <sheet name="Weekly IS" sheetId="10" r:id="rId8"/>
    <sheet name="Weekly Rollforward" sheetId="11" r:id="rId9"/>
    <sheet name="Weekly Revolver Base" sheetId="14" r:id="rId10"/>
    <sheet name="13 Week Cash Flow" sheetId="9" r:id="rId11"/>
    <sheet name="EBITDA Rec" sheetId="18" r:id="rId12"/>
  </sheets>
  <definedNames>
    <definedName name="IQ_DNTM" hidden="1">700000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LATESTK" hidden="1">1000</definedName>
    <definedName name="IQ_LATESTQ" hidden="1">500</definedName>
    <definedName name="IQ_LTMMONTH" hidden="1">120000</definedName>
    <definedName name="IQ_MTD" hidden="1">800000</definedName>
    <definedName name="IQ_NAMES_REVISION_DATE_" hidden="1">"01/29/2016 15:32:18"</definedName>
    <definedName name="IQ_QTD" hidden="1">750000</definedName>
    <definedName name="IQ_TODAY" hidden="1">0</definedName>
    <definedName name="IQ_YTDMONTH" hidden="1">130000</definedName>
    <definedName name="Switch">Info!$N$10</definedName>
  </definedNames>
  <calcPr calcId="191029" calcMode="autoNoTable" iterate="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30" i="9" l="1"/>
  <c r="Z6" i="11"/>
  <c r="AA6" i="11"/>
  <c r="AB6" i="11"/>
  <c r="AC6" i="11"/>
  <c r="AA6" i="10"/>
  <c r="AB6" i="10"/>
  <c r="AC6" i="10"/>
  <c r="Z6" i="10"/>
  <c r="A1" i="13" l="1"/>
  <c r="A1" i="12"/>
  <c r="T6" i="10" l="1"/>
  <c r="P48" i="9" l="1"/>
  <c r="P53" i="9"/>
  <c r="I27" i="7" l="1"/>
  <c r="J27" i="7"/>
  <c r="K27" i="7"/>
  <c r="I28" i="7"/>
  <c r="J28" i="7"/>
  <c r="K28" i="7"/>
  <c r="I29" i="7"/>
  <c r="J29" i="7"/>
  <c r="K29" i="7"/>
  <c r="I32" i="7"/>
  <c r="J32" i="7"/>
  <c r="K32" i="7"/>
  <c r="E27" i="7" l="1"/>
  <c r="O8" i="9" l="1"/>
  <c r="G8" i="9"/>
  <c r="E7" i="9"/>
  <c r="E8" i="9" s="1"/>
  <c r="F7" i="9"/>
  <c r="F8" i="9" s="1"/>
  <c r="G7" i="9"/>
  <c r="H7" i="9"/>
  <c r="H8" i="9" s="1"/>
  <c r="I7" i="9"/>
  <c r="I8" i="9" s="1"/>
  <c r="J7" i="9"/>
  <c r="J8" i="9" s="1"/>
  <c r="K7" i="9"/>
  <c r="K8" i="9" s="1"/>
  <c r="L7" i="9"/>
  <c r="L8" i="9" s="1"/>
  <c r="M7" i="9"/>
  <c r="M8" i="9" s="1"/>
  <c r="N7" i="9"/>
  <c r="N8" i="9" s="1"/>
  <c r="O7" i="9"/>
  <c r="P7" i="9"/>
  <c r="P8" i="9" s="1"/>
  <c r="D7" i="9"/>
  <c r="D8" i="9" s="1"/>
  <c r="E4" i="18" l="1"/>
  <c r="F4" i="18" s="1"/>
  <c r="G4" i="18" s="1"/>
  <c r="H4" i="18" s="1"/>
  <c r="I4" i="18" s="1"/>
  <c r="J4" i="18" s="1"/>
  <c r="K4" i="18" s="1"/>
  <c r="L4" i="18" s="1"/>
  <c r="M4" i="18" s="1"/>
  <c r="N4" i="18" s="1"/>
  <c r="O4" i="18" s="1"/>
  <c r="P4" i="18" s="1"/>
  <c r="Q4" i="18" s="1"/>
  <c r="R4" i="18" s="1"/>
  <c r="S4" i="18" s="1"/>
  <c r="T4" i="18" s="1"/>
  <c r="U4" i="18" s="1"/>
  <c r="V4" i="18" s="1"/>
  <c r="W4" i="18" s="1"/>
  <c r="X4" i="18" s="1"/>
  <c r="Y4" i="18" s="1"/>
  <c r="Z4" i="18" s="1"/>
  <c r="AA4" i="18" s="1"/>
  <c r="AB4" i="18" s="1"/>
  <c r="AC4" i="18" s="1"/>
  <c r="R3" i="18"/>
  <c r="S3" i="18" s="1"/>
  <c r="T3" i="18" s="1"/>
  <c r="U3" i="18" s="1"/>
  <c r="V3" i="18" s="1"/>
  <c r="W3" i="18" s="1"/>
  <c r="X3" i="18" s="1"/>
  <c r="Y3" i="18" s="1"/>
  <c r="Z3" i="18" s="1"/>
  <c r="AA3" i="18" s="1"/>
  <c r="AB3" i="18" s="1"/>
  <c r="AC3" i="18" s="1"/>
  <c r="E3" i="18"/>
  <c r="F3" i="18" s="1"/>
  <c r="G3" i="18" s="1"/>
  <c r="H3" i="18" s="1"/>
  <c r="I3" i="18" s="1"/>
  <c r="J3" i="18" s="1"/>
  <c r="K3" i="18" s="1"/>
  <c r="L3" i="18" s="1"/>
  <c r="M3" i="18" s="1"/>
  <c r="N3" i="18" s="1"/>
  <c r="O3" i="18" s="1"/>
  <c r="P3" i="18" s="1"/>
  <c r="A1" i="18"/>
  <c r="C41" i="12"/>
  <c r="C17" i="12"/>
  <c r="C11" i="12"/>
  <c r="F43" i="12"/>
  <c r="G43" i="12"/>
  <c r="H43" i="12"/>
  <c r="I43" i="12"/>
  <c r="J43" i="12"/>
  <c r="K43" i="12"/>
  <c r="E43" i="12"/>
  <c r="P52" i="9"/>
  <c r="Q29" i="9"/>
  <c r="P28" i="9"/>
  <c r="Q26" i="9" s="1"/>
  <c r="P6" i="9"/>
  <c r="Q20" i="9"/>
  <c r="Q21" i="9" s="1"/>
  <c r="P20" i="9"/>
  <c r="P21" i="9" s="1"/>
  <c r="AC19" i="9" l="1"/>
  <c r="Q13" i="9" l="1"/>
  <c r="P13" i="9"/>
  <c r="P11" i="9"/>
  <c r="P10" i="9"/>
  <c r="R57" i="11"/>
  <c r="S57" i="11"/>
  <c r="T57" i="11"/>
  <c r="Q57" i="11"/>
  <c r="Q12" i="9" l="1"/>
  <c r="E27" i="12"/>
  <c r="F27" i="12"/>
  <c r="G27" i="12"/>
  <c r="H27" i="12"/>
  <c r="D27" i="12"/>
  <c r="E39" i="7"/>
  <c r="F39" i="7"/>
  <c r="G39" i="7"/>
  <c r="H39" i="7"/>
  <c r="E41" i="7"/>
  <c r="F41" i="7"/>
  <c r="G41" i="7"/>
  <c r="H41" i="7"/>
  <c r="I41" i="7"/>
  <c r="J41" i="7"/>
  <c r="K41" i="7"/>
  <c r="E42" i="7"/>
  <c r="F42" i="7"/>
  <c r="G42" i="7"/>
  <c r="H42" i="7"/>
  <c r="E43" i="7"/>
  <c r="F43" i="7"/>
  <c r="G43" i="7"/>
  <c r="H43" i="7"/>
  <c r="E44" i="7"/>
  <c r="F44" i="7"/>
  <c r="G44" i="7"/>
  <c r="H44" i="7"/>
  <c r="I44" i="7"/>
  <c r="J44" i="7"/>
  <c r="K44" i="7"/>
  <c r="E45" i="7"/>
  <c r="F45" i="7"/>
  <c r="G45" i="7"/>
  <c r="H45" i="7"/>
  <c r="I45" i="7"/>
  <c r="J45" i="7"/>
  <c r="K45" i="7"/>
  <c r="E47" i="7"/>
  <c r="F47" i="7"/>
  <c r="G47" i="7"/>
  <c r="I47" i="7"/>
  <c r="J47" i="7"/>
  <c r="K47" i="7"/>
  <c r="E36" i="7"/>
  <c r="F36" i="7"/>
  <c r="G36" i="7"/>
  <c r="H36" i="7"/>
  <c r="I36" i="7"/>
  <c r="J36" i="7"/>
  <c r="K36" i="7"/>
  <c r="E37" i="7"/>
  <c r="F37" i="7"/>
  <c r="G37" i="7"/>
  <c r="H37" i="7"/>
  <c r="E38" i="7"/>
  <c r="F38" i="7"/>
  <c r="G38" i="7"/>
  <c r="H38" i="7"/>
  <c r="E35" i="7"/>
  <c r="F35" i="7"/>
  <c r="G35" i="7"/>
  <c r="H35" i="7"/>
  <c r="E40" i="12"/>
  <c r="F40" i="12"/>
  <c r="G40" i="12"/>
  <c r="H40" i="12"/>
  <c r="D40" i="12"/>
  <c r="D38" i="12"/>
  <c r="E33" i="12"/>
  <c r="F33" i="12"/>
  <c r="G33" i="12"/>
  <c r="H33" i="12"/>
  <c r="D33" i="12"/>
  <c r="E21" i="12"/>
  <c r="F21" i="12"/>
  <c r="G21" i="12"/>
  <c r="H21" i="12"/>
  <c r="D21" i="12"/>
  <c r="E16" i="12"/>
  <c r="F16" i="12"/>
  <c r="G16" i="12"/>
  <c r="H16" i="12"/>
  <c r="D16" i="12"/>
  <c r="D14" i="12"/>
  <c r="E9" i="12"/>
  <c r="F9" i="12"/>
  <c r="G9" i="12"/>
  <c r="H9" i="12"/>
  <c r="D9" i="12"/>
  <c r="D8" i="12"/>
  <c r="D41" i="12" l="1"/>
  <c r="E38" i="12" s="1"/>
  <c r="E41" i="12" s="1"/>
  <c r="F38" i="12" s="1"/>
  <c r="F41" i="12" s="1"/>
  <c r="G38" i="12" s="1"/>
  <c r="G41" i="12" s="1"/>
  <c r="H38" i="12" s="1"/>
  <c r="H41" i="12" s="1"/>
  <c r="I38" i="12" s="1"/>
  <c r="D17" i="12"/>
  <c r="E14" i="12" s="1"/>
  <c r="E17" i="12" s="1"/>
  <c r="F14" i="12" s="1"/>
  <c r="F17" i="12" s="1"/>
  <c r="G14" i="12" s="1"/>
  <c r="G17" i="12" s="1"/>
  <c r="H14" i="12" s="1"/>
  <c r="H17" i="12" s="1"/>
  <c r="D11" i="12"/>
  <c r="E8" i="12" s="1"/>
  <c r="E11" i="12" s="1"/>
  <c r="F8" i="12" s="1"/>
  <c r="F11" i="12" s="1"/>
  <c r="G8" i="12" s="1"/>
  <c r="G11" i="12" s="1"/>
  <c r="H8" i="12" s="1"/>
  <c r="H11" i="12" s="1"/>
  <c r="X57" i="11"/>
  <c r="U57" i="11"/>
  <c r="Z57" i="11"/>
  <c r="W57" i="11"/>
  <c r="AA57" i="11"/>
  <c r="Y57" i="11"/>
  <c r="AB57" i="11"/>
  <c r="V57" i="11"/>
  <c r="AC57" i="11"/>
  <c r="I40" i="12" l="1"/>
  <c r="I41" i="12" s="1"/>
  <c r="J38" i="12" s="1"/>
  <c r="J40" i="12" l="1"/>
  <c r="J41" i="12" s="1"/>
  <c r="K38" i="12" s="1"/>
  <c r="K40" i="12" l="1"/>
  <c r="K41" i="12" s="1"/>
  <c r="H23" i="7"/>
  <c r="H47" i="7" s="1"/>
  <c r="E4" i="17"/>
  <c r="F4" i="17" s="1"/>
  <c r="C4" i="17"/>
  <c r="R3" i="17"/>
  <c r="S3" i="17" s="1"/>
  <c r="T3" i="17" s="1"/>
  <c r="U3" i="17" s="1"/>
  <c r="V3" i="17" s="1"/>
  <c r="W3" i="17" s="1"/>
  <c r="X3" i="17" s="1"/>
  <c r="Y3" i="17" s="1"/>
  <c r="Z3" i="17" s="1"/>
  <c r="AA3" i="17" s="1"/>
  <c r="AB3" i="17" s="1"/>
  <c r="AC3" i="17" s="1"/>
  <c r="E3" i="17"/>
  <c r="F3" i="17" s="1"/>
  <c r="G3" i="17" s="1"/>
  <c r="H3" i="17" s="1"/>
  <c r="I3" i="17" s="1"/>
  <c r="J3" i="17" s="1"/>
  <c r="K3" i="17" s="1"/>
  <c r="L3" i="17" s="1"/>
  <c r="M3" i="17" s="1"/>
  <c r="N3" i="17" s="1"/>
  <c r="O3" i="17" s="1"/>
  <c r="P3" i="17" s="1"/>
  <c r="A1" i="17"/>
  <c r="G4" i="17" l="1"/>
  <c r="I39" i="7" l="1"/>
  <c r="H4" i="17"/>
  <c r="E58" i="11"/>
  <c r="F58" i="11"/>
  <c r="G58" i="11"/>
  <c r="H58" i="11"/>
  <c r="I58" i="11"/>
  <c r="J58" i="11"/>
  <c r="K58" i="11"/>
  <c r="L58" i="11"/>
  <c r="M58" i="11"/>
  <c r="N58" i="11"/>
  <c r="O58" i="11"/>
  <c r="P58" i="11"/>
  <c r="D58" i="11"/>
  <c r="C4" i="10"/>
  <c r="E4" i="14"/>
  <c r="F4" i="14" s="1"/>
  <c r="G4" i="14" s="1"/>
  <c r="H4" i="14" s="1"/>
  <c r="I4" i="14" s="1"/>
  <c r="J4" i="14" s="1"/>
  <c r="K4" i="14" s="1"/>
  <c r="L4" i="14" s="1"/>
  <c r="M4" i="14" s="1"/>
  <c r="N4" i="14" s="1"/>
  <c r="O4" i="14" s="1"/>
  <c r="E3" i="14"/>
  <c r="F3" i="14" s="1"/>
  <c r="G3" i="14" s="1"/>
  <c r="H3" i="14" s="1"/>
  <c r="I3" i="14" s="1"/>
  <c r="J3" i="14" s="1"/>
  <c r="K3" i="14" s="1"/>
  <c r="L3" i="14" s="1"/>
  <c r="M3" i="14" s="1"/>
  <c r="N3" i="14" s="1"/>
  <c r="O3" i="14" s="1"/>
  <c r="P3" i="14" s="1"/>
  <c r="R3" i="14"/>
  <c r="S3" i="14" s="1"/>
  <c r="T3" i="14" s="1"/>
  <c r="U3" i="14" s="1"/>
  <c r="V3" i="14" s="1"/>
  <c r="W3" i="14" s="1"/>
  <c r="X3" i="14" s="1"/>
  <c r="Y3" i="14" s="1"/>
  <c r="Z3" i="14" s="1"/>
  <c r="AA3" i="14" s="1"/>
  <c r="AB3" i="14" s="1"/>
  <c r="AC3" i="14" s="1"/>
  <c r="A1" i="14"/>
  <c r="M21" i="9"/>
  <c r="N21" i="9"/>
  <c r="O21" i="9"/>
  <c r="H21" i="9"/>
  <c r="I21" i="9"/>
  <c r="J21" i="9"/>
  <c r="K21" i="9"/>
  <c r="E8" i="13"/>
  <c r="H8" i="13"/>
  <c r="F8" i="13"/>
  <c r="D4" i="13"/>
  <c r="E4" i="13" s="1"/>
  <c r="D4" i="2"/>
  <c r="E11" i="9"/>
  <c r="F11" i="9"/>
  <c r="G11" i="9"/>
  <c r="H11" i="9"/>
  <c r="I11" i="9"/>
  <c r="J11" i="9"/>
  <c r="K11" i="9"/>
  <c r="L11" i="9"/>
  <c r="M11" i="9"/>
  <c r="N11" i="9"/>
  <c r="O11" i="9"/>
  <c r="D11" i="9"/>
  <c r="H13" i="9"/>
  <c r="I13" i="9"/>
  <c r="J13" i="9"/>
  <c r="K13" i="9"/>
  <c r="L13" i="9"/>
  <c r="M13" i="9"/>
  <c r="N13" i="9"/>
  <c r="O13" i="9"/>
  <c r="E13" i="9"/>
  <c r="F13" i="9"/>
  <c r="G13" i="9"/>
  <c r="D13" i="9"/>
  <c r="E10" i="9"/>
  <c r="F10" i="9"/>
  <c r="G10" i="9"/>
  <c r="H10" i="9"/>
  <c r="I10" i="9"/>
  <c r="J10" i="9"/>
  <c r="K10" i="9"/>
  <c r="L10" i="9"/>
  <c r="M10" i="9"/>
  <c r="N10" i="9"/>
  <c r="O10" i="9"/>
  <c r="D10" i="9"/>
  <c r="E6" i="9"/>
  <c r="F6" i="9"/>
  <c r="G6" i="9"/>
  <c r="H6" i="9"/>
  <c r="I6" i="9"/>
  <c r="J6" i="9"/>
  <c r="K6" i="9"/>
  <c r="L6" i="9"/>
  <c r="M6" i="9"/>
  <c r="N6" i="9"/>
  <c r="O6" i="9"/>
  <c r="D6" i="9"/>
  <c r="D12" i="11"/>
  <c r="E12" i="11"/>
  <c r="F12" i="11"/>
  <c r="H50" i="11"/>
  <c r="I50" i="11"/>
  <c r="J50" i="11"/>
  <c r="K50" i="11"/>
  <c r="L50" i="11"/>
  <c r="N50" i="11"/>
  <c r="O50" i="11"/>
  <c r="P50" i="11"/>
  <c r="E50" i="11"/>
  <c r="F50" i="11"/>
  <c r="G50" i="11"/>
  <c r="D50" i="11"/>
  <c r="E32" i="11"/>
  <c r="F32" i="11"/>
  <c r="G32" i="11"/>
  <c r="H32" i="11"/>
  <c r="I32" i="11"/>
  <c r="J32" i="11"/>
  <c r="K32" i="11"/>
  <c r="L32" i="11"/>
  <c r="M32" i="11"/>
  <c r="N32" i="11"/>
  <c r="O32" i="11"/>
  <c r="P32" i="11"/>
  <c r="D32" i="11"/>
  <c r="D6" i="10"/>
  <c r="E6" i="10"/>
  <c r="F6" i="10"/>
  <c r="G6" i="10"/>
  <c r="H6" i="10" s="1"/>
  <c r="H10" i="10"/>
  <c r="G6" i="11"/>
  <c r="K6" i="11" s="1"/>
  <c r="F6" i="11"/>
  <c r="E6" i="11"/>
  <c r="D7" i="11"/>
  <c r="D8" i="11" s="1"/>
  <c r="D6" i="11"/>
  <c r="I35" i="7"/>
  <c r="K6" i="10" l="1"/>
  <c r="I6" i="10"/>
  <c r="E4" i="2"/>
  <c r="F4" i="2" s="1"/>
  <c r="G4" i="2" s="1"/>
  <c r="H4" i="2" s="1"/>
  <c r="D2" i="2"/>
  <c r="I4" i="17"/>
  <c r="I38" i="7"/>
  <c r="I37" i="7"/>
  <c r="I42" i="7"/>
  <c r="J35" i="7"/>
  <c r="I43" i="7"/>
  <c r="L21" i="9"/>
  <c r="D3" i="13"/>
  <c r="F4" i="13"/>
  <c r="E3" i="13"/>
  <c r="J6" i="10"/>
  <c r="I6" i="11"/>
  <c r="J6" i="11"/>
  <c r="H6" i="11"/>
  <c r="P6" i="10"/>
  <c r="O6" i="10"/>
  <c r="N6" i="10"/>
  <c r="G12" i="11"/>
  <c r="L6" i="11"/>
  <c r="M6" i="11"/>
  <c r="N6" i="11"/>
  <c r="O6" i="11"/>
  <c r="P6" i="11"/>
  <c r="G28" i="7"/>
  <c r="H28" i="7"/>
  <c r="H29" i="7"/>
  <c r="D9" i="2"/>
  <c r="C22" i="2"/>
  <c r="C23" i="12" s="1"/>
  <c r="D20" i="12" s="1"/>
  <c r="D23" i="12" s="1"/>
  <c r="E20" i="12" s="1"/>
  <c r="E23" i="12" s="1"/>
  <c r="F20" i="12" s="1"/>
  <c r="F23" i="12" s="1"/>
  <c r="G20" i="12" s="1"/>
  <c r="G23" i="12" s="1"/>
  <c r="H20" i="12" s="1"/>
  <c r="H23" i="12" s="1"/>
  <c r="C23" i="2"/>
  <c r="C29" i="12" s="1"/>
  <c r="D26" i="12" s="1"/>
  <c r="D29" i="12" s="1"/>
  <c r="E26" i="12" s="1"/>
  <c r="E29" i="12" s="1"/>
  <c r="F26" i="12" s="1"/>
  <c r="F29" i="12" s="1"/>
  <c r="G26" i="12" s="1"/>
  <c r="G29" i="12" s="1"/>
  <c r="H26" i="12" s="1"/>
  <c r="H29" i="12" s="1"/>
  <c r="C31" i="2"/>
  <c r="D4" i="12"/>
  <c r="E4" i="12" s="1"/>
  <c r="F4" i="12" s="1"/>
  <c r="G4" i="12" s="1"/>
  <c r="H4" i="12" s="1"/>
  <c r="I4" i="12" s="1"/>
  <c r="J4" i="12" s="1"/>
  <c r="K4" i="12" s="1"/>
  <c r="E4" i="11"/>
  <c r="R3" i="11"/>
  <c r="S3" i="11" s="1"/>
  <c r="T3" i="11" s="1"/>
  <c r="U3" i="11" s="1"/>
  <c r="V3" i="11" s="1"/>
  <c r="W3" i="11" s="1"/>
  <c r="X3" i="11" s="1"/>
  <c r="Y3" i="11" s="1"/>
  <c r="Z3" i="11" s="1"/>
  <c r="AA3" i="11" s="1"/>
  <c r="AB3" i="11" s="1"/>
  <c r="AC3" i="11" s="1"/>
  <c r="E3" i="11"/>
  <c r="F3" i="11" s="1"/>
  <c r="G3" i="11" s="1"/>
  <c r="H3" i="11" s="1"/>
  <c r="I3" i="11" s="1"/>
  <c r="J3" i="11" s="1"/>
  <c r="K3" i="11" s="1"/>
  <c r="L3" i="11" s="1"/>
  <c r="M3" i="11" s="1"/>
  <c r="N3" i="11" s="1"/>
  <c r="O3" i="11" s="1"/>
  <c r="P3" i="11" s="1"/>
  <c r="A1" i="11"/>
  <c r="M6" i="10" l="1"/>
  <c r="L6" i="10"/>
  <c r="J39" i="7"/>
  <c r="H2" i="2"/>
  <c r="E2" i="2"/>
  <c r="D57" i="11"/>
  <c r="F2" i="2"/>
  <c r="G2" i="2"/>
  <c r="J4" i="17"/>
  <c r="K35" i="7"/>
  <c r="J37" i="7"/>
  <c r="J38" i="7"/>
  <c r="J42" i="7"/>
  <c r="J43" i="7"/>
  <c r="D41" i="2"/>
  <c r="D24" i="13"/>
  <c r="E17" i="13" s="1"/>
  <c r="G4" i="13"/>
  <c r="F3" i="13"/>
  <c r="Q6" i="10"/>
  <c r="S6" i="10"/>
  <c r="R6" i="10"/>
  <c r="T6" i="11"/>
  <c r="S6" i="11"/>
  <c r="R6" i="11"/>
  <c r="Q6" i="11"/>
  <c r="F4" i="11"/>
  <c r="E7" i="11"/>
  <c r="E8" i="11" s="1"/>
  <c r="D8" i="2"/>
  <c r="D12" i="13" s="1"/>
  <c r="E7" i="13" s="1"/>
  <c r="E9" i="13" s="1"/>
  <c r="E10" i="13" s="1"/>
  <c r="D23" i="2"/>
  <c r="D2" i="12"/>
  <c r="D12" i="9" l="1"/>
  <c r="D15" i="18"/>
  <c r="E20" i="13"/>
  <c r="E18" i="13"/>
  <c r="E19" i="13"/>
  <c r="K39" i="7"/>
  <c r="E57" i="11"/>
  <c r="K4" i="17"/>
  <c r="K37" i="7"/>
  <c r="K42" i="7"/>
  <c r="K38" i="7"/>
  <c r="K43" i="7"/>
  <c r="E14" i="13"/>
  <c r="H4" i="13"/>
  <c r="G3" i="13"/>
  <c r="U6" i="10"/>
  <c r="V6" i="10"/>
  <c r="W6" i="10"/>
  <c r="X6" i="10"/>
  <c r="G4" i="11"/>
  <c r="F7" i="11"/>
  <c r="U6" i="11"/>
  <c r="W6" i="11"/>
  <c r="V6" i="11"/>
  <c r="X6" i="11"/>
  <c r="E8" i="2"/>
  <c r="E12" i="13" s="1"/>
  <c r="F7" i="13" s="1"/>
  <c r="F9" i="13" s="1"/>
  <c r="F10" i="13" s="1"/>
  <c r="E23" i="2"/>
  <c r="C44" i="11" s="1"/>
  <c r="D41" i="11" s="1"/>
  <c r="E12" i="9" l="1"/>
  <c r="E15" i="18"/>
  <c r="E21" i="13"/>
  <c r="E22" i="13" s="1"/>
  <c r="E26" i="13" s="1"/>
  <c r="F8" i="11"/>
  <c r="F57" i="11"/>
  <c r="L4" i="17"/>
  <c r="F14" i="13"/>
  <c r="H3" i="13"/>
  <c r="D46" i="11"/>
  <c r="Y6" i="10"/>
  <c r="H4" i="11"/>
  <c r="G7" i="11"/>
  <c r="Y6" i="11"/>
  <c r="F8" i="2"/>
  <c r="F12" i="13" s="1"/>
  <c r="G7" i="13" s="1"/>
  <c r="G9" i="13" s="1"/>
  <c r="G10" i="13" s="1"/>
  <c r="C14" i="11"/>
  <c r="F12" i="9" l="1"/>
  <c r="F15" i="18"/>
  <c r="G8" i="11"/>
  <c r="G57" i="11"/>
  <c r="M4" i="17"/>
  <c r="D11" i="11"/>
  <c r="G14" i="13"/>
  <c r="I4" i="11"/>
  <c r="H7" i="11"/>
  <c r="H8" i="11" s="1"/>
  <c r="H57" i="11" s="1"/>
  <c r="F23" i="2"/>
  <c r="H23" i="2"/>
  <c r="G23" i="2"/>
  <c r="H12" i="9" l="1"/>
  <c r="H15" i="18"/>
  <c r="G12" i="9"/>
  <c r="G15" i="18"/>
  <c r="N4" i="17"/>
  <c r="D9" i="14"/>
  <c r="D10" i="14" s="1"/>
  <c r="J4" i="11"/>
  <c r="I7" i="11"/>
  <c r="I8" i="11" s="1"/>
  <c r="I57" i="11" s="1"/>
  <c r="G8" i="2"/>
  <c r="G12" i="13" s="1"/>
  <c r="H7" i="13" s="1"/>
  <c r="H9" i="13" s="1"/>
  <c r="H10" i="13" s="1"/>
  <c r="I12" i="9" l="1"/>
  <c r="I15" i="18"/>
  <c r="O4" i="17"/>
  <c r="H14" i="13"/>
  <c r="P4" i="14"/>
  <c r="Q4" i="14" s="1"/>
  <c r="R4" i="14" s="1"/>
  <c r="S4" i="14" s="1"/>
  <c r="T4" i="14" s="1"/>
  <c r="U4" i="14" s="1"/>
  <c r="V4" i="14" s="1"/>
  <c r="W4" i="14" s="1"/>
  <c r="X4" i="14" s="1"/>
  <c r="Y4" i="14" s="1"/>
  <c r="Z4" i="14" s="1"/>
  <c r="AA4" i="14" s="1"/>
  <c r="AB4" i="14" s="1"/>
  <c r="AC4" i="14" s="1"/>
  <c r="K4" i="11"/>
  <c r="J7" i="11"/>
  <c r="J8" i="11" s="1"/>
  <c r="J57" i="11" s="1"/>
  <c r="H8" i="2"/>
  <c r="H12" i="13" s="1"/>
  <c r="J12" i="9" l="1"/>
  <c r="J15" i="18"/>
  <c r="P4" i="17"/>
  <c r="L4" i="11"/>
  <c r="K7" i="11"/>
  <c r="K8" i="11" s="1"/>
  <c r="K57" i="11" s="1"/>
  <c r="K12" i="9" l="1"/>
  <c r="K15" i="18"/>
  <c r="Q4" i="17"/>
  <c r="M4" i="11"/>
  <c r="L7" i="11"/>
  <c r="L8" i="11" s="1"/>
  <c r="L57" i="11" s="1"/>
  <c r="L12" i="9" l="1"/>
  <c r="L15" i="18"/>
  <c r="R4" i="17"/>
  <c r="N4" i="11"/>
  <c r="M7" i="11"/>
  <c r="M8" i="11" s="1"/>
  <c r="M57" i="11" s="1"/>
  <c r="M12" i="9" l="1"/>
  <c r="M15" i="18"/>
  <c r="S4" i="17"/>
  <c r="O4" i="11"/>
  <c r="N7" i="11"/>
  <c r="N8" i="11" s="1"/>
  <c r="N57" i="11" s="1"/>
  <c r="N12" i="9" l="1"/>
  <c r="N15" i="18"/>
  <c r="T4" i="17"/>
  <c r="P4" i="11"/>
  <c r="O7" i="11"/>
  <c r="O8" i="11" s="1"/>
  <c r="O57" i="11" s="1"/>
  <c r="O12" i="9" l="1"/>
  <c r="O15" i="18"/>
  <c r="U4" i="17"/>
  <c r="Q4" i="11"/>
  <c r="P7" i="11"/>
  <c r="P8" i="11" s="1"/>
  <c r="P57" i="11" s="1"/>
  <c r="P12" i="9" l="1"/>
  <c r="P14" i="9" s="1"/>
  <c r="P15" i="18"/>
  <c r="V4" i="17"/>
  <c r="R4" i="11"/>
  <c r="Q7" i="11"/>
  <c r="Q8" i="11" s="1"/>
  <c r="P16" i="9" l="1"/>
  <c r="P23" i="9" s="1"/>
  <c r="W4" i="17"/>
  <c r="S4" i="11"/>
  <c r="R7" i="11"/>
  <c r="R8" i="11" s="1"/>
  <c r="X4" i="17" l="1"/>
  <c r="T4" i="11"/>
  <c r="S7" i="11"/>
  <c r="S8" i="11" s="1"/>
  <c r="Y4" i="17" l="1"/>
  <c r="U4" i="11"/>
  <c r="T7" i="11"/>
  <c r="T8" i="11" s="1"/>
  <c r="Z4" i="17" l="1"/>
  <c r="V4" i="11"/>
  <c r="U7" i="11"/>
  <c r="U8" i="11" s="1"/>
  <c r="AA4" i="17" l="1"/>
  <c r="W4" i="11"/>
  <c r="V7" i="11"/>
  <c r="V8" i="11" s="1"/>
  <c r="AB4" i="17" l="1"/>
  <c r="X4" i="11"/>
  <c r="W7" i="11"/>
  <c r="W8" i="11" s="1"/>
  <c r="AC4" i="17" l="1"/>
  <c r="Y4" i="11"/>
  <c r="X7" i="11"/>
  <c r="X8" i="11" s="1"/>
  <c r="Z4" i="11" l="1"/>
  <c r="Y7" i="11"/>
  <c r="Y8" i="11" s="1"/>
  <c r="AA4" i="11" l="1"/>
  <c r="Z7" i="11"/>
  <c r="Z8" i="11" s="1"/>
  <c r="AB4" i="11" l="1"/>
  <c r="AA7" i="11"/>
  <c r="AA8" i="11" s="1"/>
  <c r="AC4" i="11" l="1"/>
  <c r="AC7" i="11" s="1"/>
  <c r="AC8" i="11" s="1"/>
  <c r="AB7" i="11"/>
  <c r="AB8" i="11" s="1"/>
  <c r="D7" i="10" l="1"/>
  <c r="M50" i="11" l="1"/>
  <c r="D8" i="10"/>
  <c r="E30" i="7"/>
  <c r="F30" i="7"/>
  <c r="G30" i="7"/>
  <c r="D30" i="7"/>
  <c r="H32" i="7"/>
  <c r="C59" i="11" l="1"/>
  <c r="D56" i="11" s="1"/>
  <c r="D59" i="11" s="1"/>
  <c r="E56" i="11" s="1"/>
  <c r="E59" i="11" s="1"/>
  <c r="F56" i="11" s="1"/>
  <c r="F59" i="11" s="1"/>
  <c r="G56" i="11" s="1"/>
  <c r="G59" i="11" s="1"/>
  <c r="H56" i="11" s="1"/>
  <c r="H59" i="11" s="1"/>
  <c r="I56" i="11" s="1"/>
  <c r="I59" i="11" s="1"/>
  <c r="J56" i="11" s="1"/>
  <c r="J59" i="11" s="1"/>
  <c r="K56" i="11" s="1"/>
  <c r="K59" i="11" s="1"/>
  <c r="L56" i="11" s="1"/>
  <c r="L59" i="11" s="1"/>
  <c r="M56" i="11" s="1"/>
  <c r="M59" i="11" s="1"/>
  <c r="N56" i="11" s="1"/>
  <c r="N59" i="11" s="1"/>
  <c r="O56" i="11" s="1"/>
  <c r="O59" i="11" s="1"/>
  <c r="P56" i="11" s="1"/>
  <c r="P59" i="11" s="1"/>
  <c r="Q56" i="11" s="1"/>
  <c r="D32" i="10"/>
  <c r="H16" i="7"/>
  <c r="H22" i="7" s="1"/>
  <c r="H24" i="7" s="1"/>
  <c r="E21" i="9"/>
  <c r="F21" i="9"/>
  <c r="G21" i="9"/>
  <c r="D21" i="9"/>
  <c r="G14" i="9"/>
  <c r="G16" i="9" s="1"/>
  <c r="F14" i="9"/>
  <c r="F16" i="9" s="1"/>
  <c r="E14" i="9"/>
  <c r="E16" i="9" s="1"/>
  <c r="D4" i="7"/>
  <c r="E4" i="7" s="1"/>
  <c r="F4" i="7" s="1"/>
  <c r="G4" i="7" s="1"/>
  <c r="H4" i="7" s="1"/>
  <c r="I4" i="7" s="1"/>
  <c r="J4" i="7" s="1"/>
  <c r="E4" i="10"/>
  <c r="E7" i="10" s="1"/>
  <c r="R3" i="10"/>
  <c r="S3" i="10" s="1"/>
  <c r="T3" i="10" s="1"/>
  <c r="U3" i="10" s="1"/>
  <c r="V3" i="10" s="1"/>
  <c r="W3" i="10" s="1"/>
  <c r="X3" i="10" s="1"/>
  <c r="Y3" i="10" s="1"/>
  <c r="Z3" i="10" s="1"/>
  <c r="AA3" i="10" s="1"/>
  <c r="AB3" i="10" s="1"/>
  <c r="AC3" i="10" s="1"/>
  <c r="E3" i="10"/>
  <c r="F3" i="10" s="1"/>
  <c r="G3" i="10" s="1"/>
  <c r="H3" i="10" s="1"/>
  <c r="I3" i="10" s="1"/>
  <c r="J3" i="10" s="1"/>
  <c r="K3" i="10" s="1"/>
  <c r="L3" i="10" s="1"/>
  <c r="M3" i="10" s="1"/>
  <c r="N3" i="10" s="1"/>
  <c r="O3" i="10" s="1"/>
  <c r="P3" i="10" s="1"/>
  <c r="A1" i="10"/>
  <c r="R3" i="9"/>
  <c r="S3" i="9" s="1"/>
  <c r="T3" i="9" s="1"/>
  <c r="U3" i="9" s="1"/>
  <c r="V3" i="9" s="1"/>
  <c r="W3" i="9" s="1"/>
  <c r="X3" i="9" s="1"/>
  <c r="Y3" i="9" s="1"/>
  <c r="Z3" i="9" s="1"/>
  <c r="AA3" i="9" s="1"/>
  <c r="AB3" i="9" s="1"/>
  <c r="AC3" i="9" s="1"/>
  <c r="E3" i="9"/>
  <c r="F3" i="9" s="1"/>
  <c r="G3" i="9" s="1"/>
  <c r="H3" i="9" s="1"/>
  <c r="I3" i="9" s="1"/>
  <c r="J3" i="9" s="1"/>
  <c r="K3" i="9" s="1"/>
  <c r="L3" i="9" s="1"/>
  <c r="M3" i="9" s="1"/>
  <c r="N3" i="9" s="1"/>
  <c r="O3" i="9" s="1"/>
  <c r="P3" i="9" s="1"/>
  <c r="H40" i="7" l="1"/>
  <c r="I16" i="7"/>
  <c r="I22" i="7" s="1"/>
  <c r="I24" i="7" s="1"/>
  <c r="G23" i="9"/>
  <c r="F23" i="9"/>
  <c r="E23" i="9"/>
  <c r="D14" i="9"/>
  <c r="E8" i="10"/>
  <c r="F4" i="10"/>
  <c r="F7" i="10" s="1"/>
  <c r="D2" i="7"/>
  <c r="D16" i="9" l="1"/>
  <c r="D23" i="9" s="1"/>
  <c r="D39" i="7"/>
  <c r="D41" i="7"/>
  <c r="D42" i="7"/>
  <c r="D38" i="7"/>
  <c r="D44" i="7"/>
  <c r="D35" i="7"/>
  <c r="D47" i="7"/>
  <c r="D36" i="7"/>
  <c r="D37" i="7"/>
  <c r="D43" i="7"/>
  <c r="D45" i="7"/>
  <c r="H48" i="7"/>
  <c r="H46" i="7"/>
  <c r="I40" i="7"/>
  <c r="F8" i="10"/>
  <c r="G4" i="10"/>
  <c r="G7" i="10" s="1"/>
  <c r="E4" i="9"/>
  <c r="A1" i="9"/>
  <c r="G30" i="2"/>
  <c r="G32" i="2"/>
  <c r="G31" i="2"/>
  <c r="G29" i="2"/>
  <c r="A1" i="7"/>
  <c r="F29" i="2"/>
  <c r="F32" i="2"/>
  <c r="F31" i="2"/>
  <c r="F30" i="2"/>
  <c r="D29" i="2"/>
  <c r="E32" i="2"/>
  <c r="E31" i="2"/>
  <c r="E30" i="2"/>
  <c r="E29" i="2"/>
  <c r="D32" i="2"/>
  <c r="D31" i="2"/>
  <c r="D30" i="2"/>
  <c r="C32" i="2"/>
  <c r="C29" i="2"/>
  <c r="C24" i="2"/>
  <c r="C35" i="12" s="1"/>
  <c r="D32" i="12" s="1"/>
  <c r="D35" i="12" s="1"/>
  <c r="E32" i="12" s="1"/>
  <c r="E35" i="12" s="1"/>
  <c r="F32" i="12" s="1"/>
  <c r="F35" i="12" s="1"/>
  <c r="G32" i="12" s="1"/>
  <c r="G35" i="12" s="1"/>
  <c r="H32" i="12" s="1"/>
  <c r="H35" i="12" s="1"/>
  <c r="C30" i="2"/>
  <c r="C11" i="2"/>
  <c r="C19" i="2" s="1"/>
  <c r="I48" i="7" l="1"/>
  <c r="I46" i="7"/>
  <c r="J16" i="7"/>
  <c r="J22" i="7" s="1"/>
  <c r="J24" i="7" s="1"/>
  <c r="F4" i="9"/>
  <c r="G8" i="10"/>
  <c r="F44" i="2"/>
  <c r="F45" i="2"/>
  <c r="F48" i="2"/>
  <c r="D44" i="2"/>
  <c r="D48" i="2"/>
  <c r="D45" i="2"/>
  <c r="G44" i="2"/>
  <c r="G45" i="2"/>
  <c r="G48" i="2"/>
  <c r="E45" i="2"/>
  <c r="E48" i="2"/>
  <c r="E44" i="2"/>
  <c r="H4" i="10"/>
  <c r="H7" i="10" s="1"/>
  <c r="G29" i="7"/>
  <c r="G32" i="7"/>
  <c r="H27" i="7"/>
  <c r="G27" i="7"/>
  <c r="G40" i="2"/>
  <c r="E32" i="7"/>
  <c r="E31" i="7"/>
  <c r="E29" i="7"/>
  <c r="E16" i="7"/>
  <c r="E22" i="7" s="1"/>
  <c r="E24" i="7" s="1"/>
  <c r="E28" i="7"/>
  <c r="E40" i="2"/>
  <c r="F32" i="7"/>
  <c r="F27" i="7"/>
  <c r="F29" i="7"/>
  <c r="F28" i="7"/>
  <c r="F40" i="2"/>
  <c r="F31" i="7"/>
  <c r="F16" i="7"/>
  <c r="F22" i="7" s="1"/>
  <c r="F24" i="7" s="1"/>
  <c r="D29" i="7"/>
  <c r="D32" i="7"/>
  <c r="D16" i="7"/>
  <c r="D22" i="7" s="1"/>
  <c r="D24" i="7" s="1"/>
  <c r="D28" i="7"/>
  <c r="D40" i="2"/>
  <c r="D31" i="7"/>
  <c r="C26" i="2"/>
  <c r="C33" i="2" s="1"/>
  <c r="C35" i="2" s="1"/>
  <c r="C37" i="2" s="1"/>
  <c r="A1" i="2"/>
  <c r="D40" i="7" l="1"/>
  <c r="F40" i="7"/>
  <c r="E40" i="7"/>
  <c r="J40" i="7"/>
  <c r="D24" i="2"/>
  <c r="D46" i="2" s="1"/>
  <c r="E29" i="10"/>
  <c r="D29" i="10"/>
  <c r="F31" i="10"/>
  <c r="G42" i="11"/>
  <c r="D31" i="10"/>
  <c r="G4" i="9"/>
  <c r="G32" i="10"/>
  <c r="F32" i="10"/>
  <c r="E32" i="10"/>
  <c r="H8" i="10"/>
  <c r="G16" i="7"/>
  <c r="G22" i="7" s="1"/>
  <c r="G24" i="7" s="1"/>
  <c r="D23" i="11"/>
  <c r="E23" i="11"/>
  <c r="G23" i="11"/>
  <c r="G29" i="10"/>
  <c r="F23" i="11"/>
  <c r="I4" i="10"/>
  <c r="I7" i="10" s="1"/>
  <c r="A7" i="1"/>
  <c r="E48" i="7" l="1"/>
  <c r="E46" i="7"/>
  <c r="F48" i="7"/>
  <c r="F46" i="7"/>
  <c r="G40" i="7"/>
  <c r="D48" i="7"/>
  <c r="D46" i="7"/>
  <c r="J48" i="7"/>
  <c r="J46" i="7"/>
  <c r="E24" i="2"/>
  <c r="C52" i="11" s="1"/>
  <c r="D49" i="11" s="1"/>
  <c r="D52" i="11" s="1"/>
  <c r="K16" i="7"/>
  <c r="K22" i="7" s="1"/>
  <c r="K24" i="7" s="1"/>
  <c r="G31" i="10"/>
  <c r="F42" i="11"/>
  <c r="E42" i="11"/>
  <c r="E31" i="10"/>
  <c r="D42" i="11"/>
  <c r="D44" i="11" s="1"/>
  <c r="F29" i="10"/>
  <c r="H4" i="9"/>
  <c r="F24" i="2"/>
  <c r="F46" i="2" s="1"/>
  <c r="D30" i="10"/>
  <c r="F30" i="10"/>
  <c r="G30" i="10"/>
  <c r="E30" i="10"/>
  <c r="I8" i="10"/>
  <c r="E15" i="10"/>
  <c r="E21" i="10" s="1"/>
  <c r="E24" i="10" s="1"/>
  <c r="E26" i="10" s="1"/>
  <c r="E6" i="18" s="1"/>
  <c r="F15" i="10"/>
  <c r="F21" i="10" s="1"/>
  <c r="F24" i="10" s="1"/>
  <c r="F26" i="10" s="1"/>
  <c r="F6" i="18" s="1"/>
  <c r="G15" i="10"/>
  <c r="G21" i="10" s="1"/>
  <c r="G24" i="10" s="1"/>
  <c r="G26" i="10" s="1"/>
  <c r="G6" i="18" s="1"/>
  <c r="D15" i="10"/>
  <c r="D21" i="10" s="1"/>
  <c r="D24" i="10" s="1"/>
  <c r="D26" i="10" s="1"/>
  <c r="D6" i="18" s="1"/>
  <c r="J4" i="10"/>
  <c r="J7" i="10" s="1"/>
  <c r="A1" i="6"/>
  <c r="E49" i="11" l="1"/>
  <c r="E52" i="11" s="1"/>
  <c r="D12" i="18"/>
  <c r="E41" i="11"/>
  <c r="E46" i="11" s="1"/>
  <c r="D11" i="18"/>
  <c r="G48" i="7"/>
  <c r="G46" i="7"/>
  <c r="K40" i="7"/>
  <c r="E46" i="2"/>
  <c r="I4" i="9"/>
  <c r="H14" i="9"/>
  <c r="H24" i="2"/>
  <c r="G24" i="2"/>
  <c r="H12" i="11"/>
  <c r="I31" i="10"/>
  <c r="I12" i="11"/>
  <c r="H23" i="11"/>
  <c r="H32" i="10"/>
  <c r="I32" i="10"/>
  <c r="J8" i="10"/>
  <c r="I23" i="11"/>
  <c r="K4" i="10"/>
  <c r="K7" i="10" s="1"/>
  <c r="H16" i="9" l="1"/>
  <c r="H23" i="9" s="1"/>
  <c r="E44" i="11"/>
  <c r="E11" i="18" s="1"/>
  <c r="F49" i="11"/>
  <c r="F52" i="11" s="1"/>
  <c r="E12" i="18"/>
  <c r="K48" i="7"/>
  <c r="K46" i="7"/>
  <c r="J4" i="9"/>
  <c r="I14" i="9"/>
  <c r="H30" i="10"/>
  <c r="I29" i="10"/>
  <c r="I42" i="11"/>
  <c r="I30" i="10"/>
  <c r="H42" i="11"/>
  <c r="H15" i="10"/>
  <c r="H21" i="10" s="1"/>
  <c r="H24" i="10" s="1"/>
  <c r="H26" i="10" s="1"/>
  <c r="H6" i="18" s="1"/>
  <c r="H31" i="10"/>
  <c r="J12" i="11"/>
  <c r="H29" i="10"/>
  <c r="J32" i="10"/>
  <c r="K8" i="10"/>
  <c r="I15" i="10"/>
  <c r="I21" i="10" s="1"/>
  <c r="I24" i="10" s="1"/>
  <c r="I26" i="10" s="1"/>
  <c r="I6" i="18" s="1"/>
  <c r="L4" i="10"/>
  <c r="L7" i="10" s="1"/>
  <c r="J23" i="11"/>
  <c r="I16" i="9" l="1"/>
  <c r="I23" i="9" s="1"/>
  <c r="F41" i="11"/>
  <c r="G49" i="11"/>
  <c r="G52" i="11" s="1"/>
  <c r="F12" i="18"/>
  <c r="K4" i="9"/>
  <c r="J14" i="9"/>
  <c r="J30" i="10"/>
  <c r="J29" i="10"/>
  <c r="J42" i="11"/>
  <c r="J31" i="10"/>
  <c r="L8" i="10"/>
  <c r="J15" i="10"/>
  <c r="J21" i="10" s="1"/>
  <c r="J24" i="10" s="1"/>
  <c r="J26" i="10" s="1"/>
  <c r="J6" i="18" s="1"/>
  <c r="M4" i="10"/>
  <c r="M7" i="10" s="1"/>
  <c r="J16" i="9" l="1"/>
  <c r="J23" i="9" s="1"/>
  <c r="F44" i="11"/>
  <c r="F46" i="11"/>
  <c r="H49" i="11"/>
  <c r="H52" i="11" s="1"/>
  <c r="G12" i="18"/>
  <c r="L4" i="9"/>
  <c r="K14" i="9"/>
  <c r="K12" i="11"/>
  <c r="K31" i="10"/>
  <c r="K23" i="11"/>
  <c r="K32" i="10"/>
  <c r="M8" i="10"/>
  <c r="N4" i="10"/>
  <c r="N7" i="10" s="1"/>
  <c r="K23" i="9" l="1"/>
  <c r="K16" i="9"/>
  <c r="G41" i="11"/>
  <c r="F11" i="18"/>
  <c r="I49" i="11"/>
  <c r="I52" i="11" s="1"/>
  <c r="H12" i="18"/>
  <c r="M4" i="9"/>
  <c r="L14" i="9"/>
  <c r="K30" i="10"/>
  <c r="K15" i="10"/>
  <c r="K21" i="10" s="1"/>
  <c r="K24" i="10" s="1"/>
  <c r="K26" i="10" s="1"/>
  <c r="K6" i="18" s="1"/>
  <c r="K29" i="10"/>
  <c r="K42" i="11"/>
  <c r="L31" i="10"/>
  <c r="L12" i="11"/>
  <c r="M12" i="11"/>
  <c r="M31" i="10"/>
  <c r="L32" i="10"/>
  <c r="M32" i="10"/>
  <c r="N8" i="10"/>
  <c r="L23" i="11"/>
  <c r="M23" i="11"/>
  <c r="O4" i="10"/>
  <c r="O7" i="10" s="1"/>
  <c r="L23" i="9" l="1"/>
  <c r="L16" i="9"/>
  <c r="G44" i="11"/>
  <c r="G46" i="11"/>
  <c r="J49" i="11"/>
  <c r="J52" i="11" s="1"/>
  <c r="I12" i="18"/>
  <c r="N4" i="9"/>
  <c r="M14" i="9"/>
  <c r="L29" i="10"/>
  <c r="L42" i="11"/>
  <c r="M29" i="10"/>
  <c r="M42" i="11"/>
  <c r="M30" i="10"/>
  <c r="L15" i="10"/>
  <c r="L21" i="10" s="1"/>
  <c r="L24" i="10" s="1"/>
  <c r="L26" i="10" s="1"/>
  <c r="L6" i="18" s="1"/>
  <c r="L30" i="10"/>
  <c r="O8" i="10"/>
  <c r="M15" i="10"/>
  <c r="M21" i="10" s="1"/>
  <c r="M24" i="10" s="1"/>
  <c r="M26" i="10" s="1"/>
  <c r="M6" i="18" s="1"/>
  <c r="P4" i="10"/>
  <c r="P7" i="10" s="1"/>
  <c r="M23" i="9" l="1"/>
  <c r="M16" i="9"/>
  <c r="H41" i="11"/>
  <c r="G11" i="18"/>
  <c r="K49" i="11"/>
  <c r="K52" i="11" s="1"/>
  <c r="J12" i="18"/>
  <c r="O4" i="9"/>
  <c r="N14" i="9"/>
  <c r="O29" i="10"/>
  <c r="O12" i="11"/>
  <c r="O31" i="10"/>
  <c r="N12" i="11"/>
  <c r="N31" i="10"/>
  <c r="O32" i="10"/>
  <c r="N32" i="10"/>
  <c r="N23" i="11"/>
  <c r="P8" i="10"/>
  <c r="O23" i="11"/>
  <c r="Q4" i="10"/>
  <c r="N23" i="9" l="1"/>
  <c r="N16" i="9"/>
  <c r="H46" i="11"/>
  <c r="H44" i="11"/>
  <c r="L49" i="11"/>
  <c r="L52" i="11" s="1"/>
  <c r="K12" i="18"/>
  <c r="P4" i="9"/>
  <c r="O14" i="9"/>
  <c r="N30" i="10"/>
  <c r="N29" i="10"/>
  <c r="N42" i="11"/>
  <c r="O42" i="11"/>
  <c r="P12" i="11"/>
  <c r="N15" i="10"/>
  <c r="N21" i="10" s="1"/>
  <c r="N24" i="10" s="1"/>
  <c r="N26" i="10" s="1"/>
  <c r="N6" i="18" s="1"/>
  <c r="O15" i="10"/>
  <c r="O21" i="10" s="1"/>
  <c r="O24" i="10" s="1"/>
  <c r="O26" i="10" s="1"/>
  <c r="O6" i="18" s="1"/>
  <c r="O30" i="10"/>
  <c r="P32" i="10"/>
  <c r="R4" i="10"/>
  <c r="Q7" i="10"/>
  <c r="P23" i="11"/>
  <c r="O16" i="9" l="1"/>
  <c r="O23" i="9" s="1"/>
  <c r="H11" i="18"/>
  <c r="I41" i="11"/>
  <c r="M49" i="11"/>
  <c r="M52" i="11" s="1"/>
  <c r="L12" i="18"/>
  <c r="Q4" i="9"/>
  <c r="P42" i="11"/>
  <c r="P31" i="10"/>
  <c r="Q8" i="10"/>
  <c r="P30" i="10"/>
  <c r="P29" i="10"/>
  <c r="S4" i="10"/>
  <c r="R7" i="10"/>
  <c r="P15" i="10"/>
  <c r="P21" i="10" s="1"/>
  <c r="P24" i="10" s="1"/>
  <c r="P26" i="10" s="1"/>
  <c r="K4" i="7"/>
  <c r="I44" i="11" l="1"/>
  <c r="I46" i="11"/>
  <c r="Q20" i="10"/>
  <c r="Q7" i="9" s="1"/>
  <c r="Q19" i="10"/>
  <c r="Q14" i="10"/>
  <c r="Q58" i="11" s="1"/>
  <c r="Q59" i="11" s="1"/>
  <c r="R56" i="11" s="1"/>
  <c r="Q10" i="10"/>
  <c r="N49" i="11"/>
  <c r="N52" i="11" s="1"/>
  <c r="M12" i="18"/>
  <c r="R4" i="9"/>
  <c r="R8" i="10"/>
  <c r="T4" i="10"/>
  <c r="S7" i="10"/>
  <c r="P6" i="18"/>
  <c r="J41" i="11" l="1"/>
  <c r="I11" i="18"/>
  <c r="Q12" i="10"/>
  <c r="Q12" i="11"/>
  <c r="Q14" i="11" s="1"/>
  <c r="Q18" i="10"/>
  <c r="Q50" i="11" s="1"/>
  <c r="Q13" i="10"/>
  <c r="Q23" i="11" s="1"/>
  <c r="Q17" i="10"/>
  <c r="R59" i="11"/>
  <c r="S56" i="11" s="1"/>
  <c r="R19" i="10"/>
  <c r="R20" i="10"/>
  <c r="R14" i="10"/>
  <c r="R58" i="11" s="1"/>
  <c r="R10" i="10"/>
  <c r="O49" i="11"/>
  <c r="O52" i="11" s="1"/>
  <c r="N12" i="18"/>
  <c r="S4" i="9"/>
  <c r="S8" i="10"/>
  <c r="U4" i="10"/>
  <c r="T7" i="10"/>
  <c r="J44" i="11" l="1"/>
  <c r="J46" i="11"/>
  <c r="Q15" i="10"/>
  <c r="Q21" i="10" s="1"/>
  <c r="Q24" i="10" s="1"/>
  <c r="Q26" i="10" s="1"/>
  <c r="S20" i="10"/>
  <c r="S19" i="10"/>
  <c r="S14" i="10"/>
  <c r="S58" i="11" s="1"/>
  <c r="S59" i="11" s="1"/>
  <c r="T56" i="11" s="1"/>
  <c r="S10" i="10"/>
  <c r="Q34" i="11"/>
  <c r="Q24" i="11"/>
  <c r="Q27" i="11" s="1"/>
  <c r="R12" i="10"/>
  <c r="R12" i="11"/>
  <c r="R14" i="11" s="1"/>
  <c r="R13" i="10"/>
  <c r="R23" i="11" s="1"/>
  <c r="R18" i="10"/>
  <c r="R50" i="11" s="1"/>
  <c r="R17" i="10"/>
  <c r="Q12" i="14"/>
  <c r="R7" i="14" s="1"/>
  <c r="R8" i="14" s="1"/>
  <c r="R9" i="14" s="1"/>
  <c r="R10" i="14" s="1"/>
  <c r="R11" i="11"/>
  <c r="Q42" i="11"/>
  <c r="P49" i="11"/>
  <c r="P52" i="11" s="1"/>
  <c r="O12" i="18"/>
  <c r="Q17" i="11"/>
  <c r="T4" i="9"/>
  <c r="T8" i="10"/>
  <c r="V4" i="10"/>
  <c r="U7" i="10"/>
  <c r="K41" i="11" l="1"/>
  <c r="J11" i="18"/>
  <c r="R17" i="11"/>
  <c r="R42" i="11"/>
  <c r="R13" i="11"/>
  <c r="T20" i="10"/>
  <c r="T19" i="10"/>
  <c r="T14" i="10"/>
  <c r="T58" i="11" s="1"/>
  <c r="T59" i="11" s="1"/>
  <c r="U56" i="11" s="1"/>
  <c r="T10" i="10"/>
  <c r="R31" i="11"/>
  <c r="S13" i="10"/>
  <c r="S23" i="11" s="1"/>
  <c r="S17" i="10"/>
  <c r="S18" i="10"/>
  <c r="S50" i="11" s="1"/>
  <c r="S12" i="11"/>
  <c r="S14" i="11" s="1"/>
  <c r="S12" i="10"/>
  <c r="Q24" i="14"/>
  <c r="R17" i="14" s="1"/>
  <c r="R21" i="11"/>
  <c r="Q37" i="11"/>
  <c r="R24" i="11"/>
  <c r="R34" i="11"/>
  <c r="R12" i="14"/>
  <c r="S7" i="14" s="1"/>
  <c r="S8" i="14" s="1"/>
  <c r="S9" i="14" s="1"/>
  <c r="S10" i="14" s="1"/>
  <c r="S11" i="11"/>
  <c r="P12" i="18"/>
  <c r="Q49" i="11"/>
  <c r="Q52" i="11" s="1"/>
  <c r="U4" i="9"/>
  <c r="R15" i="10"/>
  <c r="U8" i="10"/>
  <c r="W4" i="10"/>
  <c r="V7" i="10"/>
  <c r="K46" i="11" l="1"/>
  <c r="K44" i="11"/>
  <c r="S42" i="11"/>
  <c r="R18" i="14"/>
  <c r="R19" i="14"/>
  <c r="R20" i="14"/>
  <c r="T11" i="11"/>
  <c r="S12" i="14"/>
  <c r="T7" i="14" s="1"/>
  <c r="T8" i="14" s="1"/>
  <c r="T9" i="14" s="1"/>
  <c r="T10" i="14" s="1"/>
  <c r="U20" i="10"/>
  <c r="U19" i="10"/>
  <c r="U14" i="10"/>
  <c r="U58" i="11" s="1"/>
  <c r="U59" i="11" s="1"/>
  <c r="V56" i="11" s="1"/>
  <c r="U10" i="10"/>
  <c r="S31" i="11"/>
  <c r="R24" i="14"/>
  <c r="S17" i="14" s="1"/>
  <c r="S21" i="11"/>
  <c r="T13" i="10"/>
  <c r="T23" i="11" s="1"/>
  <c r="T12" i="10"/>
  <c r="T18" i="10"/>
  <c r="T50" i="11" s="1"/>
  <c r="T12" i="11"/>
  <c r="T14" i="11" s="1"/>
  <c r="T17" i="10"/>
  <c r="S24" i="11"/>
  <c r="S34" i="11"/>
  <c r="S17" i="11"/>
  <c r="S13" i="11"/>
  <c r="R22" i="11"/>
  <c r="R32" i="11" s="1"/>
  <c r="R33" i="11" s="1"/>
  <c r="R49" i="11"/>
  <c r="R52" i="11" s="1"/>
  <c r="R21" i="10"/>
  <c r="R24" i="10" s="1"/>
  <c r="R26" i="10" s="1"/>
  <c r="R37" i="11"/>
  <c r="R27" i="11"/>
  <c r="S15" i="10"/>
  <c r="V4" i="9"/>
  <c r="V8" i="10"/>
  <c r="X4" i="10"/>
  <c r="W7" i="10"/>
  <c r="K11" i="18" l="1"/>
  <c r="L41" i="11"/>
  <c r="T13" i="11"/>
  <c r="R21" i="14"/>
  <c r="R22" i="14" s="1"/>
  <c r="S24" i="14"/>
  <c r="T17" i="14" s="1"/>
  <c r="T21" i="11"/>
  <c r="V20" i="10"/>
  <c r="V19" i="10"/>
  <c r="V14" i="10"/>
  <c r="V58" i="11" s="1"/>
  <c r="V59" i="11" s="1"/>
  <c r="W56" i="11" s="1"/>
  <c r="V10" i="10"/>
  <c r="T17" i="11"/>
  <c r="T42" i="11"/>
  <c r="U13" i="10"/>
  <c r="U23" i="11" s="1"/>
  <c r="U12" i="11"/>
  <c r="U14" i="11" s="1"/>
  <c r="U17" i="11" s="1"/>
  <c r="U18" i="10"/>
  <c r="U50" i="11" s="1"/>
  <c r="U17" i="10"/>
  <c r="U12" i="10"/>
  <c r="T34" i="11"/>
  <c r="T24" i="11"/>
  <c r="S22" i="11"/>
  <c r="S32" i="11" s="1"/>
  <c r="S33" i="11" s="1"/>
  <c r="U11" i="11"/>
  <c r="T12" i="14"/>
  <c r="U7" i="14" s="1"/>
  <c r="U8" i="14" s="1"/>
  <c r="U9" i="14" s="1"/>
  <c r="U10" i="14" s="1"/>
  <c r="T31" i="11"/>
  <c r="S19" i="14"/>
  <c r="S20" i="14"/>
  <c r="S18" i="14"/>
  <c r="S49" i="11"/>
  <c r="S52" i="11" s="1"/>
  <c r="S21" i="10"/>
  <c r="S24" i="10" s="1"/>
  <c r="S26" i="10" s="1"/>
  <c r="S27" i="11"/>
  <c r="S37" i="11"/>
  <c r="T15" i="10"/>
  <c r="W4" i="9"/>
  <c r="W8" i="10"/>
  <c r="Y4" i="10"/>
  <c r="X7" i="10"/>
  <c r="L46" i="11" l="1"/>
  <c r="L44" i="11"/>
  <c r="R26" i="14"/>
  <c r="U42" i="11"/>
  <c r="U13" i="11"/>
  <c r="S21" i="14"/>
  <c r="S22" i="14" s="1"/>
  <c r="S26" i="14" s="1"/>
  <c r="U31" i="11"/>
  <c r="U21" i="11"/>
  <c r="T24" i="14"/>
  <c r="U17" i="14" s="1"/>
  <c r="T22" i="11"/>
  <c r="T32" i="11" s="1"/>
  <c r="T33" i="11" s="1"/>
  <c r="V13" i="10"/>
  <c r="V23" i="11" s="1"/>
  <c r="V12" i="11"/>
  <c r="V14" i="11" s="1"/>
  <c r="V18" i="10"/>
  <c r="V50" i="11" s="1"/>
  <c r="V12" i="10"/>
  <c r="V17" i="10"/>
  <c r="W20" i="10"/>
  <c r="W19" i="10"/>
  <c r="W14" i="10"/>
  <c r="W58" i="11" s="1"/>
  <c r="W59" i="11" s="1"/>
  <c r="X56" i="11" s="1"/>
  <c r="W10" i="10"/>
  <c r="V11" i="11"/>
  <c r="U12" i="14"/>
  <c r="V7" i="14" s="1"/>
  <c r="V8" i="14" s="1"/>
  <c r="V9" i="14" s="1"/>
  <c r="V10" i="14" s="1"/>
  <c r="T19" i="14"/>
  <c r="T20" i="14"/>
  <c r="T18" i="14"/>
  <c r="T21" i="14"/>
  <c r="T22" i="14" s="1"/>
  <c r="U24" i="11"/>
  <c r="U34" i="11"/>
  <c r="T49" i="11"/>
  <c r="T52" i="11" s="1"/>
  <c r="T21" i="10"/>
  <c r="T24" i="10" s="1"/>
  <c r="T26" i="10" s="1"/>
  <c r="U15" i="10"/>
  <c r="X4" i="9"/>
  <c r="X8" i="10"/>
  <c r="Z4" i="10"/>
  <c r="Y7" i="10"/>
  <c r="M41" i="11" l="1"/>
  <c r="L11" i="18"/>
  <c r="V15" i="10"/>
  <c r="U22" i="11"/>
  <c r="U32" i="11" s="1"/>
  <c r="U33" i="11" s="1"/>
  <c r="V42" i="11"/>
  <c r="V34" i="11"/>
  <c r="V37" i="11" s="1"/>
  <c r="V24" i="11"/>
  <c r="V27" i="11" s="1"/>
  <c r="T26" i="14"/>
  <c r="V12" i="14"/>
  <c r="W7" i="14" s="1"/>
  <c r="W8" i="14" s="1"/>
  <c r="W9" i="14" s="1"/>
  <c r="W10" i="14" s="1"/>
  <c r="W11" i="11"/>
  <c r="V17" i="11"/>
  <c r="V31" i="11"/>
  <c r="X19" i="10"/>
  <c r="X20" i="10"/>
  <c r="X14" i="10"/>
  <c r="X58" i="11" s="1"/>
  <c r="X59" i="11" s="1"/>
  <c r="Y56" i="11" s="1"/>
  <c r="X10" i="10"/>
  <c r="V21" i="11"/>
  <c r="U24" i="14"/>
  <c r="V17" i="14" s="1"/>
  <c r="V13" i="11"/>
  <c r="U19" i="14"/>
  <c r="U18" i="14"/>
  <c r="U20" i="14"/>
  <c r="W12" i="11"/>
  <c r="W14" i="11" s="1"/>
  <c r="W12" i="10"/>
  <c r="W18" i="10"/>
  <c r="W50" i="11" s="1"/>
  <c r="W17" i="10"/>
  <c r="W13" i="10"/>
  <c r="W23" i="11" s="1"/>
  <c r="U49" i="11"/>
  <c r="U52" i="11" s="1"/>
  <c r="U21" i="10"/>
  <c r="U24" i="10" s="1"/>
  <c r="U26" i="10" s="1"/>
  <c r="V21" i="10"/>
  <c r="V24" i="10" s="1"/>
  <c r="V26" i="10" s="1"/>
  <c r="T27" i="11"/>
  <c r="U27" i="11"/>
  <c r="T37" i="11"/>
  <c r="U37" i="11"/>
  <c r="Y4" i="9"/>
  <c r="Y8" i="10"/>
  <c r="AA4" i="10"/>
  <c r="Z7" i="10"/>
  <c r="M44" i="11" l="1"/>
  <c r="M46" i="11"/>
  <c r="U21" i="14"/>
  <c r="U22" i="14" s="1"/>
  <c r="U26" i="14" s="1"/>
  <c r="W13" i="11"/>
  <c r="W15" i="10"/>
  <c r="Y20" i="10"/>
  <c r="Y19" i="10"/>
  <c r="Y14" i="10"/>
  <c r="Y58" i="11" s="1"/>
  <c r="Y59" i="11" s="1"/>
  <c r="Z56" i="11" s="1"/>
  <c r="Y10" i="10"/>
  <c r="W42" i="11"/>
  <c r="V19" i="14"/>
  <c r="V20" i="14"/>
  <c r="V18" i="14"/>
  <c r="X11" i="11"/>
  <c r="W12" i="14"/>
  <c r="X7" i="14" s="1"/>
  <c r="X8" i="14" s="1"/>
  <c r="X9" i="14" s="1"/>
  <c r="X10" i="14" s="1"/>
  <c r="W17" i="11"/>
  <c r="V22" i="11"/>
  <c r="V32" i="11" s="1"/>
  <c r="V33" i="11" s="1"/>
  <c r="W31" i="11"/>
  <c r="X12" i="10"/>
  <c r="X18" i="10"/>
  <c r="X50" i="11" s="1"/>
  <c r="X12" i="11"/>
  <c r="X14" i="11" s="1"/>
  <c r="X13" i="10"/>
  <c r="X23" i="11" s="1"/>
  <c r="X17" i="10"/>
  <c r="W21" i="11"/>
  <c r="V24" i="14"/>
  <c r="W17" i="14" s="1"/>
  <c r="W34" i="11"/>
  <c r="W37" i="11" s="1"/>
  <c r="W24" i="11"/>
  <c r="W27" i="11" s="1"/>
  <c r="V49" i="11"/>
  <c r="V52" i="11" s="1"/>
  <c r="W21" i="10"/>
  <c r="W24" i="10" s="1"/>
  <c r="W26" i="10" s="1"/>
  <c r="Z4" i="9"/>
  <c r="Z8" i="10"/>
  <c r="AB4" i="10"/>
  <c r="AA7" i="10"/>
  <c r="N41" i="11" l="1"/>
  <c r="M11" i="18"/>
  <c r="V21" i="14"/>
  <c r="V22" i="14" s="1"/>
  <c r="X17" i="11"/>
  <c r="X13" i="11"/>
  <c r="W22" i="11"/>
  <c r="W32" i="11" s="1"/>
  <c r="W33" i="11" s="1"/>
  <c r="Y12" i="10"/>
  <c r="Y18" i="10"/>
  <c r="Y50" i="11" s="1"/>
  <c r="Y17" i="10"/>
  <c r="Y12" i="11"/>
  <c r="Y14" i="11" s="1"/>
  <c r="Y13" i="10"/>
  <c r="Y23" i="11" s="1"/>
  <c r="X15" i="10"/>
  <c r="X21" i="10" s="1"/>
  <c r="X24" i="10" s="1"/>
  <c r="X26" i="10" s="1"/>
  <c r="W24" i="14"/>
  <c r="X17" i="14" s="1"/>
  <c r="X21" i="11"/>
  <c r="X12" i="14"/>
  <c r="Y7" i="14" s="1"/>
  <c r="Y8" i="14" s="1"/>
  <c r="Y9" i="14" s="1"/>
  <c r="Y10" i="14" s="1"/>
  <c r="Y11" i="11"/>
  <c r="X31" i="11"/>
  <c r="W20" i="14"/>
  <c r="W19" i="14"/>
  <c r="W18" i="14"/>
  <c r="Z19" i="10"/>
  <c r="Z20" i="10"/>
  <c r="Z14" i="10"/>
  <c r="Z58" i="11" s="1"/>
  <c r="Z59" i="11" s="1"/>
  <c r="AA56" i="11" s="1"/>
  <c r="Z10" i="10"/>
  <c r="X24" i="11"/>
  <c r="X34" i="11"/>
  <c r="X42" i="11"/>
  <c r="W49" i="11"/>
  <c r="W52" i="11" s="1"/>
  <c r="AA4" i="9"/>
  <c r="AA8" i="10"/>
  <c r="AC4" i="10"/>
  <c r="AC7" i="10" s="1"/>
  <c r="AB7" i="10"/>
  <c r="V26" i="14" l="1"/>
  <c r="N46" i="11"/>
  <c r="N44" i="11"/>
  <c r="W21" i="14"/>
  <c r="W22" i="14" s="1"/>
  <c r="Y31" i="11"/>
  <c r="Z11" i="11"/>
  <c r="Y12" i="14"/>
  <c r="Z7" i="14" s="1"/>
  <c r="Z8" i="14" s="1"/>
  <c r="Z9" i="14" s="1"/>
  <c r="Z10" i="14" s="1"/>
  <c r="Y13" i="11"/>
  <c r="Y24" i="11"/>
  <c r="Y34" i="11"/>
  <c r="X22" i="11"/>
  <c r="X32" i="11" s="1"/>
  <c r="X33" i="11" s="1"/>
  <c r="Y42" i="11"/>
  <c r="X24" i="14"/>
  <c r="Y17" i="14" s="1"/>
  <c r="Y21" i="11"/>
  <c r="Z12" i="11"/>
  <c r="Z14" i="11" s="1"/>
  <c r="Z12" i="10"/>
  <c r="Z18" i="10"/>
  <c r="Z50" i="11" s="1"/>
  <c r="Z13" i="10"/>
  <c r="Z23" i="11" s="1"/>
  <c r="Z17" i="10"/>
  <c r="X19" i="14"/>
  <c r="X20" i="14"/>
  <c r="X18" i="14"/>
  <c r="X37" i="11"/>
  <c r="AA19" i="10"/>
  <c r="AA20" i="10"/>
  <c r="AA10" i="10"/>
  <c r="AA14" i="10"/>
  <c r="AA58" i="11" s="1"/>
  <c r="AA59" i="11" s="1"/>
  <c r="AB56" i="11" s="1"/>
  <c r="X27" i="11"/>
  <c r="X49" i="11"/>
  <c r="X52" i="11" s="1"/>
  <c r="Y15" i="10"/>
  <c r="AB4" i="9"/>
  <c r="AC8" i="10"/>
  <c r="AB8" i="10"/>
  <c r="W26" i="14" l="1"/>
  <c r="O41" i="11"/>
  <c r="N11" i="18"/>
  <c r="Z17" i="11"/>
  <c r="X21" i="14"/>
  <c r="X22" i="14" s="1"/>
  <c r="AC19" i="10"/>
  <c r="AC20" i="10"/>
  <c r="AC10" i="10"/>
  <c r="AC14" i="10"/>
  <c r="AC58" i="11" s="1"/>
  <c r="Y19" i="14"/>
  <c r="Y20" i="14"/>
  <c r="Y18" i="14"/>
  <c r="Y22" i="11"/>
  <c r="Y32" i="11" s="1"/>
  <c r="Y33" i="11" s="1"/>
  <c r="Y24" i="14"/>
  <c r="Z17" i="14" s="1"/>
  <c r="Z21" i="11"/>
  <c r="Z24" i="11"/>
  <c r="Z34" i="11"/>
  <c r="Z42" i="11"/>
  <c r="AA11" i="11"/>
  <c r="Z12" i="14"/>
  <c r="AA7" i="14" s="1"/>
  <c r="AA8" i="14" s="1"/>
  <c r="AA9" i="14" s="1"/>
  <c r="AA10" i="14" s="1"/>
  <c r="Z31" i="11"/>
  <c r="AB20" i="10"/>
  <c r="AB19" i="10"/>
  <c r="AB10" i="10"/>
  <c r="AB14" i="10"/>
  <c r="AB58" i="11" s="1"/>
  <c r="AB59" i="11" s="1"/>
  <c r="AC56" i="11" s="1"/>
  <c r="AA18" i="10"/>
  <c r="AA50" i="11" s="1"/>
  <c r="AA12" i="10"/>
  <c r="AA13" i="10"/>
  <c r="AA23" i="11" s="1"/>
  <c r="AA17" i="10"/>
  <c r="AA12" i="11"/>
  <c r="AA14" i="11" s="1"/>
  <c r="AA17" i="11" s="1"/>
  <c r="Z13" i="11"/>
  <c r="Y49" i="11"/>
  <c r="Y52" i="11" s="1"/>
  <c r="Y21" i="10"/>
  <c r="Y24" i="10" s="1"/>
  <c r="Y26" i="10" s="1"/>
  <c r="Y17" i="11"/>
  <c r="Y37" i="11"/>
  <c r="Y27" i="11"/>
  <c r="AC4" i="9"/>
  <c r="Z15" i="10"/>
  <c r="Z22" i="11" l="1"/>
  <c r="Z32" i="11" s="1"/>
  <c r="X26" i="14"/>
  <c r="O46" i="11"/>
  <c r="O44" i="11"/>
  <c r="AA42" i="11"/>
  <c r="AC59" i="11"/>
  <c r="Y21" i="14"/>
  <c r="Y22" i="14" s="1"/>
  <c r="AC18" i="10"/>
  <c r="AC50" i="11" s="1"/>
  <c r="AC12" i="10"/>
  <c r="AC13" i="10"/>
  <c r="AC23" i="11" s="1"/>
  <c r="AC12" i="11"/>
  <c r="AC14" i="11" s="1"/>
  <c r="AC12" i="14" s="1"/>
  <c r="AC17" i="10"/>
  <c r="AA13" i="11"/>
  <c r="AA12" i="14"/>
  <c r="AB7" i="14" s="1"/>
  <c r="AB8" i="14" s="1"/>
  <c r="AB9" i="14" s="1"/>
  <c r="AB10" i="14" s="1"/>
  <c r="AB11" i="11"/>
  <c r="Z18" i="14"/>
  <c r="Z20" i="14"/>
  <c r="Z19" i="14"/>
  <c r="AB12" i="11"/>
  <c r="AB14" i="11" s="1"/>
  <c r="AB12" i="10"/>
  <c r="AB18" i="10"/>
  <c r="AB50" i="11" s="1"/>
  <c r="AB13" i="10"/>
  <c r="AB23" i="11" s="1"/>
  <c r="AB17" i="10"/>
  <c r="AA24" i="11"/>
  <c r="AA34" i="11"/>
  <c r="AB31" i="11" s="1"/>
  <c r="AA31" i="11"/>
  <c r="Z33" i="11"/>
  <c r="AA21" i="11"/>
  <c r="Z24" i="14"/>
  <c r="AA17" i="14" s="1"/>
  <c r="Z49" i="11"/>
  <c r="Z52" i="11" s="1"/>
  <c r="Z21" i="10"/>
  <c r="Z24" i="10" s="1"/>
  <c r="Z26" i="10" s="1"/>
  <c r="Z27" i="11"/>
  <c r="AA15" i="10"/>
  <c r="Z37" i="11"/>
  <c r="AC42" i="11" l="1"/>
  <c r="O11" i="18"/>
  <c r="P41" i="11"/>
  <c r="Y26" i="14"/>
  <c r="Z21" i="14"/>
  <c r="Z22" i="14" s="1"/>
  <c r="AB42" i="11"/>
  <c r="Z26" i="14"/>
  <c r="AC24" i="11"/>
  <c r="AC24" i="14" s="1"/>
  <c r="AC34" i="11"/>
  <c r="AB24" i="11"/>
  <c r="AB34" i="11"/>
  <c r="AB21" i="11"/>
  <c r="AA24" i="14"/>
  <c r="AB17" i="14" s="1"/>
  <c r="AA22" i="11"/>
  <c r="AA32" i="11" s="1"/>
  <c r="AA33" i="11" s="1"/>
  <c r="AB12" i="14"/>
  <c r="AC7" i="14" s="1"/>
  <c r="AC8" i="14" s="1"/>
  <c r="AC9" i="14" s="1"/>
  <c r="AC10" i="14" s="1"/>
  <c r="AC11" i="11"/>
  <c r="AC13" i="11" s="1"/>
  <c r="AB13" i="11"/>
  <c r="AA19" i="14"/>
  <c r="AA18" i="14"/>
  <c r="AA20" i="14"/>
  <c r="AA49" i="11"/>
  <c r="AA52" i="11" s="1"/>
  <c r="AA21" i="10"/>
  <c r="AA24" i="10" s="1"/>
  <c r="AA26" i="10" s="1"/>
  <c r="AB17" i="11"/>
  <c r="AC17" i="11"/>
  <c r="AA37" i="11"/>
  <c r="AB15" i="10"/>
  <c r="AA27" i="11"/>
  <c r="AC15" i="10"/>
  <c r="AC18" i="11"/>
  <c r="D14" i="11"/>
  <c r="P44" i="11" l="1"/>
  <c r="P46" i="11"/>
  <c r="AA21" i="14"/>
  <c r="AA22" i="14" s="1"/>
  <c r="AB20" i="14"/>
  <c r="AB19" i="14"/>
  <c r="AB18" i="14"/>
  <c r="AC31" i="11"/>
  <c r="AB24" i="14"/>
  <c r="AC17" i="14" s="1"/>
  <c r="AC21" i="11"/>
  <c r="AC22" i="11" s="1"/>
  <c r="AC32" i="11" s="1"/>
  <c r="AB22" i="11"/>
  <c r="AB32" i="11" s="1"/>
  <c r="AB33" i="11" s="1"/>
  <c r="AB49" i="11"/>
  <c r="AB52" i="11" s="1"/>
  <c r="D8" i="18"/>
  <c r="AC21" i="10"/>
  <c r="AC24" i="10" s="1"/>
  <c r="AC26" i="10" s="1"/>
  <c r="AB21" i="10"/>
  <c r="AB24" i="10" s="1"/>
  <c r="AB26" i="10" s="1"/>
  <c r="D16" i="11"/>
  <c r="D12" i="14"/>
  <c r="E7" i="14" s="1"/>
  <c r="E11" i="11"/>
  <c r="Q41" i="11" l="1"/>
  <c r="P11" i="18"/>
  <c r="AB21" i="14"/>
  <c r="AB22" i="14" s="1"/>
  <c r="AA26" i="14"/>
  <c r="AC33" i="11"/>
  <c r="AB26" i="14"/>
  <c r="AC19" i="14"/>
  <c r="AC18" i="14"/>
  <c r="AC20" i="14"/>
  <c r="AC49" i="11"/>
  <c r="AC52" i="11" s="1"/>
  <c r="AC37" i="11"/>
  <c r="AC38" i="11"/>
  <c r="E9" i="14"/>
  <c r="E10" i="14" s="1"/>
  <c r="AB37" i="11"/>
  <c r="AC27" i="11"/>
  <c r="AC28" i="11"/>
  <c r="AB27" i="11"/>
  <c r="E14" i="11"/>
  <c r="Q43" i="11" l="1"/>
  <c r="Q10" i="9" s="1"/>
  <c r="Q44" i="11"/>
  <c r="AC21" i="14"/>
  <c r="AC22" i="14" s="1"/>
  <c r="E8" i="18"/>
  <c r="E16" i="11"/>
  <c r="E12" i="14"/>
  <c r="F7" i="14" s="1"/>
  <c r="F11" i="11"/>
  <c r="F14" i="11" s="1"/>
  <c r="AC26" i="14" l="1"/>
  <c r="R41" i="11"/>
  <c r="F12" i="14"/>
  <c r="G7" i="14" s="1"/>
  <c r="G9" i="14" s="1"/>
  <c r="G10" i="14" s="1"/>
  <c r="F8" i="18"/>
  <c r="F9" i="14"/>
  <c r="F10" i="14" s="1"/>
  <c r="G11" i="11"/>
  <c r="G14" i="11" s="1"/>
  <c r="G8" i="18" s="1"/>
  <c r="F16" i="11"/>
  <c r="R43" i="11" l="1"/>
  <c r="G12" i="14"/>
  <c r="H7" i="14" s="1"/>
  <c r="H9" i="14" s="1"/>
  <c r="H10" i="14" s="1"/>
  <c r="H11" i="11"/>
  <c r="H14" i="11" s="1"/>
  <c r="G17" i="11"/>
  <c r="G16" i="11"/>
  <c r="R44" i="11" l="1"/>
  <c r="S41" i="11"/>
  <c r="H8" i="18"/>
  <c r="I11" i="11"/>
  <c r="I14" i="11" s="1"/>
  <c r="H12" i="14"/>
  <c r="I7" i="14" s="1"/>
  <c r="H17" i="11"/>
  <c r="H16" i="11"/>
  <c r="S43" i="11" l="1"/>
  <c r="I12" i="14"/>
  <c r="J7" i="14" s="1"/>
  <c r="J9" i="14" s="1"/>
  <c r="J10" i="14" s="1"/>
  <c r="I8" i="18"/>
  <c r="I16" i="11"/>
  <c r="I17" i="11"/>
  <c r="J11" i="11"/>
  <c r="J14" i="11" s="1"/>
  <c r="J8" i="18" s="1"/>
  <c r="I9" i="14"/>
  <c r="I10" i="14" s="1"/>
  <c r="S44" i="11" l="1"/>
  <c r="J12" i="14"/>
  <c r="K7" i="14" s="1"/>
  <c r="K9" i="14" s="1"/>
  <c r="K10" i="14" s="1"/>
  <c r="J16" i="11"/>
  <c r="J17" i="11"/>
  <c r="K11" i="11"/>
  <c r="K14" i="11" s="1"/>
  <c r="K8" i="18" s="1"/>
  <c r="T41" i="11" l="1"/>
  <c r="K12" i="14"/>
  <c r="L7" i="14" s="1"/>
  <c r="L9" i="14" s="1"/>
  <c r="L10" i="14" s="1"/>
  <c r="L11" i="11"/>
  <c r="L14" i="11" s="1"/>
  <c r="K17" i="11"/>
  <c r="K16" i="11"/>
  <c r="T43" i="11" l="1"/>
  <c r="L12" i="14"/>
  <c r="M7" i="14" s="1"/>
  <c r="M9" i="14" s="1"/>
  <c r="M10" i="14" s="1"/>
  <c r="L8" i="18"/>
  <c r="L17" i="11"/>
  <c r="L16" i="11"/>
  <c r="M11" i="11"/>
  <c r="M14" i="11" s="1"/>
  <c r="T44" i="11" l="1"/>
  <c r="M12" i="14"/>
  <c r="N7" i="14" s="1"/>
  <c r="N9" i="14" s="1"/>
  <c r="N10" i="14" s="1"/>
  <c r="M8" i="18"/>
  <c r="N11" i="11"/>
  <c r="N14" i="11" s="1"/>
  <c r="M17" i="11"/>
  <c r="M16" i="11"/>
  <c r="U41" i="11" l="1"/>
  <c r="N12" i="14"/>
  <c r="O7" i="14" s="1"/>
  <c r="O9" i="14" s="1"/>
  <c r="O10" i="14" s="1"/>
  <c r="N8" i="18"/>
  <c r="O11" i="11"/>
  <c r="O14" i="11" s="1"/>
  <c r="O12" i="14" s="1"/>
  <c r="P7" i="14" s="1"/>
  <c r="P9" i="14" s="1"/>
  <c r="P10" i="14" s="1"/>
  <c r="N17" i="11"/>
  <c r="N16" i="11"/>
  <c r="U43" i="11" l="1"/>
  <c r="U44" i="11"/>
  <c r="O8" i="18"/>
  <c r="P11" i="11"/>
  <c r="O17" i="11"/>
  <c r="O16" i="11"/>
  <c r="E9" i="2"/>
  <c r="D22" i="2"/>
  <c r="V41" i="11" l="1"/>
  <c r="P14" i="11"/>
  <c r="P12" i="14" s="1"/>
  <c r="Q7" i="14" s="1"/>
  <c r="Q8" i="14" s="1"/>
  <c r="Q9" i="14" s="1"/>
  <c r="Q10" i="14" s="1"/>
  <c r="C24" i="11"/>
  <c r="E24" i="13"/>
  <c r="F17" i="13" s="1"/>
  <c r="E41" i="2"/>
  <c r="F9" i="2"/>
  <c r="F24" i="13" s="1"/>
  <c r="G17" i="13" s="1"/>
  <c r="D42" i="2"/>
  <c r="E22" i="2"/>
  <c r="V43" i="11" l="1"/>
  <c r="P8" i="18"/>
  <c r="Q11" i="11"/>
  <c r="Q13" i="11" s="1"/>
  <c r="Q6" i="9" s="1"/>
  <c r="Q8" i="9" s="1"/>
  <c r="P16" i="11"/>
  <c r="P18" i="11"/>
  <c r="P17" i="11"/>
  <c r="G18" i="13"/>
  <c r="G20" i="13"/>
  <c r="G19" i="13"/>
  <c r="F18" i="13"/>
  <c r="F20" i="13"/>
  <c r="F19" i="13"/>
  <c r="F41" i="2"/>
  <c r="D11" i="2"/>
  <c r="D19" i="2" s="1"/>
  <c r="D26" i="2"/>
  <c r="D33" i="2" s="1"/>
  <c r="D35" i="2" s="1"/>
  <c r="E42" i="2"/>
  <c r="F22" i="2"/>
  <c r="E11" i="2"/>
  <c r="E19" i="2" s="1"/>
  <c r="G9" i="2"/>
  <c r="G24" i="13" s="1"/>
  <c r="H17" i="13" s="1"/>
  <c r="V44" i="11" l="1"/>
  <c r="W41" i="11"/>
  <c r="F21" i="13"/>
  <c r="F22" i="13" s="1"/>
  <c r="F26" i="13" s="1"/>
  <c r="G21" i="13"/>
  <c r="G22" i="13" s="1"/>
  <c r="G26" i="13" s="1"/>
  <c r="H18" i="13"/>
  <c r="H20" i="13"/>
  <c r="H19" i="13"/>
  <c r="D21" i="11"/>
  <c r="D24" i="11" s="1"/>
  <c r="G41" i="2"/>
  <c r="D37" i="2"/>
  <c r="H9" i="2"/>
  <c r="H24" i="13" s="1"/>
  <c r="F42" i="2"/>
  <c r="G22" i="2"/>
  <c r="C34" i="11"/>
  <c r="D31" i="11" s="1"/>
  <c r="D34" i="11" s="1"/>
  <c r="D10" i="18" s="1"/>
  <c r="E26" i="2"/>
  <c r="E33" i="2" s="1"/>
  <c r="E35" i="2" s="1"/>
  <c r="E37" i="2" s="1"/>
  <c r="F11" i="2"/>
  <c r="F19" i="2" s="1"/>
  <c r="W43" i="11" l="1"/>
  <c r="D24" i="14"/>
  <c r="E17" i="14" s="1"/>
  <c r="E20" i="14" s="1"/>
  <c r="D9" i="18"/>
  <c r="D13" i="18" s="1"/>
  <c r="D16" i="18" s="1"/>
  <c r="D18" i="18" s="1"/>
  <c r="H21" i="13"/>
  <c r="H22" i="13" s="1"/>
  <c r="H26" i="13" s="1"/>
  <c r="E21" i="11"/>
  <c r="E24" i="11" s="1"/>
  <c r="H41" i="2"/>
  <c r="D26" i="11"/>
  <c r="D18" i="14"/>
  <c r="D20" i="14"/>
  <c r="D19" i="14"/>
  <c r="E31" i="11"/>
  <c r="E34" i="11" s="1"/>
  <c r="E10" i="18" s="1"/>
  <c r="D36" i="11"/>
  <c r="H11" i="2"/>
  <c r="H19" i="2" s="1"/>
  <c r="H22" i="2"/>
  <c r="G42" i="2"/>
  <c r="F26" i="2"/>
  <c r="F33" i="2" s="1"/>
  <c r="F35" i="2" s="1"/>
  <c r="F37" i="2" s="1"/>
  <c r="G11" i="2"/>
  <c r="G19" i="2" s="1"/>
  <c r="W44" i="11" l="1"/>
  <c r="E19" i="14"/>
  <c r="E18" i="14"/>
  <c r="E24" i="14"/>
  <c r="F17" i="14" s="1"/>
  <c r="F20" i="14" s="1"/>
  <c r="E9" i="18"/>
  <c r="E13" i="18" s="1"/>
  <c r="E16" i="18" s="1"/>
  <c r="E18" i="18" s="1"/>
  <c r="E26" i="11"/>
  <c r="F19" i="14"/>
  <c r="F21" i="11"/>
  <c r="F24" i="11" s="1"/>
  <c r="D21" i="14"/>
  <c r="D22" i="14" s="1"/>
  <c r="H26" i="2"/>
  <c r="H33" i="2" s="1"/>
  <c r="H35" i="2" s="1"/>
  <c r="H37" i="2" s="1"/>
  <c r="H42" i="2"/>
  <c r="F31" i="11"/>
  <c r="F34" i="11" s="1"/>
  <c r="F10" i="18" s="1"/>
  <c r="E36" i="11"/>
  <c r="G26" i="2"/>
  <c r="G33" i="2" s="1"/>
  <c r="G35" i="2" s="1"/>
  <c r="G37" i="2" s="1"/>
  <c r="E21" i="14" l="1"/>
  <c r="E22" i="14" s="1"/>
  <c r="E26" i="14" s="1"/>
  <c r="F18" i="14"/>
  <c r="F21" i="14" s="1"/>
  <c r="F22" i="14" s="1"/>
  <c r="F26" i="14" s="1"/>
  <c r="X41" i="11"/>
  <c r="F24" i="14"/>
  <c r="G17" i="14" s="1"/>
  <c r="G20" i="14" s="1"/>
  <c r="F9" i="18"/>
  <c r="F13" i="18" s="1"/>
  <c r="F16" i="18" s="1"/>
  <c r="F18" i="18" s="1"/>
  <c r="F26" i="11"/>
  <c r="G21" i="11"/>
  <c r="G24" i="11" s="1"/>
  <c r="G9" i="18" s="1"/>
  <c r="G13" i="18" s="1"/>
  <c r="G16" i="18" s="1"/>
  <c r="G18" i="18" s="1"/>
  <c r="D26" i="14"/>
  <c r="G31" i="11"/>
  <c r="G34" i="11" s="1"/>
  <c r="G10" i="18" s="1"/>
  <c r="F36" i="11"/>
  <c r="X43" i="11" l="1"/>
  <c r="G19" i="14"/>
  <c r="G18" i="14"/>
  <c r="G24" i="14"/>
  <c r="H17" i="14" s="1"/>
  <c r="H19" i="14" s="1"/>
  <c r="G27" i="11"/>
  <c r="G26" i="11"/>
  <c r="H20" i="14"/>
  <c r="H21" i="11"/>
  <c r="H24" i="11" s="1"/>
  <c r="H9" i="18" s="1"/>
  <c r="H31" i="11"/>
  <c r="H34" i="11" s="1"/>
  <c r="H10" i="18" s="1"/>
  <c r="G36" i="11"/>
  <c r="G37" i="11"/>
  <c r="H13" i="18" l="1"/>
  <c r="H16" i="18" s="1"/>
  <c r="H18" i="18" s="1"/>
  <c r="G21" i="14"/>
  <c r="G22" i="14" s="1"/>
  <c r="G26" i="14" s="1"/>
  <c r="H18" i="14"/>
  <c r="H21" i="14" s="1"/>
  <c r="H22" i="14" s="1"/>
  <c r="X44" i="11"/>
  <c r="H24" i="14"/>
  <c r="I17" i="14" s="1"/>
  <c r="I20" i="14" s="1"/>
  <c r="I21" i="11"/>
  <c r="I24" i="11" s="1"/>
  <c r="H26" i="11"/>
  <c r="H27" i="11"/>
  <c r="I31" i="11"/>
  <c r="I34" i="11" s="1"/>
  <c r="I10" i="18" s="1"/>
  <c r="H36" i="11"/>
  <c r="H37" i="11"/>
  <c r="Y41" i="11" l="1"/>
  <c r="I19" i="14"/>
  <c r="I18" i="14"/>
  <c r="I24" i="14"/>
  <c r="J17" i="14" s="1"/>
  <c r="J18" i="14" s="1"/>
  <c r="I9" i="18"/>
  <c r="I13" i="18" s="1"/>
  <c r="I16" i="18" s="1"/>
  <c r="I18" i="18" s="1"/>
  <c r="I26" i="11"/>
  <c r="I27" i="11"/>
  <c r="J21" i="11"/>
  <c r="J24" i="11" s="1"/>
  <c r="J9" i="18" s="1"/>
  <c r="H26" i="14"/>
  <c r="J31" i="11"/>
  <c r="J34" i="11" s="1"/>
  <c r="J10" i="18" s="1"/>
  <c r="I36" i="11"/>
  <c r="I37" i="11"/>
  <c r="J20" i="14" l="1"/>
  <c r="J13" i="18"/>
  <c r="J16" i="18" s="1"/>
  <c r="J18" i="18" s="1"/>
  <c r="I21" i="14"/>
  <c r="I22" i="14" s="1"/>
  <c r="I26" i="14" s="1"/>
  <c r="J19" i="14"/>
  <c r="Y43" i="11"/>
  <c r="J24" i="14"/>
  <c r="K17" i="14" s="1"/>
  <c r="K18" i="14" s="1"/>
  <c r="J21" i="14"/>
  <c r="J22" i="14" s="1"/>
  <c r="J26" i="14" s="1"/>
  <c r="J27" i="11"/>
  <c r="J26" i="11"/>
  <c r="K21" i="11"/>
  <c r="K24" i="11" s="1"/>
  <c r="K9" i="18" s="1"/>
  <c r="K31" i="11"/>
  <c r="K34" i="11" s="1"/>
  <c r="K10" i="18" s="1"/>
  <c r="J37" i="11"/>
  <c r="J36" i="11"/>
  <c r="Y44" i="11" l="1"/>
  <c r="K13" i="18"/>
  <c r="K16" i="18" s="1"/>
  <c r="K18" i="18" s="1"/>
  <c r="K19" i="14"/>
  <c r="K20" i="14"/>
  <c r="K24" i="14"/>
  <c r="L17" i="14" s="1"/>
  <c r="L20" i="14" s="1"/>
  <c r="K26" i="11"/>
  <c r="K27" i="11"/>
  <c r="L21" i="11"/>
  <c r="L24" i="11" s="1"/>
  <c r="L9" i="18" s="1"/>
  <c r="L31" i="11"/>
  <c r="L34" i="11" s="1"/>
  <c r="L10" i="18" s="1"/>
  <c r="K36" i="11"/>
  <c r="K37" i="11"/>
  <c r="L19" i="14" l="1"/>
  <c r="L13" i="18"/>
  <c r="L16" i="18" s="1"/>
  <c r="L18" i="18" s="1"/>
  <c r="K21" i="14"/>
  <c r="K22" i="14" s="1"/>
  <c r="K26" i="14" s="1"/>
  <c r="L18" i="14"/>
  <c r="L21" i="14" s="1"/>
  <c r="L22" i="14" s="1"/>
  <c r="L26" i="14" s="1"/>
  <c r="Z41" i="11"/>
  <c r="L24" i="14"/>
  <c r="M17" i="14" s="1"/>
  <c r="M20" i="14" s="1"/>
  <c r="L27" i="11"/>
  <c r="L26" i="11"/>
  <c r="M21" i="11"/>
  <c r="M24" i="11" s="1"/>
  <c r="M9" i="18" s="1"/>
  <c r="M31" i="11"/>
  <c r="M34" i="11" s="1"/>
  <c r="M10" i="18" s="1"/>
  <c r="L37" i="11"/>
  <c r="L36" i="11"/>
  <c r="M13" i="18" l="1"/>
  <c r="M16" i="18" s="1"/>
  <c r="M18" i="18" s="1"/>
  <c r="Z43" i="11"/>
  <c r="M19" i="14"/>
  <c r="M18" i="14"/>
  <c r="M24" i="14"/>
  <c r="N17" i="14" s="1"/>
  <c r="N19" i="14" s="1"/>
  <c r="M27" i="11"/>
  <c r="M26" i="11"/>
  <c r="N21" i="11"/>
  <c r="N24" i="11" s="1"/>
  <c r="N31" i="11"/>
  <c r="N34" i="11" s="1"/>
  <c r="N10" i="18" s="1"/>
  <c r="M37" i="11"/>
  <c r="M36" i="11"/>
  <c r="Z44" i="11" l="1"/>
  <c r="N20" i="14"/>
  <c r="M21" i="14"/>
  <c r="M22" i="14" s="1"/>
  <c r="M26" i="14" s="1"/>
  <c r="AA41" i="11"/>
  <c r="N18" i="14"/>
  <c r="N21" i="14" s="1"/>
  <c r="N22" i="14" s="1"/>
  <c r="N26" i="14" s="1"/>
  <c r="N24" i="14"/>
  <c r="O17" i="14" s="1"/>
  <c r="O20" i="14" s="1"/>
  <c r="N9" i="18"/>
  <c r="N13" i="18" s="1"/>
  <c r="N16" i="18" s="1"/>
  <c r="N18" i="18" s="1"/>
  <c r="N27" i="11"/>
  <c r="N26" i="11"/>
  <c r="O21" i="11"/>
  <c r="O24" i="11" s="1"/>
  <c r="O9" i="18" s="1"/>
  <c r="O31" i="11"/>
  <c r="O34" i="11" s="1"/>
  <c r="O10" i="18" s="1"/>
  <c r="N37" i="11"/>
  <c r="N36" i="11"/>
  <c r="O13" i="18" l="1"/>
  <c r="O16" i="18" s="1"/>
  <c r="O18" i="18" s="1"/>
  <c r="AA43" i="11"/>
  <c r="AA44" i="11"/>
  <c r="O19" i="14"/>
  <c r="O18" i="14"/>
  <c r="O24" i="14"/>
  <c r="P17" i="14" s="1"/>
  <c r="P20" i="14" s="1"/>
  <c r="O21" i="14"/>
  <c r="O22" i="14" s="1"/>
  <c r="O26" i="14" s="1"/>
  <c r="O27" i="11"/>
  <c r="O26" i="11"/>
  <c r="P21" i="11"/>
  <c r="P24" i="11" s="1"/>
  <c r="P9" i="18" s="1"/>
  <c r="P31" i="11"/>
  <c r="P34" i="11" s="1"/>
  <c r="O36" i="11"/>
  <c r="O37" i="11"/>
  <c r="P19" i="14" l="1"/>
  <c r="P18" i="14"/>
  <c r="P21" i="14" s="1"/>
  <c r="P22" i="14" s="1"/>
  <c r="P26" i="14" s="1"/>
  <c r="P10" i="18"/>
  <c r="Q31" i="11"/>
  <c r="P13" i="18"/>
  <c r="P16" i="18" s="1"/>
  <c r="P18" i="18" s="1"/>
  <c r="AB41" i="11"/>
  <c r="P26" i="11"/>
  <c r="P28" i="11"/>
  <c r="Q21" i="11"/>
  <c r="Q22" i="11" s="1"/>
  <c r="Q32" i="11" s="1"/>
  <c r="Q33" i="11" s="1"/>
  <c r="Q11" i="9" s="1"/>
  <c r="Q14" i="9" s="1"/>
  <c r="P27" i="11"/>
  <c r="P24" i="14"/>
  <c r="Q17" i="14" s="1"/>
  <c r="Q20" i="14" s="1"/>
  <c r="P36" i="11"/>
  <c r="P38" i="11"/>
  <c r="P37" i="11"/>
  <c r="AB43" i="11" l="1"/>
  <c r="AB44" i="11"/>
  <c r="Q16" i="9"/>
  <c r="Q23" i="9" s="1"/>
  <c r="Q19" i="14"/>
  <c r="Q18" i="14"/>
  <c r="Q21" i="14" l="1"/>
  <c r="Q22" i="14" s="1"/>
  <c r="Q27" i="9"/>
  <c r="Q28" i="9" s="1"/>
  <c r="AC41" i="11"/>
  <c r="Q26" i="14"/>
  <c r="AC43" i="11" l="1"/>
  <c r="AC44" i="11" l="1"/>
  <c r="Q31" i="9"/>
  <c r="AC18" i="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Chris Cordone</author>
  </authors>
  <commentList>
    <comment ref="B10" authorId="0" shapeId="0" xr:uid="{0EAF7329-534D-4504-929F-EE8033855BC5}">
      <text>
        <r>
          <rPr>
            <b/>
            <sz val="9"/>
            <color indexed="81"/>
            <rFont val="Tahoma"/>
            <family val="2"/>
          </rPr>
          <t>Chris Cordone:</t>
        </r>
        <r>
          <rPr>
            <sz val="9"/>
            <color indexed="81"/>
            <rFont val="Tahoma"/>
            <family val="2"/>
          </rPr>
          <t xml:space="preserve">
We can calculate this using BASE analysis if we know the ending AR, which we usually do.  Ideally we would know the actual cash disbursements from the internal reporting.</t>
        </r>
      </text>
    </comment>
    <comment ref="B15" authorId="0" shapeId="0" xr:uid="{9039BA78-7D3F-4E3B-A3FC-D13FCEACE1D0}">
      <text>
        <r>
          <rPr>
            <b/>
            <sz val="9"/>
            <color indexed="81"/>
            <rFont val="Tahoma"/>
            <family val="2"/>
          </rPr>
          <t>Chris Cordone:</t>
        </r>
        <r>
          <rPr>
            <sz val="9"/>
            <color indexed="81"/>
            <rFont val="Tahoma"/>
            <family val="2"/>
          </rPr>
          <t xml:space="preserve">
We can calculate this amount if we know the ending inventory from the period, as we do typically for historicals.  This purchases total will also feed the Acc Pay below.  Ideally, we would have access to the full reporting and can trace actual cash purchases.</t>
        </r>
      </text>
    </comment>
    <comment ref="B16" authorId="0" shapeId="0" xr:uid="{F101BC79-DB94-4B2E-B24F-EFA4807A0F4E}">
      <text>
        <r>
          <rPr>
            <b/>
            <sz val="9"/>
            <color indexed="81"/>
            <rFont val="Tahoma"/>
            <family val="2"/>
          </rPr>
          <t>Chris Cordone:</t>
        </r>
        <r>
          <rPr>
            <sz val="9"/>
            <color indexed="81"/>
            <rFont val="Tahoma"/>
            <family val="2"/>
          </rPr>
          <t xml:space="preserve">
From the IS, be sure not to include depreciation or amort.</t>
        </r>
      </text>
    </comment>
    <comment ref="B21" authorId="0" shapeId="0" xr:uid="{64FEA1D9-1552-4DD9-8515-11EAA1153DAC}">
      <text>
        <r>
          <rPr>
            <b/>
            <sz val="9"/>
            <color indexed="81"/>
            <rFont val="Tahoma"/>
            <family val="2"/>
          </rPr>
          <t>Chris Cordone:</t>
        </r>
        <r>
          <rPr>
            <sz val="9"/>
            <color indexed="81"/>
            <rFont val="Tahoma"/>
            <family val="2"/>
          </rPr>
          <t xml:space="preserve">
This comes from the Inventory schedule above, unless we have access to the reporting that tells us how much was purchased from trade creditors.</t>
        </r>
      </text>
    </comment>
    <comment ref="B22" authorId="0" shapeId="0" xr:uid="{1953D288-0A13-44EE-9666-19A9D04F7E95}">
      <text>
        <r>
          <rPr>
            <b/>
            <sz val="9"/>
            <color indexed="81"/>
            <rFont val="Tahoma"/>
            <family val="2"/>
          </rPr>
          <t>Chris Cordone:</t>
        </r>
        <r>
          <rPr>
            <sz val="9"/>
            <color indexed="81"/>
            <rFont val="Tahoma"/>
            <family val="2"/>
          </rPr>
          <t xml:space="preserve">
This can be calculated if we know the ending accounts payable from the BS, which we usually do.  The purchases of inventory or materials will need to come from the inventory calc above.  If, however, we have the full reporting, we can look up what actual cash disbursements to trade creditors were for the period.</t>
        </r>
      </text>
    </comment>
    <comment ref="B27" authorId="0" shapeId="0" xr:uid="{93E2C12F-5449-436B-A0DB-B9FB56864F4D}">
      <text>
        <r>
          <rPr>
            <b/>
            <sz val="9"/>
            <color indexed="81"/>
            <rFont val="Tahoma"/>
            <family val="2"/>
          </rPr>
          <t>Chris Cordone:</t>
        </r>
        <r>
          <rPr>
            <sz val="9"/>
            <color indexed="81"/>
            <rFont val="Tahoma"/>
            <family val="2"/>
          </rPr>
          <t xml:space="preserve">
From the IS</t>
        </r>
      </text>
    </comment>
    <comment ref="B28" authorId="0" shapeId="0" xr:uid="{39CB3CEF-DC4A-40A5-97AB-93012A031031}">
      <text>
        <r>
          <rPr>
            <b/>
            <sz val="9"/>
            <color indexed="81"/>
            <rFont val="Tahoma"/>
            <family val="2"/>
          </rPr>
          <t>Chris Cordone:</t>
        </r>
        <r>
          <rPr>
            <sz val="9"/>
            <color indexed="81"/>
            <rFont val="Tahoma"/>
            <family val="2"/>
          </rPr>
          <t xml:space="preserve">
This can be deduced by using the ending Acc Wages from the balance sheet.  Ideally, we would like to have access to a detailed wage report that shows what the monthly or weekly payroll looks like.  This is most helpful as payroll is paid only in cash.</t>
        </r>
      </text>
    </comment>
    <comment ref="B33" authorId="0" shapeId="0" xr:uid="{8F08AA39-25F6-4F56-AA21-CDDCA1E872BC}">
      <text>
        <r>
          <rPr>
            <b/>
            <sz val="9"/>
            <color indexed="81"/>
            <rFont val="Tahoma"/>
            <family val="2"/>
          </rPr>
          <t>Chris Cordone:</t>
        </r>
        <r>
          <rPr>
            <sz val="9"/>
            <color indexed="81"/>
            <rFont val="Tahoma"/>
            <family val="2"/>
          </rPr>
          <t xml:space="preserve">
From the IS, other operating expenses.  Make sure to exclude the D&amp;A if any</t>
        </r>
      </text>
    </comment>
    <comment ref="B34" authorId="0" shapeId="0" xr:uid="{7B75C9CB-792F-43EC-B84F-CCA649EB1B44}">
      <text>
        <r>
          <rPr>
            <b/>
            <sz val="9"/>
            <color indexed="81"/>
            <rFont val="Tahoma"/>
            <family val="2"/>
          </rPr>
          <t>Chris Cordone:</t>
        </r>
        <r>
          <rPr>
            <sz val="9"/>
            <color indexed="81"/>
            <rFont val="Tahoma"/>
            <family val="2"/>
          </rPr>
          <t xml:space="preserve">
This can be deduced by using the ending Acc Liabilities from the balance sheet.  Ideally, we would like to have access to a detailed report that shows what the disbursements actually are.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Chris Cordone</author>
  </authors>
  <commentList>
    <comment ref="B14" authorId="0" shapeId="0" xr:uid="{4E532B65-D466-4575-B97A-8BA61119F740}">
      <text>
        <r>
          <rPr>
            <b/>
            <sz val="9"/>
            <color indexed="81"/>
            <rFont val="Tahoma"/>
            <family val="2"/>
          </rPr>
          <t>Chris Cordone:</t>
        </r>
        <r>
          <rPr>
            <sz val="9"/>
            <color indexed="81"/>
            <rFont val="Tahoma"/>
            <family val="2"/>
          </rPr>
          <t xml:space="preserve">
This calculation will help us make an assumption for the weekly rollforward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Chris Cordone</author>
  </authors>
  <commentList>
    <comment ref="Q13" authorId="0" shapeId="0" xr:uid="{AF2155F4-C859-438F-A5AB-0873618D28B9}">
      <text>
        <r>
          <rPr>
            <b/>
            <sz val="9"/>
            <color indexed="81"/>
            <rFont val="Tahoma"/>
            <family val="2"/>
          </rPr>
          <t>Chris Cordone:</t>
        </r>
        <r>
          <rPr>
            <sz val="9"/>
            <color indexed="81"/>
            <rFont val="Tahoma"/>
            <family val="2"/>
          </rPr>
          <t xml:space="preserve">
Step 2)Once ending AR is calculated, solve for this.</t>
        </r>
      </text>
    </comment>
    <comment ref="C14" authorId="0" shapeId="0" xr:uid="{6C900760-0541-4B50-B06B-503EFF3693D1}">
      <text>
        <r>
          <rPr>
            <b/>
            <sz val="9"/>
            <color indexed="81"/>
            <rFont val="Tahoma"/>
            <family val="2"/>
          </rPr>
          <t>Chris Cordone:</t>
        </r>
        <r>
          <rPr>
            <sz val="9"/>
            <color indexed="81"/>
            <rFont val="Tahoma"/>
            <family val="2"/>
          </rPr>
          <t xml:space="preserve">
In this case, the ending of the previous week happens to be the month end date, so we can get this data from our balance sheet. In any other case, we would have to track down the ending balance amount on the week end date.</t>
        </r>
      </text>
    </comment>
    <comment ref="P14" authorId="0" shapeId="0" xr:uid="{0D1B7089-F592-4DEF-A47A-30BEDA65862B}">
      <text>
        <r>
          <rPr>
            <b/>
            <sz val="9"/>
            <color indexed="81"/>
            <rFont val="Tahoma"/>
            <family val="2"/>
          </rPr>
          <t>Chris Cordone:</t>
        </r>
        <r>
          <rPr>
            <sz val="9"/>
            <color indexed="81"/>
            <rFont val="Tahoma"/>
            <family val="2"/>
          </rPr>
          <t xml:space="preserve">
If we are building the 13WCF for the first time, we will need a starting point for the balance sheet data.  We will need balance sheet data as of the previous week end which would most likely come from management. We have provided that on the "Weekly BS" tab. 
</t>
        </r>
      </text>
    </comment>
    <comment ref="Q14" authorId="0" shapeId="0" xr:uid="{B943BADB-F5E1-4821-A882-C698C70AF014}">
      <text>
        <r>
          <rPr>
            <b/>
            <sz val="9"/>
            <color indexed="81"/>
            <rFont val="Tahoma"/>
            <family val="2"/>
          </rPr>
          <t>Chris Cordone:</t>
        </r>
        <r>
          <rPr>
            <sz val="9"/>
            <color indexed="81"/>
            <rFont val="Tahoma"/>
            <family val="2"/>
          </rPr>
          <t xml:space="preserve">
Step 1)Solve for this using assumption for AR days</t>
        </r>
      </text>
    </comment>
    <comment ref="Q22" authorId="0" shapeId="0" xr:uid="{29CE2997-AC60-4DD0-855E-0B290307DA77}">
      <text>
        <r>
          <rPr>
            <b/>
            <sz val="9"/>
            <color indexed="81"/>
            <rFont val="Tahoma"/>
            <family val="2"/>
          </rPr>
          <t>Chris Cordone:</t>
        </r>
        <r>
          <rPr>
            <sz val="9"/>
            <color indexed="81"/>
            <rFont val="Tahoma"/>
            <family val="2"/>
          </rPr>
          <t xml:space="preserve">
2)Solve for Purchases of Materials, which will lead to your Accounts Payable analysis</t>
        </r>
      </text>
    </comment>
    <comment ref="Q23" authorId="0" shapeId="0" xr:uid="{A95F9BC5-3FC2-42C7-89EC-FF403128C67A}">
      <text>
        <r>
          <rPr>
            <b/>
            <sz val="9"/>
            <color indexed="81"/>
            <rFont val="Tahoma"/>
            <family val="2"/>
          </rPr>
          <t>Chris Cordone:</t>
        </r>
        <r>
          <rPr>
            <sz val="9"/>
            <color indexed="81"/>
            <rFont val="Tahoma"/>
            <family val="2"/>
          </rPr>
          <t xml:space="preserve">
This comes from weekly  IS -- only considering materials not labor</t>
        </r>
      </text>
    </comment>
    <comment ref="C24" authorId="0" shapeId="0" xr:uid="{FE08DA97-112A-4D14-99E7-11C416E8D72C}">
      <text>
        <r>
          <rPr>
            <b/>
            <sz val="9"/>
            <color indexed="81"/>
            <rFont val="Tahoma"/>
            <family val="2"/>
          </rPr>
          <t>Chris Cordone:</t>
        </r>
        <r>
          <rPr>
            <sz val="9"/>
            <color indexed="81"/>
            <rFont val="Tahoma"/>
            <family val="2"/>
          </rPr>
          <t xml:space="preserve">
In this case, the ending of the previous week happens to be the month end date, so we can get this data from our balance sheet. In any other case, we would have to track down the ending balance amount on the week end date.</t>
        </r>
      </text>
    </comment>
    <comment ref="P24" authorId="0" shapeId="0" xr:uid="{944CD5BF-BE8B-4C3C-A452-D6C7FD8CD9E2}">
      <text>
        <r>
          <rPr>
            <b/>
            <sz val="9"/>
            <color indexed="81"/>
            <rFont val="Tahoma"/>
            <family val="2"/>
          </rPr>
          <t>Chris Cordone:</t>
        </r>
        <r>
          <rPr>
            <sz val="9"/>
            <color indexed="81"/>
            <rFont val="Tahoma"/>
            <family val="2"/>
          </rPr>
          <t xml:space="preserve">
If we are building the 13WCF for the first time, we will need a starting point for the balance sheet data.  We will need balance sheet data as of the previous week end which would most likely come from management. We have provided that on the "Weekly BS" tab. 
</t>
        </r>
      </text>
    </comment>
    <comment ref="Q24" authorId="0" shapeId="0" xr:uid="{320693BB-2713-404D-900A-786A21556315}">
      <text>
        <r>
          <rPr>
            <b/>
            <sz val="9"/>
            <color indexed="81"/>
            <rFont val="Tahoma"/>
            <family val="2"/>
          </rPr>
          <t>Chris Cordone:</t>
        </r>
        <r>
          <rPr>
            <sz val="9"/>
            <color indexed="81"/>
            <rFont val="Tahoma"/>
            <family val="2"/>
          </rPr>
          <t xml:space="preserve">
1)Solve for ending Inventory using Days Outstanding assumption</t>
        </r>
      </text>
    </comment>
    <comment ref="Q32" authorId="0" shapeId="0" xr:uid="{E8ED3A64-A1CC-401E-8538-3999832A6758}">
      <text>
        <r>
          <rPr>
            <b/>
            <sz val="9"/>
            <color indexed="81"/>
            <rFont val="Tahoma"/>
            <family val="2"/>
          </rPr>
          <t>Chris Cordone:</t>
        </r>
        <r>
          <rPr>
            <sz val="9"/>
            <color indexed="81"/>
            <rFont val="Tahoma"/>
            <family val="2"/>
          </rPr>
          <t xml:space="preserve">
1)This comes from Inventory calc above</t>
        </r>
      </text>
    </comment>
    <comment ref="Q33" authorId="0" shapeId="0" xr:uid="{C5BDD556-551D-413B-8581-9F9817F0CE33}">
      <text>
        <r>
          <rPr>
            <b/>
            <sz val="9"/>
            <color indexed="81"/>
            <rFont val="Tahoma"/>
            <family val="2"/>
          </rPr>
          <t>Chris Cordone:</t>
        </r>
        <r>
          <rPr>
            <sz val="9"/>
            <color indexed="81"/>
            <rFont val="Tahoma"/>
            <family val="2"/>
          </rPr>
          <t xml:space="preserve">
3) Solve for supplier payments</t>
        </r>
      </text>
    </comment>
    <comment ref="C34" authorId="0" shapeId="0" xr:uid="{C0DCE8AB-508C-4B27-8E19-5EE3D29346FB}">
      <text>
        <r>
          <rPr>
            <b/>
            <sz val="9"/>
            <color indexed="81"/>
            <rFont val="Tahoma"/>
            <family val="2"/>
          </rPr>
          <t>Chris Cordone:</t>
        </r>
        <r>
          <rPr>
            <sz val="9"/>
            <color indexed="81"/>
            <rFont val="Tahoma"/>
            <family val="2"/>
          </rPr>
          <t xml:space="preserve">
In this case, the ending of the previous week happens to be the month end date, so we can get this data from our balance sheet. In any other case, we would have to track down the ending balance amount on the week end date.</t>
        </r>
      </text>
    </comment>
    <comment ref="P34" authorId="0" shapeId="0" xr:uid="{C3B5B090-72D4-4C2C-9F18-44BBA125A879}">
      <text>
        <r>
          <rPr>
            <b/>
            <sz val="9"/>
            <color indexed="81"/>
            <rFont val="Tahoma"/>
            <family val="2"/>
          </rPr>
          <t>Chris Cordone:</t>
        </r>
        <r>
          <rPr>
            <sz val="9"/>
            <color indexed="81"/>
            <rFont val="Tahoma"/>
            <family val="2"/>
          </rPr>
          <t xml:space="preserve">
If we are building the 13WCF for the first time, we will need a starting point for the balance sheet data.  We will need balance sheet data as of the previous week end which would most likely come from management. We have provided that on the "Weekly BS" tab. 
</t>
        </r>
      </text>
    </comment>
    <comment ref="Q34" authorId="0" shapeId="0" xr:uid="{79EFB0D7-5294-4D5E-8FEB-802F7712A770}">
      <text>
        <r>
          <rPr>
            <b/>
            <sz val="9"/>
            <color indexed="81"/>
            <rFont val="Tahoma"/>
            <family val="2"/>
          </rPr>
          <t>Chris Cordone:</t>
        </r>
        <r>
          <rPr>
            <sz val="9"/>
            <color indexed="81"/>
            <rFont val="Tahoma"/>
            <family val="2"/>
          </rPr>
          <t xml:space="preserve">
2)Solve using days payables assumption below</t>
        </r>
      </text>
    </comment>
    <comment ref="Q43" authorId="0" shapeId="0" xr:uid="{94FEF620-AA34-4409-AD9E-810B0B3E5BF6}">
      <text>
        <r>
          <rPr>
            <b/>
            <sz val="9"/>
            <color indexed="81"/>
            <rFont val="Tahoma"/>
            <family val="2"/>
          </rPr>
          <t>Chris Cordone:</t>
        </r>
        <r>
          <rPr>
            <sz val="9"/>
            <color indexed="81"/>
            <rFont val="Tahoma"/>
            <family val="2"/>
          </rPr>
          <t xml:space="preserve">
Use the assumption below</t>
        </r>
      </text>
    </comment>
    <comment ref="C44" authorId="0" shapeId="0" xr:uid="{A32D2F10-4EF6-475A-BF6B-7D864CC24E3B}">
      <text>
        <r>
          <rPr>
            <b/>
            <sz val="9"/>
            <color indexed="81"/>
            <rFont val="Tahoma"/>
            <family val="2"/>
          </rPr>
          <t>Chris Cordone:</t>
        </r>
        <r>
          <rPr>
            <sz val="9"/>
            <color indexed="81"/>
            <rFont val="Tahoma"/>
            <family val="2"/>
          </rPr>
          <t xml:space="preserve">
In this case, the ending of the previous week happens to be the month end date, so we can get this data from our balance sheet. In any other case, we would have to track down the ending balance amount on the week end date.</t>
        </r>
      </text>
    </comment>
    <comment ref="P44" authorId="0" shapeId="0" xr:uid="{BA45F6FC-A489-4194-90AF-BB0249D71454}">
      <text>
        <r>
          <rPr>
            <b/>
            <sz val="9"/>
            <color indexed="81"/>
            <rFont val="Tahoma"/>
            <family val="2"/>
          </rPr>
          <t>Chris Cordone:</t>
        </r>
        <r>
          <rPr>
            <sz val="9"/>
            <color indexed="81"/>
            <rFont val="Tahoma"/>
            <family val="2"/>
          </rPr>
          <t xml:space="preserve">
If we are building the 13WCF for the first time, we will need a starting point for the balance sheet data.  We will need balance sheet data as of the previous week end which would most likely come from management. We have provided that on the "Weekly BS" tab. 
</t>
        </r>
      </text>
    </comment>
    <comment ref="Q50" authorId="0" shapeId="0" xr:uid="{98EC800E-228B-4B40-B0EE-BD63C1EA7524}">
      <text>
        <r>
          <rPr>
            <b/>
            <sz val="9"/>
            <color indexed="81"/>
            <rFont val="Tahoma"/>
            <family val="2"/>
          </rPr>
          <t>Chris Cordone:</t>
        </r>
        <r>
          <rPr>
            <sz val="9"/>
            <color indexed="81"/>
            <rFont val="Tahoma"/>
            <family val="2"/>
          </rPr>
          <t xml:space="preserve">
From the "Other" operating expense on IS</t>
        </r>
      </text>
    </comment>
    <comment ref="C52" authorId="0" shapeId="0" xr:uid="{2175C83A-8202-4230-8288-CBF32B508E84}">
      <text>
        <r>
          <rPr>
            <b/>
            <sz val="9"/>
            <color indexed="81"/>
            <rFont val="Tahoma"/>
            <family val="2"/>
          </rPr>
          <t>Chris Cordone:</t>
        </r>
        <r>
          <rPr>
            <sz val="9"/>
            <color indexed="81"/>
            <rFont val="Tahoma"/>
            <family val="2"/>
          </rPr>
          <t xml:space="preserve">
In this case, the ending of the previous week happens to be the month end date, so we can get this data from our balance sheet. In any other case, we would have to track down the ending balance amount on the week end date.</t>
        </r>
      </text>
    </comment>
    <comment ref="P52" authorId="0" shapeId="0" xr:uid="{A84DA485-A2F4-4BCC-B9B1-6FB858EF205B}">
      <text>
        <r>
          <rPr>
            <b/>
            <sz val="9"/>
            <color indexed="81"/>
            <rFont val="Tahoma"/>
            <family val="2"/>
          </rPr>
          <t>Chris Cordone:</t>
        </r>
        <r>
          <rPr>
            <sz val="9"/>
            <color indexed="81"/>
            <rFont val="Tahoma"/>
            <family val="2"/>
          </rPr>
          <t xml:space="preserve">
If we are building the 13WCF for the first time, we will need a starting point for the balance sheet data.  We will need balance sheet data as of the previous week end which would most likely come from management. We have provided that on the "Weekly BS" tab. 
</t>
        </r>
      </text>
    </comment>
    <comment ref="C59" authorId="0" shapeId="0" xr:uid="{51A421C7-CF47-435D-B0F4-BDA000F13155}">
      <text>
        <r>
          <rPr>
            <b/>
            <sz val="9"/>
            <color indexed="81"/>
            <rFont val="Tahoma"/>
            <family val="2"/>
          </rPr>
          <t>Chris Cordone:</t>
        </r>
        <r>
          <rPr>
            <sz val="9"/>
            <color indexed="81"/>
            <rFont val="Tahoma"/>
            <family val="2"/>
          </rPr>
          <t xml:space="preserve">
In this case, the ending of the previous week happens to be the month end date, so we can get this data from our balance sheet. In any other case, we would have to track down the ending balance amount on the week end date.</t>
        </r>
      </text>
    </comment>
    <comment ref="P59" authorId="0" shapeId="0" xr:uid="{71B07F1C-7CE8-4DB8-A6A1-A6544F1699DC}">
      <text>
        <r>
          <rPr>
            <b/>
            <sz val="9"/>
            <color indexed="81"/>
            <rFont val="Tahoma"/>
            <family val="2"/>
          </rPr>
          <t>Chris Cordone:</t>
        </r>
        <r>
          <rPr>
            <sz val="9"/>
            <color indexed="81"/>
            <rFont val="Tahoma"/>
            <family val="2"/>
          </rPr>
          <t xml:space="preserve">
If we are building the 13WCF for the first time, we will need a starting point for the balance sheet data.  We will need balance sheet data as of the previous week end which would most likely come from management. We have provided that on the "Weekly BS" tab.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Chris Cordone</author>
  </authors>
  <commentList>
    <comment ref="P28" authorId="0" shapeId="0" xr:uid="{95ED4BAE-EEB1-4D17-AD74-5D1347833ADD}">
      <text>
        <r>
          <rPr>
            <b/>
            <sz val="9"/>
            <color indexed="81"/>
            <rFont val="Tahoma"/>
            <family val="2"/>
          </rPr>
          <t>Chris Cordone:</t>
        </r>
        <r>
          <rPr>
            <sz val="9"/>
            <color indexed="81"/>
            <rFont val="Tahoma"/>
            <family val="2"/>
          </rPr>
          <t xml:space="preserve">
Get from Weekly BS</t>
        </r>
      </text>
    </comment>
    <comment ref="Q31" authorId="0" shapeId="0" xr:uid="{715C531B-206A-4802-96CD-A0B596DB1107}">
      <text>
        <r>
          <rPr>
            <b/>
            <sz val="9"/>
            <color indexed="81"/>
            <rFont val="Tahoma"/>
            <family val="2"/>
          </rPr>
          <t>Chris Cordone:</t>
        </r>
        <r>
          <rPr>
            <sz val="9"/>
            <color indexed="81"/>
            <rFont val="Tahoma"/>
            <family val="2"/>
          </rPr>
          <t xml:space="preserve">
Need to ensure we never go below the $20,000 required</t>
        </r>
      </text>
    </comment>
    <comment ref="Q39" authorId="0" shapeId="0" xr:uid="{17C42421-6D9C-44ED-9658-839C1E0457B7}">
      <text>
        <r>
          <rPr>
            <b/>
            <sz val="9"/>
            <color indexed="81"/>
            <rFont val="Tahoma"/>
            <family val="2"/>
          </rPr>
          <t>Chris Cordone:</t>
        </r>
        <r>
          <rPr>
            <sz val="9"/>
            <color indexed="81"/>
            <rFont val="Tahoma"/>
            <family val="2"/>
          </rPr>
          <t xml:space="preserve">
Cannot borrow more than allowed under facility, which is $100,000</t>
        </r>
      </text>
    </comment>
    <comment ref="Q43" authorId="0" shapeId="0" xr:uid="{4CBCF6FD-2DE5-4107-97E9-FAD293C56236}">
      <text>
        <r>
          <rPr>
            <b/>
            <sz val="9"/>
            <color indexed="81"/>
            <rFont val="Tahoma"/>
            <family val="2"/>
          </rPr>
          <t>Chris Cordone:</t>
        </r>
        <r>
          <rPr>
            <sz val="9"/>
            <color indexed="81"/>
            <rFont val="Tahoma"/>
            <family val="2"/>
          </rPr>
          <t xml:space="preserve">
This  is how much room there is to borrow under the facility based on the beginning of the year balance on the revolver</t>
        </r>
      </text>
    </comment>
    <comment ref="Q46" authorId="0" shapeId="0" xr:uid="{DBBE4B94-28B6-44C6-8F07-BFD9CEAFE646}">
      <text>
        <r>
          <rPr>
            <b/>
            <sz val="9"/>
            <color indexed="81"/>
            <rFont val="Tahoma"/>
            <family val="2"/>
          </rPr>
          <t>Chris Cordone:</t>
        </r>
        <r>
          <rPr>
            <sz val="9"/>
            <color indexed="81"/>
            <rFont val="Tahoma"/>
            <family val="2"/>
          </rPr>
          <t xml:space="preserve">
This should be positive here as it will add to beginning balance. It should also be greater than 0 as we are only considering the increases to revolver here. Also, cannot be greater than what is available under the current facility.</t>
        </r>
      </text>
    </comment>
    <comment ref="Q47" authorId="0" shapeId="0" xr:uid="{59AD96C7-9921-4207-8ED8-A87D5FD931CC}">
      <text>
        <r>
          <rPr>
            <b/>
            <sz val="9"/>
            <color indexed="81"/>
            <rFont val="Tahoma"/>
            <family val="2"/>
          </rPr>
          <t>Chris Cordone:</t>
        </r>
        <r>
          <rPr>
            <sz val="9"/>
            <color indexed="81"/>
            <rFont val="Tahoma"/>
            <family val="2"/>
          </rPr>
          <t xml:space="preserve">
If surplus cash is positive, we will repay the revolver, so if surplus cash is negative, there should be 0 here. Also, no matter how much surplus cash is available, we cannot repay more than we owe.</t>
        </r>
      </text>
    </comment>
    <comment ref="Q49" authorId="0" shapeId="0" xr:uid="{27F52236-0B5D-4B1D-9F0A-4086EB67D6C7}">
      <text>
        <r>
          <rPr>
            <b/>
            <sz val="9"/>
            <color indexed="81"/>
            <rFont val="Tahoma"/>
            <family val="2"/>
          </rPr>
          <t>Chris Cordone:</t>
        </r>
        <r>
          <rPr>
            <sz val="9"/>
            <color indexed="81"/>
            <rFont val="Tahoma"/>
            <family val="2"/>
          </rPr>
          <t xml:space="preserve">
This is the difference between what is needed and what is available under current facility. We also only care if the gap is negative.</t>
        </r>
      </text>
    </comment>
    <comment ref="Q53" authorId="0" shapeId="0" xr:uid="{5986511F-BB69-42AB-91E4-2C70299746AC}">
      <text>
        <r>
          <rPr>
            <b/>
            <sz val="9"/>
            <color indexed="81"/>
            <rFont val="Tahoma"/>
            <family val="2"/>
          </rPr>
          <t>Chris Cordone:</t>
        </r>
        <r>
          <rPr>
            <sz val="9"/>
            <color indexed="81"/>
            <rFont val="Tahoma"/>
            <family val="2"/>
          </rPr>
          <t xml:space="preserve">
Term Loan B is non-amortizing so we do not have to worry about this changing</t>
        </r>
      </text>
    </comment>
    <comment ref="Q55" authorId="0" shapeId="0" xr:uid="{EF91D1C5-915A-4DCC-9886-9CDE59D4EE2D}">
      <text>
        <r>
          <rPr>
            <b/>
            <sz val="9"/>
            <color indexed="81"/>
            <rFont val="Tahoma"/>
            <family val="2"/>
          </rPr>
          <t>Chris Cordone:</t>
        </r>
        <r>
          <rPr>
            <sz val="9"/>
            <color indexed="81"/>
            <rFont val="Tahoma"/>
            <family val="2"/>
          </rPr>
          <t xml:space="preserve">
Calculating interest on BOY balance to avoid circularity</t>
        </r>
      </text>
    </comment>
    <comment ref="Q56" authorId="0" shapeId="0" xr:uid="{40C02549-1C18-4248-ADB0-4C6A0947C69F}">
      <text>
        <r>
          <rPr>
            <b/>
            <sz val="9"/>
            <color indexed="81"/>
            <rFont val="Tahoma"/>
            <family val="2"/>
          </rPr>
          <t>Chris Cordone:</t>
        </r>
        <r>
          <rPr>
            <sz val="9"/>
            <color indexed="81"/>
            <rFont val="Tahoma"/>
            <family val="2"/>
          </rPr>
          <t xml:space="preserve">
Since this is a bullet loan, the interest should be calculated on the BOY balance</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Chris Cordone</author>
  </authors>
  <commentList>
    <comment ref="B18" authorId="0" shapeId="0" xr:uid="{0F9E866F-8E8C-4BFE-BF43-921326334A9D}">
      <text>
        <r>
          <rPr>
            <b/>
            <sz val="9"/>
            <color indexed="81"/>
            <rFont val="Tahoma"/>
            <family val="2"/>
          </rPr>
          <t>Chris Cordone:</t>
        </r>
        <r>
          <rPr>
            <sz val="9"/>
            <color indexed="81"/>
            <rFont val="Tahoma"/>
            <family val="2"/>
          </rPr>
          <t xml:space="preserve">
 vs Operating Cash Flow from '13 Week Cash Flow' worksheet</t>
        </r>
      </text>
    </comment>
  </commentList>
</comments>
</file>

<file path=xl/sharedStrings.xml><?xml version="1.0" encoding="utf-8"?>
<sst xmlns="http://schemas.openxmlformats.org/spreadsheetml/2006/main" count="519" uniqueCount="228">
  <si>
    <t>Features</t>
  </si>
  <si>
    <t>◦</t>
  </si>
  <si>
    <t>Model Details</t>
  </si>
  <si>
    <t>Company name</t>
  </si>
  <si>
    <t>Date</t>
  </si>
  <si>
    <t>Currency</t>
  </si>
  <si>
    <t>Units</t>
  </si>
  <si>
    <t>Analyst Name</t>
  </si>
  <si>
    <t>Circular Switch</t>
  </si>
  <si>
    <t>USD</t>
  </si>
  <si>
    <t>Firstname Lastname</t>
  </si>
  <si>
    <t>This document is for training purposes only. Financial Edge accepts no responsibility or liability for any other purpose or usage.</t>
  </si>
  <si>
    <t>Formatting</t>
  </si>
  <si>
    <t>Input</t>
  </si>
  <si>
    <t>Hard coded</t>
  </si>
  <si>
    <t>Formulas</t>
  </si>
  <si>
    <t>Workout Information</t>
  </si>
  <si>
    <t>Tab Structure</t>
  </si>
  <si>
    <t>www.fe.training</t>
  </si>
  <si>
    <t>13-Week Cash Flow Model</t>
  </si>
  <si>
    <t>Monthly data</t>
  </si>
  <si>
    <t>Weekly data and assumptions</t>
  </si>
  <si>
    <t>EBITDA reconciliation</t>
  </si>
  <si>
    <t>Cash and equivalents</t>
  </si>
  <si>
    <t>Accounts receivable</t>
  </si>
  <si>
    <t>Inventory</t>
  </si>
  <si>
    <t>Prepaid and other current assets</t>
  </si>
  <si>
    <t>Total current</t>
  </si>
  <si>
    <t>Pension assets</t>
  </si>
  <si>
    <t>Other assets</t>
  </si>
  <si>
    <t>Investments in subsidiaries</t>
  </si>
  <si>
    <t>Operating lease right of use assets</t>
  </si>
  <si>
    <t>Net PPE</t>
  </si>
  <si>
    <t>Total assets</t>
  </si>
  <si>
    <t>Assets</t>
  </si>
  <si>
    <t>Liabilities</t>
  </si>
  <si>
    <t>Accounts payable</t>
  </si>
  <si>
    <t>Salaries and wages</t>
  </si>
  <si>
    <t>Accrued liabilities</t>
  </si>
  <si>
    <t>Non-pension post-retirement benefits</t>
  </si>
  <si>
    <t>Total current liabilities</t>
  </si>
  <si>
    <t>Long term debt</t>
  </si>
  <si>
    <t>Pension liabilities</t>
  </si>
  <si>
    <t>Operating lease liability</t>
  </si>
  <si>
    <t>Other long term liabilities</t>
  </si>
  <si>
    <t>Total liabilities</t>
  </si>
  <si>
    <t>Stockholders' equity</t>
  </si>
  <si>
    <t>Total liabilities and stockholders' equity</t>
  </si>
  <si>
    <t>Revolver</t>
  </si>
  <si>
    <t>Balance check:</t>
  </si>
  <si>
    <t>Revenues</t>
  </si>
  <si>
    <t>Cost of sales</t>
  </si>
  <si>
    <t>Gross profit</t>
  </si>
  <si>
    <t>SG&amp;A expenses</t>
  </si>
  <si>
    <t>Operating income</t>
  </si>
  <si>
    <t>Other income</t>
  </si>
  <si>
    <t>Earnings before interest and taxes</t>
  </si>
  <si>
    <t>Total revenue receipts</t>
  </si>
  <si>
    <t>Payroll and benefits</t>
  </si>
  <si>
    <t>Payments to trade</t>
  </si>
  <si>
    <t>Capex</t>
  </si>
  <si>
    <t>Operating cash flow</t>
  </si>
  <si>
    <t>Revolver interest</t>
  </si>
  <si>
    <t>Term loan interest</t>
  </si>
  <si>
    <t>Total non-operating cash flows</t>
  </si>
  <si>
    <t>Other operating disbursements</t>
  </si>
  <si>
    <t>Net cash flow</t>
  </si>
  <si>
    <t>Beginning cash</t>
  </si>
  <si>
    <t>Ending cash</t>
  </si>
  <si>
    <t>Cash balance</t>
  </si>
  <si>
    <t>Cash flows</t>
  </si>
  <si>
    <t>Borrowing base</t>
  </si>
  <si>
    <t>Gross Availability</t>
  </si>
  <si>
    <t>Hist.</t>
  </si>
  <si>
    <t>Proj.</t>
  </si>
  <si>
    <t>AR Days Outstanding  (30 days)</t>
  </si>
  <si>
    <t>Payroll</t>
  </si>
  <si>
    <t>Materials and other</t>
  </si>
  <si>
    <t>Other</t>
  </si>
  <si>
    <t>Amortization of intangibles</t>
  </si>
  <si>
    <t>Sales growth (monthly)</t>
  </si>
  <si>
    <t>COGS - payroll and benefits % sales</t>
  </si>
  <si>
    <t>SGA - payroll and benefits % sales</t>
  </si>
  <si>
    <t>Depreciation</t>
  </si>
  <si>
    <t>PPE BASE</t>
  </si>
  <si>
    <t>Beginning</t>
  </si>
  <si>
    <t>Ending</t>
  </si>
  <si>
    <t>COGS - materials</t>
  </si>
  <si>
    <t>COGS - depreciation % previous net PPE</t>
  </si>
  <si>
    <t>SGA - other</t>
  </si>
  <si>
    <t>Prepaid expenses % of sales (annualized)</t>
  </si>
  <si>
    <t>Salaries and wages as % of sales (annualized)</t>
  </si>
  <si>
    <t>Accrued liabilities as % of sales (annualized)</t>
  </si>
  <si>
    <t>Purchases of intangibles</t>
  </si>
  <si>
    <t>Working capital</t>
  </si>
  <si>
    <t>Long term assets and liabilities</t>
  </si>
  <si>
    <t>Days from current month in current week</t>
  </si>
  <si>
    <t>Days from previous month in current week</t>
  </si>
  <si>
    <t>Accounts Receivable</t>
  </si>
  <si>
    <t>Beginning balance</t>
  </si>
  <si>
    <t>Plus: Sales</t>
  </si>
  <si>
    <t>Accounts Payable</t>
  </si>
  <si>
    <t xml:space="preserve">Ending accounts receivable, net </t>
  </si>
  <si>
    <t>Plus: Purchases of materials</t>
  </si>
  <si>
    <t>Ending accounts payable</t>
  </si>
  <si>
    <t>Ending inventory</t>
  </si>
  <si>
    <t>Salaries and wages payable</t>
  </si>
  <si>
    <t>Plus: Accrued wages and salaries</t>
  </si>
  <si>
    <t>Plus: Accrued expenses</t>
  </si>
  <si>
    <t>Less: Cash operating disbursements</t>
  </si>
  <si>
    <t>Ending accrued liabilities</t>
  </si>
  <si>
    <t>Daily calculation for Weekly IS</t>
  </si>
  <si>
    <t>Ending balance</t>
  </si>
  <si>
    <t>Calendar Month end</t>
  </si>
  <si>
    <t>Ending wages payable</t>
  </si>
  <si>
    <t>DSO</t>
  </si>
  <si>
    <t>DSO trailing 4 weeks</t>
  </si>
  <si>
    <t>DSO trailing 13 weeks (quarter)</t>
  </si>
  <si>
    <t>Inventory days trailing 4 weeks</t>
  </si>
  <si>
    <t>Inventory days trailing 13 weeks (quarter)</t>
  </si>
  <si>
    <t>Inventory days (materials only, no labor)</t>
  </si>
  <si>
    <t>Inventory Days (materials only, no labor)</t>
  </si>
  <si>
    <t>Payable days</t>
  </si>
  <si>
    <t>Payable days trailing 13 weeks (quarter)</t>
  </si>
  <si>
    <t>Payable days trailing 4 weeks</t>
  </si>
  <si>
    <t>Wages and salaries paid as a % of beginning balance</t>
  </si>
  <si>
    <t>Monthly capex % of sales (annualized)</t>
  </si>
  <si>
    <t>Daily capex</t>
  </si>
  <si>
    <t>LoC (Letters of Credit outstanding)</t>
  </si>
  <si>
    <t>Minimum cash required</t>
  </si>
  <si>
    <t>Accounts Receivable, beginning balance</t>
  </si>
  <si>
    <t>Less: over 90 days</t>
  </si>
  <si>
    <t>Eligible rate</t>
  </si>
  <si>
    <t>Accounts Receivable, ending on BS</t>
  </si>
  <si>
    <t>Over 90 days % beginning AR</t>
  </si>
  <si>
    <t>Inventory, beginning balance</t>
  </si>
  <si>
    <t>Inventory, ending balance on BS</t>
  </si>
  <si>
    <t>Total Revolver Base Availability</t>
  </si>
  <si>
    <t>Ending availability</t>
  </si>
  <si>
    <t>Maximum availability</t>
  </si>
  <si>
    <t>Accounts Payable days (materials only, no labor)</t>
  </si>
  <si>
    <t>Eligible base rate and amount</t>
  </si>
  <si>
    <t>75% of eligible inventory</t>
  </si>
  <si>
    <t>Current gross availability</t>
  </si>
  <si>
    <t>Revolver, beginning balance</t>
  </si>
  <si>
    <t>Revolver Availability</t>
  </si>
  <si>
    <t>Revolver, ending balance</t>
  </si>
  <si>
    <t>Incremental availability in period</t>
  </si>
  <si>
    <t>Surplus cash (Revolver draw needed)</t>
  </si>
  <si>
    <t>Revolver paid back in period</t>
  </si>
  <si>
    <t>Funding gap (beyond revolver)</t>
  </si>
  <si>
    <t>Revolver balance</t>
  </si>
  <si>
    <t>Term loan balance</t>
  </si>
  <si>
    <t>Interest rate on revolver*</t>
  </si>
  <si>
    <t>Interest rate on term loan*</t>
  </si>
  <si>
    <t>PPE</t>
  </si>
  <si>
    <t>Beginning PPE</t>
  </si>
  <si>
    <t>Plus: Capex</t>
  </si>
  <si>
    <t>Less: Depreciation</t>
  </si>
  <si>
    <t>Ending PPE</t>
  </si>
  <si>
    <t>Assets:</t>
  </si>
  <si>
    <t>Cash</t>
  </si>
  <si>
    <t>Accrued Liabilities</t>
  </si>
  <si>
    <t>Salaries and Wages Payable</t>
  </si>
  <si>
    <t>Legal and Advisory Fees</t>
  </si>
  <si>
    <t>Assumptions</t>
  </si>
  <si>
    <t>Revolver draw in period</t>
  </si>
  <si>
    <t>*Interest is paid Jan, April, July, October</t>
  </si>
  <si>
    <t>Ending cash on balance sheet</t>
  </si>
  <si>
    <t>EBITDA</t>
  </si>
  <si>
    <t>Change in Accounts Receivable</t>
  </si>
  <si>
    <t>Change in Inventory</t>
  </si>
  <si>
    <t>Change in Accounts Payable</t>
  </si>
  <si>
    <t>Changes in Salaries and Wages Payable</t>
  </si>
  <si>
    <t>Changes in Accrued Liabilities</t>
  </si>
  <si>
    <t>Cash flow from operations</t>
  </si>
  <si>
    <t>Operating Cash flow</t>
  </si>
  <si>
    <t>Check</t>
  </si>
  <si>
    <t>Total cash receipts</t>
  </si>
  <si>
    <t>Debt and Interest Calcs</t>
  </si>
  <si>
    <t>Depreciation as % of previous net PPE</t>
  </si>
  <si>
    <t>n/a</t>
  </si>
  <si>
    <t>Thousands</t>
  </si>
  <si>
    <t>Revolver base calculations</t>
  </si>
  <si>
    <t>OWC BASE Analysis/Rollforwards</t>
  </si>
  <si>
    <t>None</t>
  </si>
  <si>
    <t>Other SGA</t>
  </si>
  <si>
    <t>Term Loan</t>
  </si>
  <si>
    <t>Smithy Glass and Ceramic, Inc.</t>
  </si>
  <si>
    <t>75% of eligible Accounts Receivable</t>
  </si>
  <si>
    <t>See previous point on cash operating disbursements maybe not only relating to accruals</t>
  </si>
  <si>
    <t>Hist</t>
  </si>
  <si>
    <t>Please leave these rows so that our monthly income statement will match our weekly income statement by rows.</t>
  </si>
  <si>
    <t>"</t>
  </si>
  <si>
    <t>This section will not be filled in</t>
  </si>
  <si>
    <t>Monthly Balance Sheet</t>
  </si>
  <si>
    <t>Monthly Income Statement</t>
  </si>
  <si>
    <t>Hist. and projected monthly IS provided by management</t>
  </si>
  <si>
    <t>Monthly Rollforward</t>
  </si>
  <si>
    <t>Historical reconciliation of critical BS accounts</t>
  </si>
  <si>
    <t xml:space="preserve">Monthly Revolver Base </t>
  </si>
  <si>
    <t>Historical calculation of borrowing base for revolver</t>
  </si>
  <si>
    <t>Weekly BS Summary</t>
  </si>
  <si>
    <t>Summary of projected critical BS accounts affected by rollovers</t>
  </si>
  <si>
    <t>Weekly IS</t>
  </si>
  <si>
    <t>Projected IS converted from monthly projections</t>
  </si>
  <si>
    <t>Weekly Rollforward</t>
  </si>
  <si>
    <t>Projected reconciliation of critical BS accounts</t>
  </si>
  <si>
    <t>Weekly Revolver Base</t>
  </si>
  <si>
    <t>Calculation of weekly borrowing base under revolver</t>
  </si>
  <si>
    <t>13 Week Cash Flow</t>
  </si>
  <si>
    <t>Presentation of all disbursements and receipts, cash and debt balances</t>
  </si>
  <si>
    <t>EBITDA rec</t>
  </si>
  <si>
    <t>Historical BS using financial provided by management</t>
  </si>
  <si>
    <t>Reconciliation of EBITDA from CFS</t>
  </si>
  <si>
    <t>Less: Capex</t>
  </si>
  <si>
    <t>Total operating disbursements</t>
  </si>
  <si>
    <t>Total eligible accounts receivable</t>
  </si>
  <si>
    <t>Obsolete inventory % beginning</t>
  </si>
  <si>
    <t>Promotional inventory % beginning</t>
  </si>
  <si>
    <t>Work in process inventory % beginning</t>
  </si>
  <si>
    <t>Total eligible inventory</t>
  </si>
  <si>
    <t>Less: COGS - materials</t>
  </si>
  <si>
    <t>Less: Supplier payments</t>
  </si>
  <si>
    <t>Less: Wages and salaries paid</t>
  </si>
  <si>
    <t>Less: Customer receipts</t>
  </si>
  <si>
    <t>Less: COGS (materials only)</t>
  </si>
  <si>
    <t>Purchased intangible assets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</si>
</sst>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1" formatCode="_(* #,##0_);_(* \(#,##0\);_(* &quot;-&quot;_);_(@_)"/>
    <numFmt numFmtId="43" formatCode="_(* #,##0.00_);_(* \(#,##0.00\);_(* &quot;-&quot;??_);_(@_)"/>
    <numFmt numFmtId="164" formatCode="_(&quot;£&quot;* #,##0_);_(&quot;£&quot;* \(#,##0\);_(&quot;£&quot;* &quot;-&quot;_);_(@_)"/>
    <numFmt numFmtId="165" formatCode="_(&quot;£&quot;* #,##0.00_);_(&quot;£&quot;* \(#,##0.00\);_(&quot;£&quot;* &quot;-&quot;??_);_(@_)"/>
    <numFmt numFmtId="166" formatCode="[$-409]d\-mmm\-yy;@"/>
    <numFmt numFmtId="167" formatCode="#,##0.0_);\(#,##0.0\)\,0.0_);@_)"/>
    <numFmt numFmtId="168" formatCode="#,##0.0\ \x_);\(#,##0.0\ \x\);"/>
    <numFmt numFmtId="169" formatCode="0.0%_);\(0.0%\)"/>
    <numFmt numFmtId="170" formatCode="#,##0.0_);\(#,##0.0\);0.0_);@_)"/>
    <numFmt numFmtId="171" formatCode="#,##0.0\ \x_);\(#,##0.0\ \x\)"/>
    <numFmt numFmtId="172" formatCode="#,##0.00_);\(#,##0.00\);0.00_);@_)"/>
    <numFmt numFmtId="173" formatCode="0.0%"/>
    <numFmt numFmtId="174" formatCode="[$-409]dd\-mmm\-yy;@"/>
    <numFmt numFmtId="175" formatCode="0.0"/>
  </numFmts>
  <fonts count="37" x14ac:knownFonts="1">
    <font>
      <sz val="11"/>
      <name val="Calibri"/>
      <family val="2"/>
      <scheme val="minor"/>
    </font>
    <font>
      <sz val="18"/>
      <color theme="1"/>
      <name val="Calibri"/>
      <family val="2"/>
      <scheme val="minor"/>
    </font>
    <font>
      <sz val="11"/>
      <color theme="1" tint="0.249977111117893"/>
      <name val="Calibri"/>
      <family val="2"/>
      <scheme val="minor"/>
    </font>
    <font>
      <sz val="11"/>
      <color rgb="FF085393"/>
      <name val="Calibri"/>
      <family val="2"/>
      <scheme val="minor"/>
    </font>
    <font>
      <b/>
      <sz val="12"/>
      <color rgb="FF163260"/>
      <name val="Calibri"/>
      <family val="2"/>
      <scheme val="minor"/>
    </font>
    <font>
      <sz val="10"/>
      <color rgb="FF085393"/>
      <name val="Calibri"/>
      <family val="2"/>
      <scheme val="minor"/>
    </font>
    <font>
      <u/>
      <sz val="11"/>
      <color rgb="FF085393"/>
      <name val="Calibri"/>
      <family val="2"/>
      <scheme val="minor"/>
    </font>
    <font>
      <u/>
      <sz val="14"/>
      <color rgb="FF085393"/>
      <name val="Calibri"/>
      <family val="2"/>
      <scheme val="minor"/>
    </font>
    <font>
      <sz val="16"/>
      <color theme="0"/>
      <name val="Calibri Light"/>
      <family val="2"/>
      <scheme val="maj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8"/>
      <color rgb="FF006100"/>
      <name val="Calibri"/>
      <family val="2"/>
      <scheme val="minor"/>
    </font>
    <font>
      <sz val="18"/>
      <color rgb="FF9C0006"/>
      <name val="Calibri"/>
      <family val="2"/>
      <scheme val="minor"/>
    </font>
    <font>
      <sz val="18"/>
      <color rgb="FF9C6500"/>
      <name val="Calibri"/>
      <family val="2"/>
      <scheme val="minor"/>
    </font>
    <font>
      <sz val="18"/>
      <color rgb="FF3F3F76"/>
      <name val="Calibri"/>
      <family val="2"/>
      <scheme val="minor"/>
    </font>
    <font>
      <b/>
      <sz val="18"/>
      <color rgb="FF3F3F3F"/>
      <name val="Calibri"/>
      <family val="2"/>
      <scheme val="minor"/>
    </font>
    <font>
      <b/>
      <sz val="18"/>
      <color rgb="FFFA7D00"/>
      <name val="Calibri"/>
      <family val="2"/>
      <scheme val="minor"/>
    </font>
    <font>
      <sz val="18"/>
      <color rgb="FFFA7D00"/>
      <name val="Calibri"/>
      <family val="2"/>
      <scheme val="minor"/>
    </font>
    <font>
      <b/>
      <sz val="18"/>
      <color theme="0"/>
      <name val="Calibri"/>
      <family val="2"/>
      <scheme val="minor"/>
    </font>
    <font>
      <sz val="18"/>
      <color rgb="FFFF0000"/>
      <name val="Calibri"/>
      <family val="2"/>
      <scheme val="minor"/>
    </font>
    <font>
      <i/>
      <sz val="18"/>
      <color rgb="FF7F7F7F"/>
      <name val="Calibri"/>
      <family val="2"/>
      <scheme val="minor"/>
    </font>
    <font>
      <b/>
      <sz val="18"/>
      <color theme="1"/>
      <name val="Calibri"/>
      <family val="2"/>
      <scheme val="minor"/>
    </font>
    <font>
      <sz val="18"/>
      <color theme="0"/>
      <name val="Calibri"/>
      <family val="2"/>
      <scheme val="minor"/>
    </font>
    <font>
      <sz val="14"/>
      <color theme="0"/>
      <name val="Calibri"/>
      <family val="2"/>
      <scheme val="minor"/>
    </font>
    <font>
      <sz val="11"/>
      <color theme="0"/>
      <name val="Calibri"/>
      <family val="2"/>
      <scheme val="minor"/>
    </font>
    <font>
      <sz val="9"/>
      <color theme="0"/>
      <name val="Calibri"/>
      <family val="2"/>
      <scheme val="minor"/>
    </font>
    <font>
      <sz val="11"/>
      <name val="Calibri"/>
      <family val="2"/>
      <scheme val="minor"/>
    </font>
    <font>
      <sz val="11"/>
      <color rgb="FF0000FF"/>
      <name val="Calibri"/>
      <family val="2"/>
      <scheme val="minor"/>
    </font>
    <font>
      <sz val="22"/>
      <color theme="0"/>
      <name val="Calibri Light"/>
      <family val="2"/>
      <scheme val="major"/>
    </font>
    <font>
      <u/>
      <sz val="11"/>
      <color theme="10"/>
      <name val="Calibri"/>
      <family val="2"/>
      <scheme val="minor"/>
    </font>
    <font>
      <sz val="9"/>
      <color indexed="81"/>
      <name val="Tahoma"/>
      <family val="2"/>
    </font>
    <font>
      <b/>
      <sz val="9"/>
      <color indexed="81"/>
      <name val="Tahoma"/>
      <family val="2"/>
    </font>
    <font>
      <i/>
      <sz val="11"/>
      <name val="Calibri"/>
      <family val="2"/>
      <scheme val="minor"/>
    </font>
    <font>
      <b/>
      <sz val="11"/>
      <name val="Calibri"/>
      <family val="2"/>
      <scheme val="minor"/>
    </font>
  </fonts>
  <fills count="39">
    <fill>
      <patternFill patternType="none"/>
    </fill>
    <fill>
      <patternFill patternType="gray125"/>
    </fill>
    <fill>
      <patternFill patternType="solid">
        <fgColor rgb="FF163260"/>
        <bgColor indexed="64"/>
      </patternFill>
    </fill>
    <fill>
      <patternFill patternType="solid">
        <fgColor rgb="FF085393"/>
        <bgColor indexed="64"/>
      </patternFill>
    </fill>
    <fill>
      <patternFill patternType="solid">
        <fgColor theme="0"/>
        <bgColor indexed="64"/>
      </patternFill>
    </fill>
    <fill>
      <patternFill patternType="solid">
        <fgColor theme="0" tint="-4.9989318521683403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BEEFD"/>
        <bgColor indexed="64"/>
      </patternFill>
    </fill>
    <fill>
      <patternFill patternType="solid">
        <fgColor rgb="FFFFC000"/>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BBDEFB"/>
      </left>
      <right style="thin">
        <color rgb="FFBBDEFB"/>
      </right>
      <top style="thin">
        <color rgb="FFBBDEFB"/>
      </top>
      <bottom style="thin">
        <color rgb="FFBBDEFB"/>
      </bottom>
      <diagonal/>
    </border>
    <border>
      <left/>
      <right/>
      <top/>
      <bottom style="medium">
        <color theme="0" tint="-0.14996795556505021"/>
      </bottom>
      <diagonal/>
    </border>
    <border>
      <left/>
      <right/>
      <top style="thin">
        <color indexed="64"/>
      </top>
      <bottom/>
      <diagonal/>
    </border>
    <border>
      <left style="thin">
        <color indexed="64"/>
      </left>
      <right style="thin">
        <color indexed="64"/>
      </right>
      <top style="thin">
        <color indexed="64"/>
      </top>
      <bottom style="thin">
        <color indexed="64"/>
      </bottom>
      <diagonal/>
    </border>
  </borders>
  <cellStyleXfs count="60">
    <xf numFmtId="170" fontId="0" fillId="0" borderId="0"/>
    <xf numFmtId="0" fontId="6" fillId="0" borderId="0" applyNumberFormat="0" applyFill="0" applyBorder="0" applyAlignment="0" applyProtection="0"/>
    <xf numFmtId="43" fontId="9" fillId="0" borderId="0" applyFont="0" applyFill="0" applyBorder="0" applyAlignment="0" applyProtection="0"/>
    <xf numFmtId="41" fontId="9" fillId="0" borderId="0" applyFont="0" applyFill="0" applyBorder="0" applyAlignment="0" applyProtection="0"/>
    <xf numFmtId="165" fontId="9" fillId="0" borderId="0" applyFont="0" applyFill="0" applyBorder="0" applyAlignment="0" applyProtection="0"/>
    <xf numFmtId="164" fontId="9" fillId="0" borderId="0" applyFont="0" applyFill="0" applyBorder="0" applyAlignment="0" applyProtection="0"/>
    <xf numFmtId="9" fontId="9" fillId="0" borderId="0" applyFont="0" applyFill="0" applyBorder="0" applyAlignment="0" applyProtection="0"/>
    <xf numFmtId="0" fontId="10" fillId="0" borderId="0" applyNumberFormat="0" applyFill="0" applyBorder="0" applyAlignment="0" applyProtection="0"/>
    <xf numFmtId="0" fontId="11" fillId="0" borderId="1" applyNumberFormat="0" applyFill="0" applyAlignment="0" applyProtection="0"/>
    <xf numFmtId="0" fontId="12" fillId="0" borderId="2" applyNumberFormat="0" applyFill="0" applyAlignment="0" applyProtection="0"/>
    <xf numFmtId="0" fontId="13" fillId="0" borderId="3" applyNumberFormat="0" applyFill="0" applyAlignment="0" applyProtection="0"/>
    <xf numFmtId="0" fontId="13" fillId="0" borderId="0" applyNumberFormat="0" applyFill="0" applyBorder="0" applyAlignment="0" applyProtection="0"/>
    <xf numFmtId="0" fontId="14" fillId="6" borderId="0" applyNumberFormat="0" applyBorder="0" applyAlignment="0" applyProtection="0"/>
    <xf numFmtId="0" fontId="15" fillId="7" borderId="0" applyNumberFormat="0" applyBorder="0" applyAlignment="0" applyProtection="0"/>
    <xf numFmtId="0" fontId="16" fillId="8" borderId="0" applyNumberFormat="0" applyBorder="0" applyAlignment="0" applyProtection="0"/>
    <xf numFmtId="0" fontId="17" fillId="9" borderId="4" applyNumberFormat="0" applyAlignment="0" applyProtection="0"/>
    <xf numFmtId="0" fontId="18" fillId="10" borderId="5" applyNumberFormat="0" applyAlignment="0" applyProtection="0"/>
    <xf numFmtId="0" fontId="19" fillId="10" borderId="4" applyNumberFormat="0" applyAlignment="0" applyProtection="0"/>
    <xf numFmtId="0" fontId="20" fillId="0" borderId="6" applyNumberFormat="0" applyFill="0" applyAlignment="0" applyProtection="0"/>
    <xf numFmtId="0" fontId="21" fillId="11" borderId="7" applyNumberFormat="0" applyAlignment="0" applyProtection="0"/>
    <xf numFmtId="0" fontId="22" fillId="0" borderId="0" applyNumberFormat="0" applyFill="0" applyBorder="0" applyAlignment="0" applyProtection="0"/>
    <xf numFmtId="0" fontId="9" fillId="12" borderId="8" applyNumberFormat="0" applyFont="0" applyAlignment="0" applyProtection="0"/>
    <xf numFmtId="0" fontId="23" fillId="0" borderId="0" applyNumberFormat="0" applyFill="0" applyBorder="0" applyAlignment="0" applyProtection="0"/>
    <xf numFmtId="0" fontId="24" fillId="0" borderId="9" applyNumberFormat="0" applyFill="0" applyAlignment="0" applyProtection="0"/>
    <xf numFmtId="0" fontId="25"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5" fillId="16" borderId="0" applyNumberFormat="0" applyBorder="0" applyAlignment="0" applyProtection="0"/>
    <xf numFmtId="0" fontId="25"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5" fillId="20" borderId="0" applyNumberFormat="0" applyBorder="0" applyAlignment="0" applyProtection="0"/>
    <xf numFmtId="0" fontId="25"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5" fillId="24" borderId="0" applyNumberFormat="0" applyBorder="0" applyAlignment="0" applyProtection="0"/>
    <xf numFmtId="0" fontId="25"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5" fillId="28" borderId="0" applyNumberFormat="0" applyBorder="0" applyAlignment="0" applyProtection="0"/>
    <xf numFmtId="0" fontId="25"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5" fillId="32" borderId="0" applyNumberFormat="0" applyBorder="0" applyAlignment="0" applyProtection="0"/>
    <xf numFmtId="0" fontId="25" fillId="33" borderId="0" applyNumberFormat="0" applyBorder="0" applyAlignment="0" applyProtection="0"/>
    <xf numFmtId="0" fontId="1" fillId="34" borderId="0" applyNumberFormat="0" applyBorder="0" applyAlignment="0" applyProtection="0"/>
    <xf numFmtId="0" fontId="1" fillId="35" borderId="0" applyNumberFormat="0" applyBorder="0" applyAlignment="0" applyProtection="0"/>
    <xf numFmtId="0" fontId="25" fillId="36" borderId="0" applyNumberFormat="0" applyBorder="0" applyAlignment="0" applyProtection="0"/>
    <xf numFmtId="0" fontId="31" fillId="2" borderId="0" applyNumberFormat="0">
      <alignment horizontal="left"/>
    </xf>
    <xf numFmtId="0" fontId="8" fillId="3" borderId="0" applyNumberFormat="0" applyAlignment="0">
      <alignment horizontal="left"/>
    </xf>
    <xf numFmtId="0" fontId="4" fillId="0" borderId="0" applyNumberFormat="0" applyFill="0" applyBorder="0">
      <alignment horizontal="left" vertical="center"/>
    </xf>
    <xf numFmtId="0" fontId="2" fillId="5" borderId="0" applyNumberFormat="0" applyFont="0" applyAlignment="0" applyProtection="0">
      <alignment vertical="top"/>
    </xf>
    <xf numFmtId="166" fontId="28" fillId="3" borderId="0">
      <alignment horizontal="center"/>
    </xf>
    <xf numFmtId="167" fontId="27" fillId="2" borderId="0" applyNumberFormat="0" applyBorder="0" applyProtection="0">
      <alignment horizontal="center"/>
    </xf>
    <xf numFmtId="166" fontId="29" fillId="0" borderId="0" applyFont="0" applyFill="0" applyBorder="0" applyAlignment="0" applyProtection="0"/>
    <xf numFmtId="171" fontId="9" fillId="0" borderId="0" applyFont="0" applyFill="0" applyBorder="0" applyAlignment="0" applyProtection="0"/>
    <xf numFmtId="169" fontId="29" fillId="2" borderId="0" applyFont="0" applyFill="0" applyBorder="0" applyAlignment="0" applyProtection="0"/>
    <xf numFmtId="167" fontId="30" fillId="2" borderId="0" applyNumberFormat="0" applyFill="0" applyBorder="0" applyAlignment="0" applyProtection="0"/>
    <xf numFmtId="170" fontId="32" fillId="0" borderId="0" applyNumberFormat="0" applyFill="0" applyBorder="0" applyAlignment="0" applyProtection="0"/>
    <xf numFmtId="168" fontId="30" fillId="37" borderId="10" applyNumberFormat="0">
      <protection locked="0"/>
    </xf>
  </cellStyleXfs>
  <cellXfs count="121">
    <xf numFmtId="170" fontId="0" fillId="0" borderId="0" xfId="0"/>
    <xf numFmtId="170" fontId="2" fillId="5" borderId="0" xfId="51" applyNumberFormat="1" applyFont="1" applyAlignment="1"/>
    <xf numFmtId="170" fontId="2" fillId="5" borderId="0" xfId="51" applyNumberFormat="1" applyFont="1" applyAlignment="1">
      <alignment horizontal="left" vertical="top"/>
    </xf>
    <xf numFmtId="170" fontId="2" fillId="4" borderId="0" xfId="0" applyFont="1" applyFill="1" applyBorder="1"/>
    <xf numFmtId="167" fontId="31" fillId="2" borderId="0" xfId="48" applyNumberFormat="1">
      <alignment horizontal="left"/>
    </xf>
    <xf numFmtId="170" fontId="25" fillId="2" borderId="0" xfId="0" applyFont="1" applyFill="1" applyBorder="1" applyAlignment="1"/>
    <xf numFmtId="170" fontId="26" fillId="3" borderId="0" xfId="0" applyFont="1" applyFill="1" applyBorder="1" applyAlignment="1"/>
    <xf numFmtId="170" fontId="25" fillId="2" borderId="0" xfId="0" applyFont="1" applyFill="1" applyBorder="1" applyAlignment="1">
      <alignment vertical="center"/>
    </xf>
    <xf numFmtId="166" fontId="28" fillId="3" borderId="0" xfId="52">
      <alignment horizontal="center"/>
    </xf>
    <xf numFmtId="167" fontId="27" fillId="2" borderId="0" xfId="53">
      <alignment horizontal="center"/>
    </xf>
    <xf numFmtId="167" fontId="31" fillId="2" borderId="0" xfId="48" applyNumberFormat="1" applyAlignment="1"/>
    <xf numFmtId="167" fontId="8" fillId="3" borderId="0" xfId="49" applyNumberFormat="1" applyAlignment="1"/>
    <xf numFmtId="167" fontId="4" fillId="0" borderId="0" xfId="50" applyNumberFormat="1">
      <alignment horizontal="left" vertical="center"/>
    </xf>
    <xf numFmtId="170" fontId="0" fillId="0" borderId="0" xfId="0"/>
    <xf numFmtId="170" fontId="2" fillId="0" borderId="0" xfId="0" applyFont="1" applyFill="1" applyBorder="1" applyAlignment="1">
      <alignment vertical="top"/>
    </xf>
    <xf numFmtId="170" fontId="2" fillId="0" borderId="0" xfId="0" applyFont="1" applyFill="1" applyBorder="1"/>
    <xf numFmtId="170" fontId="4" fillId="0" borderId="0" xfId="0" applyFont="1" applyFill="1" applyBorder="1" applyAlignment="1">
      <alignment vertical="center"/>
    </xf>
    <xf numFmtId="170" fontId="5" fillId="0" borderId="0" xfId="0" applyFont="1" applyFill="1" applyBorder="1" applyAlignment="1">
      <alignment vertical="center" wrapText="1"/>
    </xf>
    <xf numFmtId="170" fontId="3" fillId="0" borderId="0" xfId="0" applyFont="1" applyFill="1" applyBorder="1" applyAlignment="1">
      <alignment horizontal="center" vertical="top"/>
    </xf>
    <xf numFmtId="170" fontId="0" fillId="0" borderId="0" xfId="0" applyFill="1"/>
    <xf numFmtId="170" fontId="0" fillId="0" borderId="0" xfId="0" applyFill="1" applyBorder="1"/>
    <xf numFmtId="170" fontId="25" fillId="0" borderId="0" xfId="0" applyFont="1" applyFill="1" applyBorder="1" applyAlignment="1"/>
    <xf numFmtId="167" fontId="30" fillId="0" borderId="0" xfId="57" applyFill="1" applyBorder="1" applyAlignment="1">
      <alignment vertical="top"/>
    </xf>
    <xf numFmtId="167" fontId="2" fillId="5" borderId="0" xfId="51" applyNumberFormat="1" applyFont="1" applyBorder="1" applyAlignment="1">
      <alignment horizontal="left" vertical="top"/>
    </xf>
    <xf numFmtId="167" fontId="3" fillId="5" borderId="0" xfId="51" applyNumberFormat="1" applyFont="1" applyBorder="1" applyAlignment="1">
      <alignment horizontal="center" vertical="top"/>
    </xf>
    <xf numFmtId="167" fontId="2" fillId="5" borderId="0" xfId="51" applyNumberFormat="1" applyFont="1" applyBorder="1" applyAlignment="1"/>
    <xf numFmtId="167" fontId="5" fillId="5" borderId="0" xfId="51" applyNumberFormat="1" applyFont="1" applyBorder="1" applyAlignment="1">
      <alignment vertical="center" wrapText="1"/>
    </xf>
    <xf numFmtId="167" fontId="2" fillId="5" borderId="0" xfId="51" applyNumberFormat="1" applyFont="1" applyAlignment="1">
      <alignment vertical="top"/>
    </xf>
    <xf numFmtId="167" fontId="2" fillId="5" borderId="0" xfId="51" applyNumberFormat="1" applyFont="1" applyAlignment="1"/>
    <xf numFmtId="167" fontId="5" fillId="5" borderId="0" xfId="51" applyNumberFormat="1" applyFont="1" applyAlignment="1">
      <alignment vertical="center" wrapText="1"/>
    </xf>
    <xf numFmtId="167" fontId="7" fillId="5" borderId="0" xfId="51" applyNumberFormat="1" applyFont="1" applyAlignment="1">
      <alignment vertical="center" wrapText="1"/>
    </xf>
    <xf numFmtId="167" fontId="30" fillId="37" borderId="10" xfId="59" applyNumberFormat="1">
      <protection locked="0"/>
    </xf>
    <xf numFmtId="167" fontId="2" fillId="0" borderId="0" xfId="51" applyNumberFormat="1" applyFont="1" applyFill="1" applyAlignment="1"/>
    <xf numFmtId="170" fontId="2" fillId="0" borderId="0" xfId="0" applyFont="1" applyFill="1" applyBorder="1" applyAlignment="1"/>
    <xf numFmtId="170" fontId="0" fillId="5" borderId="0" xfId="51" applyNumberFormat="1" applyFont="1" applyAlignment="1"/>
    <xf numFmtId="170" fontId="2" fillId="5" borderId="0" xfId="51" applyNumberFormat="1" applyFont="1" applyAlignment="1">
      <alignment vertical="top"/>
    </xf>
    <xf numFmtId="170" fontId="4" fillId="5" borderId="0" xfId="51" applyNumberFormat="1" applyFont="1" applyAlignment="1">
      <alignment vertical="center"/>
    </xf>
    <xf numFmtId="170" fontId="4" fillId="0" borderId="0" xfId="50" applyNumberFormat="1" applyFill="1">
      <alignment horizontal="left" vertical="center"/>
    </xf>
    <xf numFmtId="170" fontId="0" fillId="5" borderId="0" xfId="51" applyNumberFormat="1" applyFont="1" applyAlignment="1"/>
    <xf numFmtId="170" fontId="3" fillId="5" borderId="0" xfId="51" applyNumberFormat="1" applyFont="1" applyAlignment="1">
      <alignment horizontal="center" vertical="top"/>
    </xf>
    <xf numFmtId="170" fontId="2" fillId="5" borderId="11" xfId="51" applyNumberFormat="1" applyFont="1" applyBorder="1" applyAlignment="1">
      <alignment vertical="top"/>
    </xf>
    <xf numFmtId="170" fontId="3" fillId="5" borderId="11" xfId="51" applyNumberFormat="1" applyFont="1" applyBorder="1" applyAlignment="1">
      <alignment horizontal="center" vertical="top"/>
    </xf>
    <xf numFmtId="170" fontId="2" fillId="5" borderId="11" xfId="51" applyNumberFormat="1" applyFont="1" applyBorder="1" applyAlignment="1"/>
    <xf numFmtId="170" fontId="5" fillId="5" borderId="11" xfId="51" applyNumberFormat="1" applyFont="1" applyBorder="1" applyAlignment="1">
      <alignment vertical="center" wrapText="1"/>
    </xf>
    <xf numFmtId="170" fontId="2" fillId="5" borderId="0" xfId="51" applyNumberFormat="1" applyFont="1" applyAlignment="1">
      <alignment vertical="top" wrapText="1"/>
    </xf>
    <xf numFmtId="170" fontId="3" fillId="5" borderId="0" xfId="51" applyNumberFormat="1" applyFont="1" applyAlignment="1">
      <alignment vertical="top"/>
    </xf>
    <xf numFmtId="170" fontId="0" fillId="0" borderId="0" xfId="0"/>
    <xf numFmtId="170" fontId="0" fillId="0" borderId="0" xfId="0"/>
    <xf numFmtId="170" fontId="0" fillId="0" borderId="0" xfId="0"/>
    <xf numFmtId="170" fontId="30" fillId="0" borderId="0" xfId="57" applyNumberFormat="1" applyFill="1"/>
    <xf numFmtId="170" fontId="30" fillId="0" borderId="0" xfId="57" quotePrefix="1" applyNumberFormat="1" applyFill="1"/>
    <xf numFmtId="170" fontId="0" fillId="0" borderId="0" xfId="0" applyAlignment="1">
      <alignment horizontal="left" indent="1"/>
    </xf>
    <xf numFmtId="170" fontId="0" fillId="0" borderId="12" xfId="0" applyBorder="1"/>
    <xf numFmtId="170" fontId="0" fillId="0" borderId="0" xfId="0" applyBorder="1"/>
    <xf numFmtId="170" fontId="30" fillId="0" borderId="0" xfId="57" applyNumberFormat="1" applyFill="1" applyBorder="1"/>
    <xf numFmtId="170" fontId="0" fillId="0" borderId="0" xfId="0" applyBorder="1" applyAlignment="1">
      <alignment horizontal="left" indent="1"/>
    </xf>
    <xf numFmtId="1" fontId="28" fillId="3" borderId="0" xfId="52" applyNumberFormat="1">
      <alignment horizontal="center"/>
    </xf>
    <xf numFmtId="170" fontId="0" fillId="0" borderId="0" xfId="0" applyBorder="1" applyAlignment="1">
      <alignment horizontal="left"/>
    </xf>
    <xf numFmtId="170" fontId="0" fillId="0" borderId="0" xfId="0" applyAlignment="1">
      <alignment horizontal="left"/>
    </xf>
    <xf numFmtId="170" fontId="0" fillId="0" borderId="12" xfId="0" applyBorder="1" applyAlignment="1">
      <alignment horizontal="left"/>
    </xf>
    <xf numFmtId="170" fontId="0" fillId="0" borderId="0" xfId="0" applyFill="1" applyBorder="1" applyAlignment="1">
      <alignment horizontal="left"/>
    </xf>
    <xf numFmtId="170" fontId="0" fillId="0" borderId="12" xfId="0" applyFill="1" applyBorder="1" applyAlignment="1">
      <alignment horizontal="left"/>
    </xf>
    <xf numFmtId="167" fontId="4" fillId="0" borderId="0" xfId="50" applyNumberFormat="1" applyBorder="1">
      <alignment horizontal="left" vertical="center"/>
    </xf>
    <xf numFmtId="170" fontId="4" fillId="0" borderId="0" xfId="50" applyNumberFormat="1" applyFill="1" applyBorder="1">
      <alignment horizontal="left" vertical="center"/>
    </xf>
    <xf numFmtId="172" fontId="30" fillId="0" borderId="0" xfId="57" applyNumberFormat="1" applyFill="1"/>
    <xf numFmtId="170" fontId="0" fillId="0" borderId="12" xfId="0" applyBorder="1" applyAlignment="1">
      <alignment horizontal="left" indent="1"/>
    </xf>
    <xf numFmtId="170" fontId="0" fillId="0" borderId="0" xfId="0"/>
    <xf numFmtId="173" fontId="0" fillId="0" borderId="0" xfId="0" applyNumberFormat="1"/>
    <xf numFmtId="173" fontId="30" fillId="37" borderId="10" xfId="59" applyNumberFormat="1">
      <protection locked="0"/>
    </xf>
    <xf numFmtId="170" fontId="30" fillId="37" borderId="10" xfId="59" applyNumberFormat="1">
      <protection locked="0"/>
    </xf>
    <xf numFmtId="170" fontId="29" fillId="0" borderId="12" xfId="57" applyNumberFormat="1" applyFont="1" applyFill="1" applyBorder="1"/>
    <xf numFmtId="174" fontId="0" fillId="0" borderId="0" xfId="0" applyNumberFormat="1" applyBorder="1"/>
    <xf numFmtId="166" fontId="0" fillId="0" borderId="0" xfId="0" applyNumberFormat="1" applyBorder="1"/>
    <xf numFmtId="166" fontId="0" fillId="0" borderId="0" xfId="0" applyNumberFormat="1" applyFill="1" applyBorder="1"/>
    <xf numFmtId="170" fontId="0" fillId="0" borderId="0" xfId="0"/>
    <xf numFmtId="166" fontId="30" fillId="0" borderId="0" xfId="57" applyNumberFormat="1" applyFill="1" applyBorder="1"/>
    <xf numFmtId="170" fontId="29" fillId="0" borderId="0" xfId="57" applyNumberFormat="1" applyFont="1" applyFill="1" applyBorder="1"/>
    <xf numFmtId="170" fontId="29" fillId="0" borderId="0" xfId="57" applyNumberFormat="1" applyFont="1" applyFill="1"/>
    <xf numFmtId="169" fontId="30" fillId="37" borderId="10" xfId="56" applyFont="1" applyFill="1" applyBorder="1" applyProtection="1">
      <protection locked="0"/>
    </xf>
    <xf numFmtId="173" fontId="0" fillId="0" borderId="0" xfId="0" applyNumberFormat="1" applyBorder="1"/>
    <xf numFmtId="172" fontId="0" fillId="0" borderId="0" xfId="0" applyNumberFormat="1"/>
    <xf numFmtId="172" fontId="0" fillId="0" borderId="0" xfId="0" applyNumberFormat="1" applyBorder="1"/>
    <xf numFmtId="172" fontId="0" fillId="0" borderId="0" xfId="0" applyNumberFormat="1" applyFill="1" applyBorder="1"/>
    <xf numFmtId="0" fontId="0" fillId="0" borderId="0" xfId="0" applyNumberFormat="1"/>
    <xf numFmtId="175" fontId="0" fillId="0" borderId="0" xfId="0" applyNumberFormat="1"/>
    <xf numFmtId="9" fontId="30" fillId="37" borderId="10" xfId="59" applyNumberFormat="1">
      <protection locked="0"/>
    </xf>
    <xf numFmtId="9" fontId="30" fillId="37" borderId="0" xfId="59" applyNumberFormat="1" applyBorder="1">
      <protection locked="0"/>
    </xf>
    <xf numFmtId="10" fontId="0" fillId="0" borderId="0" xfId="0" applyNumberFormat="1"/>
    <xf numFmtId="10" fontId="30" fillId="37" borderId="10" xfId="59" applyNumberFormat="1">
      <protection locked="0"/>
    </xf>
    <xf numFmtId="170" fontId="0" fillId="0" borderId="0" xfId="0"/>
    <xf numFmtId="170" fontId="0" fillId="5" borderId="0" xfId="51" applyNumberFormat="1" applyFont="1" applyAlignment="1"/>
    <xf numFmtId="170" fontId="29" fillId="0" borderId="13" xfId="57" applyNumberFormat="1" applyFont="1" applyFill="1" applyBorder="1"/>
    <xf numFmtId="170" fontId="0" fillId="0" borderId="13" xfId="0" applyBorder="1"/>
    <xf numFmtId="170" fontId="0" fillId="0" borderId="0" xfId="57" applyNumberFormat="1" applyFont="1" applyFill="1" applyBorder="1"/>
    <xf numFmtId="170" fontId="0" fillId="0" borderId="0" xfId="57" applyNumberFormat="1" applyFont="1" applyFill="1"/>
    <xf numFmtId="170" fontId="35" fillId="0" borderId="0" xfId="0" applyFont="1"/>
    <xf numFmtId="169" fontId="0" fillId="0" borderId="0" xfId="0" applyNumberFormat="1"/>
    <xf numFmtId="169" fontId="0" fillId="0" borderId="0" xfId="0" applyNumberFormat="1" applyAlignment="1">
      <alignment horizontal="right"/>
    </xf>
    <xf numFmtId="170" fontId="0" fillId="0" borderId="0" xfId="0"/>
    <xf numFmtId="170" fontId="0" fillId="0" borderId="0" xfId="0"/>
    <xf numFmtId="170" fontId="36" fillId="0" borderId="0" xfId="0" applyFont="1"/>
    <xf numFmtId="170" fontId="0" fillId="0" borderId="0" xfId="0"/>
    <xf numFmtId="170" fontId="0" fillId="0" borderId="0" xfId="0"/>
    <xf numFmtId="170" fontId="0" fillId="0" borderId="0" xfId="0"/>
    <xf numFmtId="170" fontId="0" fillId="38" borderId="0" xfId="0" applyFill="1" applyBorder="1"/>
    <xf numFmtId="170" fontId="0" fillId="0" borderId="0" xfId="0"/>
    <xf numFmtId="170" fontId="0" fillId="5" borderId="0" xfId="51" applyNumberFormat="1" applyFont="1" applyAlignment="1">
      <alignment horizontal="left"/>
    </xf>
    <xf numFmtId="170" fontId="0" fillId="0" borderId="0" xfId="0" applyAlignment="1">
      <alignment horizontal="centerContinuous" vertical="center"/>
    </xf>
    <xf numFmtId="170" fontId="36" fillId="0" borderId="0" xfId="0" applyFont="1" applyAlignment="1">
      <alignment horizontal="centerContinuous" vertical="center"/>
    </xf>
    <xf numFmtId="170" fontId="36" fillId="0" borderId="0" xfId="0" applyFont="1" applyAlignment="1">
      <alignment horizontal="center"/>
    </xf>
    <xf numFmtId="170" fontId="0" fillId="0" borderId="0" xfId="0"/>
    <xf numFmtId="167" fontId="31" fillId="2" borderId="0" xfId="48" applyNumberFormat="1" applyFill="1" applyAlignment="1">
      <alignment horizontal="center"/>
    </xf>
    <xf numFmtId="170" fontId="0" fillId="0" borderId="0" xfId="0"/>
    <xf numFmtId="167" fontId="2" fillId="5" borderId="0" xfId="51" applyNumberFormat="1" applyFont="1" applyBorder="1" applyAlignment="1">
      <alignment horizontal="left" vertical="top"/>
    </xf>
    <xf numFmtId="167" fontId="31" fillId="3" borderId="0" xfId="49" applyNumberFormat="1" applyFont="1" applyAlignment="1">
      <alignment horizontal="center" vertical="center"/>
    </xf>
    <xf numFmtId="167" fontId="0" fillId="5" borderId="0" xfId="0" applyNumberFormat="1" applyFill="1" applyBorder="1" applyAlignment="1">
      <alignment horizontal="center" vertical="center" wrapText="1"/>
    </xf>
    <xf numFmtId="167" fontId="32" fillId="5" borderId="0" xfId="58" applyNumberFormat="1" applyFill="1" applyBorder="1" applyAlignment="1">
      <alignment horizontal="center" vertical="center" wrapText="1"/>
    </xf>
    <xf numFmtId="170" fontId="0" fillId="5" borderId="0" xfId="51" applyNumberFormat="1" applyFont="1" applyAlignment="1">
      <alignment horizontal="left"/>
    </xf>
    <xf numFmtId="170" fontId="4" fillId="5" borderId="0" xfId="51" applyNumberFormat="1" applyFont="1" applyAlignment="1">
      <alignment horizontal="left" vertical="center"/>
    </xf>
    <xf numFmtId="170" fontId="0" fillId="5" borderId="0" xfId="51" applyNumberFormat="1" applyFont="1" applyAlignment="1"/>
    <xf numFmtId="166" fontId="0" fillId="5" borderId="0" xfId="51" applyNumberFormat="1" applyFont="1" applyAlignment="1">
      <alignment horizontal="left"/>
    </xf>
  </cellXfs>
  <cellStyles count="60">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ckground Fill" xfId="51" xr:uid="{00000000-0005-0000-0000-000018000000}"/>
    <cellStyle name="Bad" xfId="13" builtinId="27" hidden="1"/>
    <cellStyle name="Calculation" xfId="17" builtinId="22" hidden="1"/>
    <cellStyle name="Check Cell" xfId="19" builtinId="23" hidden="1"/>
    <cellStyle name="Column Heading" xfId="53" xr:uid="{00000000-0005-0000-0000-00002D000000}"/>
    <cellStyle name="Comma" xfId="2" builtinId="3" hidden="1"/>
    <cellStyle name="Comma [0]" xfId="3" builtinId="6" hidden="1"/>
    <cellStyle name="Currency" xfId="4" builtinId="4" hidden="1"/>
    <cellStyle name="Currency [0]" xfId="5" builtinId="7" hidden="1"/>
    <cellStyle name="Date" xfId="54" xr:uid="{00000000-0005-0000-0000-000023000000}"/>
    <cellStyle name="Date Heading" xfId="52" xr:uid="{00000000-0005-0000-0000-000024000000}"/>
    <cellStyle name="Explanatory Text" xfId="22" builtinId="53" hidden="1"/>
    <cellStyle name="Good" xfId="12" builtinId="26" hidden="1"/>
    <cellStyle name="Hard Coded Number" xfId="57" xr:uid="{00000000-0005-0000-0000-000027000000}"/>
    <cellStyle name="Heading 1" xfId="8" builtinId="16" hidden="1"/>
    <cellStyle name="Heading 2" xfId="9" builtinId="17" hidden="1"/>
    <cellStyle name="Heading 3" xfId="10" builtinId="18" hidden="1"/>
    <cellStyle name="Heading 4" xfId="11" builtinId="19" hidden="1"/>
    <cellStyle name="Hyperlink" xfId="1" builtinId="8" hidden="1" customBuiltin="1"/>
    <cellStyle name="Hyperlink" xfId="58" builtinId="8"/>
    <cellStyle name="Input" xfId="15" builtinId="20" hidden="1"/>
    <cellStyle name="Input" xfId="59" builtinId="20" customBuiltin="1"/>
    <cellStyle name="Linked Cell" xfId="18" builtinId="24" hidden="1"/>
    <cellStyle name="Multiple" xfId="55" xr:uid="{00000000-0005-0000-0000-000032000000}"/>
    <cellStyle name="Neutral" xfId="14" builtinId="28" hidden="1"/>
    <cellStyle name="Normal" xfId="0" builtinId="0" customBuiltin="1"/>
    <cellStyle name="Note" xfId="21" builtinId="10" hidden="1"/>
    <cellStyle name="Output" xfId="16" builtinId="21" hidden="1"/>
    <cellStyle name="Percent" xfId="6" builtinId="5" hidden="1"/>
    <cellStyle name="Percent" xfId="56" builtinId="5" customBuiltin="1"/>
    <cellStyle name="Primary Title" xfId="48" xr:uid="{00000000-0005-0000-0000-00003A000000}"/>
    <cellStyle name="Secondary Title" xfId="49" xr:uid="{00000000-0005-0000-0000-00003C000000}"/>
    <cellStyle name="Tertiary Title" xfId="50" xr:uid="{00000000-0005-0000-0000-00003D000000}"/>
    <cellStyle name="Title" xfId="7" builtinId="15" hidden="1"/>
    <cellStyle name="Total" xfId="23" builtinId="25" hidden="1"/>
    <cellStyle name="Warning Text" xfId="20" builtinId="11" hidden="1"/>
  </cellStyles>
  <dxfs count="1">
    <dxf>
      <font>
        <color rgb="FF9C0006"/>
      </font>
      <fill>
        <patternFill>
          <bgColor rgb="FFFFC7CE"/>
        </patternFill>
      </fill>
    </dxf>
  </dxfs>
  <tableStyles count="0" defaultTableStyle="TableStyleMedium2" defaultPivotStyle="PivotStyleLight16"/>
  <colors>
    <mruColors>
      <color rgb="FFDBEEFD"/>
      <color rgb="FF163260"/>
      <color rgb="FF085393"/>
      <color rgb="FFBBDEFB"/>
      <color rgb="FFF0F8FE"/>
      <color rgb="FF0000FF"/>
      <color rgb="FFEBF1FB"/>
      <color rgb="FFD3E0F5"/>
      <color rgb="FFC9D9F3"/>
      <color rgb="FFE2F1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7.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4</xdr:col>
      <xdr:colOff>22860</xdr:colOff>
      <xdr:row>0</xdr:row>
      <xdr:rowOff>1021080</xdr:rowOff>
    </xdr:from>
    <xdr:to>
      <xdr:col>9</xdr:col>
      <xdr:colOff>457200</xdr:colOff>
      <xdr:row>0</xdr:row>
      <xdr:rowOff>1547633</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43200" y="1021080"/>
          <a:ext cx="3787140" cy="52274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15</xdr:col>
      <xdr:colOff>2117446</xdr:colOff>
      <xdr:row>0</xdr:row>
      <xdr:rowOff>123820</xdr:rowOff>
    </xdr:from>
    <xdr:to>
      <xdr:col>16</xdr:col>
      <xdr:colOff>197550</xdr:colOff>
      <xdr:row>0</xdr:row>
      <xdr:rowOff>466711</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906866" y="123820"/>
          <a:ext cx="407065" cy="340990"/>
        </a:xfrm>
        <a:prstGeom prst="rect">
          <a:avLst/>
        </a:prstGeom>
      </xdr:spPr>
    </xdr:pic>
    <xdr:clientData/>
  </xdr:twoCellAnchor>
</xdr:wsDr>
</file>

<file path=xl/theme/theme1.xml><?xml version="1.0" encoding="utf-8"?>
<a:theme xmlns:a="http://schemas.openxmlformats.org/drawingml/2006/main" name="FE Training">
  <a:themeElements>
    <a:clrScheme name="Financial Edge">
      <a:dk1>
        <a:srgbClr val="3F3F3F"/>
      </a:dk1>
      <a:lt1>
        <a:sysClr val="window" lastClr="FFFFFF"/>
      </a:lt1>
      <a:dk2>
        <a:srgbClr val="163260"/>
      </a:dk2>
      <a:lt2>
        <a:srgbClr val="F2F2F2"/>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B2B2B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fe.training/" TargetMode="Externa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vmlDrawing" Target="../drawings/vmlDrawing5.vml"/><Relationship Id="rId1" Type="http://schemas.openxmlformats.org/officeDocument/2006/relationships/printerSettings" Target="../printerSettings/printerSettings5.bin"/><Relationship Id="rId4" Type="http://schemas.openxmlformats.org/officeDocument/2006/relationships/comments" Target="../comments1.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vmlDrawing" Target="../drawings/vmlDrawing7.vml"/><Relationship Id="rId1" Type="http://schemas.openxmlformats.org/officeDocument/2006/relationships/printerSettings" Target="../printerSettings/printerSettings6.bin"/><Relationship Id="rId4" Type="http://schemas.openxmlformats.org/officeDocument/2006/relationships/comments" Target="../comments2.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vmlDrawing" Target="../drawings/vmlDrawing11.vml"/><Relationship Id="rId1" Type="http://schemas.openxmlformats.org/officeDocument/2006/relationships/printerSettings" Target="../printerSettings/printerSettings9.bin"/><Relationship Id="rId4" Type="http://schemas.openxmlformats.org/officeDocument/2006/relationships/comments" Target="../comments3.xml"/></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vmlDrawing" Target="../drawings/vmlDrawing14.vml"/><Relationship Id="rId1" Type="http://schemas.openxmlformats.org/officeDocument/2006/relationships/printerSettings" Target="../printerSettings/printerSettings11.bin"/><Relationship Id="rId4" Type="http://schemas.openxmlformats.org/officeDocument/2006/relationships/comments" Target="../comments4.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vmlDrawing" Target="../drawings/vmlDrawing16.vml"/><Relationship Id="rId1" Type="http://schemas.openxmlformats.org/officeDocument/2006/relationships/printerSettings" Target="../printerSettings/printerSettings12.bin"/><Relationship Id="rId4" Type="http://schemas.openxmlformats.org/officeDocument/2006/relationships/comments" Target="../comments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23"/>
  <sheetViews>
    <sheetView showGridLines="0" zoomScaleNormal="100" workbookViewId="0">
      <selection sqref="A1:N1"/>
    </sheetView>
  </sheetViews>
  <sheetFormatPr defaultColWidth="9.08984375" defaultRowHeight="14.5" x14ac:dyDescent="0.35"/>
  <cols>
    <col min="1" max="1" width="9.90625" style="19" customWidth="1"/>
    <col min="2" max="13" width="9.1796875" style="19" customWidth="1"/>
    <col min="14" max="14" width="9.90625" style="19" customWidth="1"/>
    <col min="15" max="26" width="9.08984375" style="19" customWidth="1"/>
    <col min="27" max="16384" width="9.08984375" style="19"/>
  </cols>
  <sheetData>
    <row r="1" spans="1:21" s="21" customFormat="1" ht="189.75" customHeight="1" x14ac:dyDescent="0.65">
      <c r="A1" s="111"/>
      <c r="B1" s="111"/>
      <c r="C1" s="111"/>
      <c r="D1" s="111"/>
      <c r="E1" s="111"/>
      <c r="F1" s="111"/>
      <c r="G1" s="111"/>
      <c r="H1" s="111"/>
      <c r="I1" s="111"/>
      <c r="J1" s="111"/>
      <c r="K1" s="111"/>
      <c r="L1" s="111"/>
      <c r="M1" s="111"/>
      <c r="N1" s="111"/>
      <c r="O1" s="13"/>
      <c r="P1" s="13"/>
      <c r="Q1" s="13"/>
      <c r="R1" s="13"/>
      <c r="S1" s="13"/>
      <c r="T1" s="13"/>
      <c r="U1" s="13"/>
    </row>
    <row r="2" spans="1:21" s="14" customFormat="1" ht="75" customHeight="1" x14ac:dyDescent="0.35">
      <c r="A2" s="114" t="s">
        <v>19</v>
      </c>
      <c r="B2" s="114"/>
      <c r="C2" s="114"/>
      <c r="D2" s="114"/>
      <c r="E2" s="114"/>
      <c r="F2" s="114"/>
      <c r="G2" s="114"/>
      <c r="H2" s="114"/>
      <c r="I2" s="114"/>
      <c r="J2" s="114"/>
      <c r="K2" s="114"/>
      <c r="L2" s="114"/>
      <c r="M2" s="114"/>
      <c r="N2" s="114"/>
      <c r="O2" s="13"/>
      <c r="P2" s="13"/>
      <c r="Q2" s="13"/>
      <c r="R2" s="13"/>
      <c r="S2" s="13"/>
      <c r="T2" s="13"/>
      <c r="U2" s="13"/>
    </row>
    <row r="3" spans="1:21" s="15" customFormat="1" ht="7.5" customHeight="1" x14ac:dyDescent="0.35">
      <c r="B3" s="16"/>
      <c r="C3" s="16"/>
      <c r="F3" s="17"/>
      <c r="G3" s="17"/>
      <c r="H3" s="17"/>
      <c r="I3" s="17"/>
      <c r="J3" s="17"/>
      <c r="K3" s="17"/>
      <c r="O3" s="13"/>
      <c r="P3" s="13"/>
      <c r="Q3" s="13"/>
      <c r="R3" s="13"/>
      <c r="S3" s="13"/>
      <c r="T3" s="13"/>
      <c r="U3" s="13"/>
    </row>
    <row r="4" spans="1:21" s="15" customFormat="1" ht="15" customHeight="1" x14ac:dyDescent="0.35">
      <c r="A4" s="23"/>
      <c r="B4" s="24"/>
      <c r="C4" s="113"/>
      <c r="D4" s="113"/>
      <c r="E4" s="25"/>
      <c r="F4" s="26"/>
      <c r="G4" s="26"/>
      <c r="H4" s="26"/>
      <c r="I4" s="26"/>
      <c r="J4" s="26"/>
      <c r="K4" s="26"/>
      <c r="L4" s="25"/>
      <c r="M4" s="25"/>
      <c r="N4" s="25"/>
      <c r="O4" s="13"/>
      <c r="P4" s="13"/>
      <c r="Q4" s="13"/>
      <c r="R4" s="13"/>
      <c r="S4" s="13"/>
      <c r="T4" s="13"/>
      <c r="U4" s="13"/>
    </row>
    <row r="5" spans="1:21" s="15" customFormat="1" ht="15" customHeight="1" x14ac:dyDescent="0.35">
      <c r="A5" s="115" t="s">
        <v>11</v>
      </c>
      <c r="B5" s="115"/>
      <c r="C5" s="115"/>
      <c r="D5" s="115"/>
      <c r="E5" s="115"/>
      <c r="F5" s="115"/>
      <c r="G5" s="115"/>
      <c r="H5" s="115"/>
      <c r="I5" s="115"/>
      <c r="J5" s="115"/>
      <c r="K5" s="115"/>
      <c r="L5" s="115"/>
      <c r="M5" s="115"/>
      <c r="N5" s="115"/>
      <c r="O5" s="13"/>
      <c r="P5" s="13"/>
      <c r="Q5" s="13"/>
      <c r="R5" s="13"/>
      <c r="S5" s="13"/>
      <c r="T5" s="13"/>
      <c r="U5" s="13"/>
    </row>
    <row r="6" spans="1:21" s="15" customFormat="1" ht="15" customHeight="1" x14ac:dyDescent="0.35">
      <c r="A6" s="115"/>
      <c r="B6" s="115"/>
      <c r="C6" s="115"/>
      <c r="D6" s="115"/>
      <c r="E6" s="115"/>
      <c r="F6" s="115"/>
      <c r="G6" s="115"/>
      <c r="H6" s="115"/>
      <c r="I6" s="115"/>
      <c r="J6" s="115"/>
      <c r="K6" s="115"/>
      <c r="L6" s="115"/>
      <c r="M6" s="115"/>
      <c r="N6" s="115"/>
      <c r="O6" s="13"/>
      <c r="P6" s="13"/>
      <c r="Q6" s="13"/>
      <c r="R6" s="13"/>
      <c r="S6" s="13"/>
      <c r="T6" s="13"/>
      <c r="U6" s="13"/>
    </row>
    <row r="7" spans="1:21" s="15" customFormat="1" ht="15" customHeight="1" x14ac:dyDescent="0.35">
      <c r="A7" s="115" t="str">
        <f ca="1">"© "&amp;YEAR(TODAY())&amp;" Financial Edge Training"</f>
        <v>© 2021 Financial Edge Training</v>
      </c>
      <c r="B7" s="115"/>
      <c r="C7" s="115"/>
      <c r="D7" s="115"/>
      <c r="E7" s="115"/>
      <c r="F7" s="115"/>
      <c r="G7" s="115"/>
      <c r="H7" s="115"/>
      <c r="I7" s="115"/>
      <c r="J7" s="115"/>
      <c r="K7" s="115"/>
      <c r="L7" s="115"/>
      <c r="M7" s="115"/>
      <c r="N7" s="115"/>
      <c r="O7" s="13"/>
      <c r="P7" s="13"/>
      <c r="Q7" s="13"/>
      <c r="R7" s="13"/>
      <c r="S7" s="13"/>
      <c r="T7" s="13"/>
      <c r="U7" s="13"/>
    </row>
    <row r="8" spans="1:21" s="15" customFormat="1" ht="15" customHeight="1" x14ac:dyDescent="0.35">
      <c r="A8" s="116" t="s">
        <v>18</v>
      </c>
      <c r="B8" s="115"/>
      <c r="C8" s="115"/>
      <c r="D8" s="115"/>
      <c r="E8" s="115"/>
      <c r="F8" s="115"/>
      <c r="G8" s="115"/>
      <c r="H8" s="115"/>
      <c r="I8" s="115"/>
      <c r="J8" s="115"/>
      <c r="K8" s="115"/>
      <c r="L8" s="115"/>
      <c r="M8" s="115"/>
      <c r="N8" s="115"/>
      <c r="O8" s="46"/>
      <c r="P8" s="46"/>
      <c r="Q8" s="46"/>
      <c r="R8" s="46"/>
      <c r="S8" s="46"/>
      <c r="T8" s="46"/>
      <c r="U8" s="46"/>
    </row>
    <row r="9" spans="1:21" s="15" customFormat="1" ht="15" customHeight="1" thickBot="1" x14ac:dyDescent="0.4">
      <c r="A9" s="40"/>
      <c r="B9" s="41"/>
      <c r="C9" s="40"/>
      <c r="D9" s="40"/>
      <c r="E9" s="42"/>
      <c r="F9" s="43"/>
      <c r="G9" s="43"/>
      <c r="H9" s="43"/>
      <c r="I9" s="43"/>
      <c r="J9" s="43"/>
      <c r="K9" s="43"/>
      <c r="L9" s="42"/>
      <c r="M9" s="42"/>
      <c r="N9" s="42"/>
      <c r="O9" s="13"/>
      <c r="P9" s="13"/>
      <c r="Q9" s="13"/>
      <c r="R9" s="13"/>
      <c r="S9" s="13"/>
      <c r="T9" s="13"/>
      <c r="U9" s="13"/>
    </row>
    <row r="10" spans="1:21" s="15" customFormat="1" ht="15" customHeight="1" x14ac:dyDescent="0.35">
      <c r="A10" s="13"/>
      <c r="B10" s="13"/>
      <c r="C10" s="13"/>
      <c r="D10" s="13"/>
      <c r="E10" s="13"/>
      <c r="F10" s="13"/>
      <c r="G10" s="112"/>
      <c r="H10" s="112"/>
      <c r="I10" s="112"/>
      <c r="J10" s="112"/>
      <c r="K10" s="13"/>
      <c r="L10" s="13"/>
      <c r="M10" s="13"/>
      <c r="N10" s="13"/>
      <c r="O10" s="13"/>
      <c r="P10" s="13"/>
      <c r="Q10" s="13"/>
      <c r="R10" s="13"/>
      <c r="S10" s="13"/>
      <c r="T10" s="13"/>
      <c r="U10" s="13"/>
    </row>
    <row r="11" spans="1:21" s="15" customFormat="1" ht="15" customHeight="1" x14ac:dyDescent="0.35">
      <c r="A11" s="13"/>
      <c r="B11" s="13"/>
      <c r="C11" s="13"/>
      <c r="D11" s="13"/>
      <c r="E11" s="13"/>
      <c r="F11" s="13"/>
      <c r="G11" s="112"/>
      <c r="H11" s="112"/>
      <c r="I11" s="112"/>
      <c r="J11" s="112"/>
      <c r="K11" s="13"/>
      <c r="L11" s="13"/>
      <c r="M11" s="13"/>
      <c r="N11" s="13"/>
      <c r="O11" s="13"/>
      <c r="P11" s="13"/>
      <c r="Q11" s="13"/>
      <c r="R11" s="13"/>
      <c r="S11" s="13"/>
      <c r="T11" s="13"/>
      <c r="U11" s="13"/>
    </row>
    <row r="12" spans="1:21" s="15" customFormat="1" ht="15" customHeight="1" x14ac:dyDescent="0.35">
      <c r="A12" s="13"/>
      <c r="B12" s="13"/>
      <c r="C12" s="13"/>
      <c r="D12" s="13"/>
      <c r="E12" s="13"/>
      <c r="F12" s="13"/>
      <c r="G12" s="13"/>
      <c r="H12" s="13"/>
      <c r="I12" s="13"/>
      <c r="J12" s="13"/>
      <c r="K12" s="13"/>
      <c r="L12" s="13"/>
      <c r="M12" s="13"/>
      <c r="N12" s="13"/>
      <c r="O12" s="13"/>
      <c r="P12" s="13"/>
      <c r="Q12" s="13"/>
      <c r="R12" s="13"/>
      <c r="S12" s="13"/>
      <c r="T12" s="13"/>
      <c r="U12" s="13"/>
    </row>
    <row r="13" spans="1:21" s="15" customFormat="1" ht="15" customHeight="1" x14ac:dyDescent="0.35">
      <c r="A13" s="13"/>
      <c r="B13" s="13"/>
      <c r="C13" s="13"/>
      <c r="D13" s="13"/>
      <c r="E13" s="13"/>
      <c r="F13" s="13"/>
      <c r="G13" s="112"/>
      <c r="H13" s="112"/>
      <c r="I13" s="112"/>
      <c r="J13" s="112"/>
      <c r="K13" s="13"/>
      <c r="L13" s="13"/>
      <c r="M13" s="13"/>
      <c r="N13" s="13"/>
      <c r="O13" s="13"/>
      <c r="P13" s="13"/>
      <c r="Q13" s="13"/>
      <c r="R13" s="13"/>
      <c r="S13" s="13"/>
      <c r="T13" s="13"/>
      <c r="U13" s="13"/>
    </row>
    <row r="14" spans="1:21" s="15" customFormat="1" ht="15" customHeight="1" x14ac:dyDescent="0.35">
      <c r="A14" s="13"/>
      <c r="B14" s="13"/>
      <c r="C14" s="13"/>
      <c r="D14" s="13"/>
      <c r="E14" s="13"/>
      <c r="F14" s="13"/>
      <c r="G14" s="112"/>
      <c r="H14" s="112"/>
      <c r="I14" s="112"/>
      <c r="J14" s="112"/>
      <c r="K14" s="13"/>
      <c r="L14" s="13"/>
      <c r="M14" s="13"/>
      <c r="N14" s="13"/>
      <c r="O14" s="13"/>
      <c r="P14" s="13"/>
      <c r="Q14" s="13"/>
      <c r="R14" s="13"/>
      <c r="S14" s="13"/>
      <c r="T14" s="13"/>
      <c r="U14" s="13"/>
    </row>
    <row r="15" spans="1:21" s="15" customFormat="1" ht="15" customHeight="1" x14ac:dyDescent="0.35">
      <c r="A15" s="13"/>
      <c r="B15" s="13"/>
      <c r="C15" s="13"/>
      <c r="D15" s="13"/>
      <c r="E15" s="13"/>
      <c r="F15" s="13"/>
      <c r="G15" s="112"/>
      <c r="H15" s="112"/>
      <c r="I15" s="112"/>
      <c r="J15" s="112"/>
      <c r="K15" s="13"/>
      <c r="L15" s="13"/>
      <c r="M15" s="13"/>
      <c r="N15" s="13"/>
      <c r="O15" s="13"/>
      <c r="P15" s="13"/>
      <c r="Q15" s="13"/>
      <c r="R15" s="13"/>
      <c r="S15" s="13"/>
      <c r="T15" s="13"/>
      <c r="U15" s="13"/>
    </row>
    <row r="16" spans="1:21" s="15" customFormat="1" ht="15" customHeight="1" x14ac:dyDescent="0.35">
      <c r="A16" s="13"/>
      <c r="B16" s="13"/>
      <c r="C16" s="13"/>
      <c r="D16" s="13"/>
      <c r="E16" s="13"/>
      <c r="F16" s="13"/>
      <c r="G16" s="13"/>
      <c r="H16" s="13"/>
      <c r="I16" s="13"/>
      <c r="J16" s="13"/>
      <c r="K16" s="13"/>
      <c r="L16" s="13"/>
      <c r="M16" s="13"/>
      <c r="N16" s="13"/>
      <c r="O16" s="13"/>
      <c r="P16" s="13"/>
      <c r="Q16" s="13"/>
      <c r="R16" s="13"/>
      <c r="S16" s="13"/>
      <c r="T16" s="13"/>
      <c r="U16" s="13"/>
    </row>
    <row r="17" spans="1:21" s="15" customFormat="1" ht="15" customHeight="1" x14ac:dyDescent="0.35">
      <c r="A17" s="13"/>
      <c r="B17" s="13"/>
      <c r="C17" s="13"/>
      <c r="D17" s="13"/>
      <c r="E17" s="13"/>
      <c r="F17" s="13"/>
      <c r="G17" s="112"/>
      <c r="H17" s="112"/>
      <c r="I17" s="112"/>
      <c r="J17" s="112"/>
      <c r="K17" s="13"/>
      <c r="L17" s="13"/>
      <c r="M17" s="13"/>
      <c r="N17" s="13"/>
      <c r="O17" s="13"/>
      <c r="P17" s="13"/>
      <c r="Q17" s="13"/>
      <c r="R17" s="13"/>
      <c r="S17" s="13"/>
      <c r="T17" s="13"/>
      <c r="U17" s="13"/>
    </row>
    <row r="18" spans="1:21" s="15" customFormat="1" ht="15" customHeight="1" x14ac:dyDescent="0.35">
      <c r="A18" s="13"/>
      <c r="B18" s="13"/>
      <c r="C18" s="13"/>
      <c r="D18" s="13"/>
      <c r="E18" s="13"/>
      <c r="F18" s="13"/>
      <c r="G18" s="13"/>
      <c r="H18" s="13"/>
      <c r="I18" s="13"/>
      <c r="J18" s="13"/>
      <c r="K18" s="13"/>
      <c r="L18" s="13"/>
      <c r="M18" s="13"/>
      <c r="N18" s="13"/>
      <c r="O18" s="13"/>
      <c r="P18" s="13"/>
      <c r="Q18" s="13"/>
      <c r="R18" s="13"/>
      <c r="S18" s="13"/>
      <c r="T18" s="13"/>
      <c r="U18" s="13"/>
    </row>
    <row r="19" spans="1:21" ht="15" customHeight="1" x14ac:dyDescent="0.35">
      <c r="A19" s="13"/>
      <c r="B19" s="13"/>
      <c r="C19" s="13"/>
      <c r="D19" s="13"/>
      <c r="E19" s="13"/>
      <c r="F19" s="13"/>
      <c r="G19" s="13"/>
      <c r="H19" s="13"/>
      <c r="I19" s="13"/>
      <c r="J19" s="13"/>
      <c r="K19" s="13"/>
      <c r="L19" s="13"/>
      <c r="M19" s="13"/>
      <c r="N19" s="13"/>
      <c r="O19" s="13"/>
      <c r="P19" s="13"/>
      <c r="Q19" s="13"/>
      <c r="R19" s="13"/>
      <c r="S19" s="13"/>
      <c r="T19" s="13"/>
      <c r="U19" s="13"/>
    </row>
    <row r="20" spans="1:21" x14ac:dyDescent="0.35">
      <c r="A20" s="13"/>
      <c r="B20" s="13"/>
      <c r="C20" s="13"/>
      <c r="D20" s="13"/>
      <c r="E20" s="13"/>
      <c r="F20" s="13"/>
      <c r="G20" s="13"/>
      <c r="H20" s="13"/>
      <c r="I20" s="13"/>
      <c r="J20" s="13"/>
      <c r="K20" s="13"/>
      <c r="L20" s="13"/>
      <c r="M20" s="13"/>
      <c r="N20" s="13"/>
      <c r="O20" s="13"/>
      <c r="P20" s="13"/>
      <c r="Q20" s="13"/>
      <c r="R20" s="13"/>
      <c r="S20" s="13"/>
      <c r="T20" s="13"/>
      <c r="U20" s="13"/>
    </row>
    <row r="21" spans="1:21" x14ac:dyDescent="0.35">
      <c r="A21" s="13"/>
      <c r="B21" s="13"/>
      <c r="C21" s="13"/>
      <c r="D21" s="13"/>
      <c r="E21" s="13"/>
      <c r="F21" s="13"/>
      <c r="G21" s="13"/>
      <c r="H21" s="13"/>
      <c r="I21" s="13"/>
      <c r="J21" s="13"/>
      <c r="K21" s="13"/>
      <c r="L21" s="13"/>
      <c r="M21" s="13"/>
      <c r="N21" s="13"/>
      <c r="O21" s="13"/>
    </row>
    <row r="22" spans="1:21" x14ac:dyDescent="0.35">
      <c r="A22" s="13"/>
      <c r="B22" s="13"/>
      <c r="C22" s="13"/>
      <c r="D22" s="13"/>
      <c r="E22" s="13"/>
      <c r="F22" s="13"/>
      <c r="G22" s="13"/>
      <c r="H22" s="13"/>
      <c r="I22" s="13"/>
      <c r="J22" s="13"/>
      <c r="K22" s="13"/>
      <c r="L22" s="13"/>
      <c r="M22" s="13"/>
      <c r="N22" s="13"/>
      <c r="O22" s="13"/>
    </row>
    <row r="23" spans="1:21" x14ac:dyDescent="0.35">
      <c r="A23" s="13"/>
      <c r="B23" s="13"/>
      <c r="C23" s="13"/>
      <c r="D23" s="13"/>
      <c r="E23" s="13"/>
      <c r="F23" s="13"/>
      <c r="G23" s="13"/>
      <c r="H23" s="13"/>
      <c r="I23" s="13"/>
      <c r="J23" s="13"/>
      <c r="K23" s="13"/>
      <c r="L23" s="13"/>
      <c r="M23" s="13"/>
      <c r="N23" s="13"/>
      <c r="O23" s="13"/>
    </row>
  </sheetData>
  <mergeCells count="9">
    <mergeCell ref="A1:N1"/>
    <mergeCell ref="G17:J17"/>
    <mergeCell ref="G13:J15"/>
    <mergeCell ref="C4:D4"/>
    <mergeCell ref="A2:N2"/>
    <mergeCell ref="A5:N6"/>
    <mergeCell ref="A7:N7"/>
    <mergeCell ref="G10:J11"/>
    <mergeCell ref="A8:N8"/>
  </mergeCells>
  <hyperlinks>
    <hyperlink ref="A8" r:id="rId1" xr:uid="{862FB886-0E77-43B0-A664-3C4707117648}"/>
  </hyperlinks>
  <pageMargins left="0.7" right="0.7" top="0.75" bottom="0.75" header="0.3" footer="0.3"/>
  <pageSetup paperSize="9" orientation="landscape" verticalDpi="1200" r:id="rId2"/>
  <headerFooter>
    <oddHeader xml:space="preserve">&amp;R&amp;10&amp;F 
&amp;A
</oddHeader>
    <oddFooter>&amp;L&amp;10© 2020&amp;C&amp;10Page &amp;P of &amp;N&amp;R&amp;G</oddFooter>
  </headerFooter>
  <drawing r:id="rId3"/>
  <legacyDrawingHF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31"/>
  <sheetViews>
    <sheetView showGridLines="0" zoomScaleNormal="100" workbookViewId="0">
      <selection sqref="A1:N1"/>
    </sheetView>
  </sheetViews>
  <sheetFormatPr defaultColWidth="9.08984375" defaultRowHeight="14.5" x14ac:dyDescent="0.35"/>
  <cols>
    <col min="1" max="1" width="1.453125" customWidth="1"/>
    <col min="2" max="2" width="2.90625" customWidth="1"/>
    <col min="3" max="3" width="29.453125" bestFit="1" customWidth="1"/>
    <col min="4" max="4" width="2.90625" customWidth="1"/>
    <col min="5" max="7" width="1.453125" customWidth="1"/>
    <col min="8" max="8" width="2.90625" customWidth="1"/>
    <col min="9" max="9" width="42.81640625" customWidth="1"/>
    <col min="10" max="11" width="1.453125" customWidth="1"/>
    <col min="12" max="12" width="15.54296875" customWidth="1"/>
    <col min="13" max="14" width="1.453125" customWidth="1"/>
    <col min="15" max="15" width="2.90625" customWidth="1"/>
    <col min="16" max="16" width="32.54296875" customWidth="1"/>
    <col min="17" max="17" width="2.90625" customWidth="1"/>
    <col min="18" max="18" width="1.453125" customWidth="1"/>
    <col min="23" max="23" width="9.08984375" customWidth="1"/>
  </cols>
  <sheetData>
    <row r="1" spans="1:24" s="13" customFormat="1" ht="45" customHeight="1" x14ac:dyDescent="0.65">
      <c r="A1" s="10" t="str">
        <f>Welcome!A2</f>
        <v>13-Week Cash Flow Model</v>
      </c>
      <c r="B1" s="10"/>
      <c r="C1" s="10"/>
      <c r="D1" s="10"/>
      <c r="E1" s="10"/>
      <c r="F1" s="10"/>
      <c r="G1" s="10"/>
      <c r="H1" s="10"/>
      <c r="I1" s="10"/>
      <c r="J1" s="5"/>
      <c r="K1" s="5"/>
      <c r="L1" s="5"/>
      <c r="M1" s="5"/>
      <c r="N1" s="5"/>
      <c r="O1" s="5"/>
      <c r="P1" s="5"/>
      <c r="Q1" s="5"/>
      <c r="R1" s="5"/>
    </row>
    <row r="2" spans="1:24" s="13" customFormat="1" ht="30" customHeight="1" x14ac:dyDescent="0.5">
      <c r="A2" s="11" t="s">
        <v>16</v>
      </c>
      <c r="B2" s="11"/>
      <c r="C2" s="11"/>
      <c r="D2" s="11"/>
      <c r="E2" s="11"/>
      <c r="F2" s="11"/>
      <c r="G2" s="11"/>
      <c r="H2" s="11"/>
      <c r="I2" s="11"/>
      <c r="J2" s="6"/>
      <c r="K2" s="6"/>
      <c r="L2" s="6"/>
      <c r="M2" s="6"/>
      <c r="N2" s="6"/>
      <c r="O2" s="6"/>
      <c r="P2" s="6"/>
      <c r="Q2" s="6"/>
      <c r="R2" s="6"/>
    </row>
    <row r="3" spans="1:24" s="3" customFormat="1" ht="7.5" customHeight="1" x14ac:dyDescent="0.35">
      <c r="S3" s="13"/>
      <c r="T3" s="13"/>
      <c r="U3" s="13"/>
      <c r="V3" s="13"/>
      <c r="W3" s="13"/>
      <c r="X3" s="13"/>
    </row>
    <row r="4" spans="1:24" s="3" customFormat="1" ht="22.5" customHeight="1" x14ac:dyDescent="0.35">
      <c r="A4" s="1"/>
      <c r="B4" s="118" t="s">
        <v>0</v>
      </c>
      <c r="C4" s="118"/>
      <c r="D4" s="118"/>
      <c r="E4" s="118"/>
      <c r="F4" s="118"/>
      <c r="G4" s="118"/>
      <c r="H4" s="118"/>
      <c r="I4" s="118"/>
      <c r="K4" s="1"/>
      <c r="L4" s="118" t="s">
        <v>2</v>
      </c>
      <c r="M4" s="118"/>
      <c r="N4" s="118"/>
      <c r="O4" s="118"/>
      <c r="P4" s="118"/>
      <c r="Q4" s="29"/>
      <c r="R4" s="29"/>
      <c r="S4" s="13"/>
      <c r="T4" s="13"/>
      <c r="U4" s="13"/>
      <c r="V4" s="13"/>
      <c r="W4" s="13"/>
      <c r="X4" s="13"/>
    </row>
    <row r="5" spans="1:24" s="3" customFormat="1" ht="15" customHeight="1" x14ac:dyDescent="0.35">
      <c r="A5" s="2"/>
      <c r="B5" s="39" t="s">
        <v>1</v>
      </c>
      <c r="C5" s="38" t="s">
        <v>20</v>
      </c>
      <c r="D5" s="35"/>
      <c r="E5" s="35"/>
      <c r="F5" s="35"/>
      <c r="G5" s="35"/>
      <c r="H5" s="35"/>
      <c r="I5" s="35"/>
      <c r="K5" s="1"/>
      <c r="L5" s="45" t="s">
        <v>3</v>
      </c>
      <c r="M5" s="45"/>
      <c r="N5" s="119" t="s">
        <v>188</v>
      </c>
      <c r="O5" s="119"/>
      <c r="P5" s="119"/>
      <c r="Q5" s="119"/>
      <c r="R5" s="29"/>
      <c r="S5" s="13"/>
      <c r="T5" s="13"/>
      <c r="U5" s="13"/>
      <c r="V5" s="13"/>
      <c r="W5" s="13"/>
      <c r="X5" s="13"/>
    </row>
    <row r="6" spans="1:24" s="3" customFormat="1" ht="15" customHeight="1" x14ac:dyDescent="0.35">
      <c r="A6" s="44"/>
      <c r="B6" s="39" t="s">
        <v>1</v>
      </c>
      <c r="C6" s="38" t="s">
        <v>21</v>
      </c>
      <c r="D6" s="35"/>
      <c r="E6" s="35"/>
      <c r="F6" s="35"/>
      <c r="G6" s="35"/>
      <c r="H6" s="35"/>
      <c r="I6" s="35"/>
      <c r="K6" s="2"/>
      <c r="L6" s="45" t="s">
        <v>4</v>
      </c>
      <c r="M6" s="45"/>
      <c r="N6" s="120">
        <v>44135</v>
      </c>
      <c r="O6" s="120"/>
      <c r="P6" s="120"/>
      <c r="Q6" s="120"/>
      <c r="R6" s="29"/>
      <c r="S6" s="13"/>
      <c r="T6" s="13"/>
      <c r="U6" s="13"/>
      <c r="V6" s="13"/>
      <c r="W6" s="13"/>
      <c r="X6" s="13"/>
    </row>
    <row r="7" spans="1:24" s="3" customFormat="1" ht="15" customHeight="1" x14ac:dyDescent="0.35">
      <c r="A7" s="35"/>
      <c r="B7" s="39" t="s">
        <v>1</v>
      </c>
      <c r="C7" s="38" t="s">
        <v>184</v>
      </c>
      <c r="D7" s="35"/>
      <c r="E7" s="35"/>
      <c r="F7" s="35"/>
      <c r="G7" s="35"/>
      <c r="H7" s="35"/>
      <c r="I7" s="35"/>
      <c r="K7" s="44"/>
      <c r="L7" s="45" t="s">
        <v>5</v>
      </c>
      <c r="M7" s="45"/>
      <c r="N7" s="119" t="s">
        <v>9</v>
      </c>
      <c r="O7" s="119"/>
      <c r="P7" s="119"/>
      <c r="Q7" s="119"/>
      <c r="R7" s="29"/>
      <c r="S7" s="13"/>
      <c r="T7" s="13"/>
      <c r="U7" s="13"/>
      <c r="V7" s="13"/>
      <c r="W7" s="13"/>
      <c r="X7" s="13"/>
    </row>
    <row r="8" spans="1:24" s="3" customFormat="1" ht="15" customHeight="1" x14ac:dyDescent="0.35">
      <c r="A8" s="35"/>
      <c r="B8" s="39" t="s">
        <v>1</v>
      </c>
      <c r="C8" s="90" t="s">
        <v>183</v>
      </c>
      <c r="D8" s="35"/>
      <c r="E8" s="35"/>
      <c r="F8" s="35"/>
      <c r="G8" s="35"/>
      <c r="H8" s="35"/>
      <c r="I8" s="35"/>
      <c r="K8" s="35"/>
      <c r="L8" s="45" t="s">
        <v>6</v>
      </c>
      <c r="M8" s="45"/>
      <c r="N8" s="119" t="s">
        <v>182</v>
      </c>
      <c r="O8" s="119"/>
      <c r="P8" s="119"/>
      <c r="Q8" s="119"/>
      <c r="R8" s="29"/>
      <c r="S8" s="13"/>
      <c r="T8" s="13"/>
      <c r="U8" s="13"/>
      <c r="V8" s="13"/>
      <c r="W8" s="13"/>
      <c r="X8" s="13"/>
    </row>
    <row r="9" spans="1:24" s="3" customFormat="1" ht="15" customHeight="1" x14ac:dyDescent="0.35">
      <c r="A9" s="27"/>
      <c r="B9" s="39" t="s">
        <v>1</v>
      </c>
      <c r="C9" s="90" t="s">
        <v>22</v>
      </c>
      <c r="D9" s="27"/>
      <c r="E9" s="27"/>
      <c r="F9" s="27"/>
      <c r="G9" s="27"/>
      <c r="H9" s="27"/>
      <c r="I9" s="27"/>
      <c r="K9" s="35"/>
      <c r="L9" s="45" t="s">
        <v>7</v>
      </c>
      <c r="M9" s="45"/>
      <c r="N9" s="119" t="s">
        <v>10</v>
      </c>
      <c r="O9" s="119"/>
      <c r="P9" s="119"/>
      <c r="Q9" s="119"/>
      <c r="R9" s="29"/>
      <c r="S9" s="13"/>
      <c r="T9" s="13"/>
      <c r="U9" s="13"/>
      <c r="V9" s="13"/>
      <c r="W9" s="13"/>
      <c r="X9" s="13"/>
    </row>
    <row r="10" spans="1:24" s="3" customFormat="1" ht="15" customHeight="1" x14ac:dyDescent="0.35">
      <c r="A10" s="28"/>
      <c r="B10" s="28"/>
      <c r="C10" s="28"/>
      <c r="D10" s="28"/>
      <c r="E10" s="28"/>
      <c r="F10" s="28"/>
      <c r="G10" s="28"/>
      <c r="H10" s="28"/>
      <c r="I10" s="28"/>
      <c r="K10" s="35"/>
      <c r="L10" s="45" t="s">
        <v>8</v>
      </c>
      <c r="M10" s="45"/>
      <c r="N10" s="117" t="s">
        <v>185</v>
      </c>
      <c r="O10" s="117"/>
      <c r="P10" s="117"/>
      <c r="Q10" s="117"/>
      <c r="R10" s="30"/>
      <c r="S10" s="13"/>
      <c r="T10" s="13"/>
      <c r="U10" s="13"/>
      <c r="V10" s="13"/>
      <c r="W10" s="13"/>
      <c r="X10" s="13"/>
    </row>
    <row r="11" spans="1:24" s="3" customFormat="1" ht="15" customHeight="1" thickBot="1" x14ac:dyDescent="0.4">
      <c r="A11" s="40"/>
      <c r="B11" s="40"/>
      <c r="C11" s="40"/>
      <c r="D11" s="40"/>
      <c r="E11" s="40"/>
      <c r="F11" s="40"/>
      <c r="G11" s="40"/>
      <c r="H11" s="40"/>
      <c r="I11" s="40"/>
      <c r="K11" s="40"/>
      <c r="L11" s="40"/>
      <c r="M11" s="40"/>
      <c r="N11" s="40"/>
      <c r="O11" s="40"/>
      <c r="P11" s="40"/>
      <c r="Q11" s="40"/>
      <c r="R11" s="40"/>
      <c r="S11" s="13"/>
      <c r="T11" s="13"/>
      <c r="U11" s="13"/>
      <c r="V11" s="13"/>
      <c r="W11" s="13"/>
      <c r="X11" s="13"/>
    </row>
    <row r="12" spans="1:24" s="3" customFormat="1" ht="7.5" customHeight="1" x14ac:dyDescent="0.35">
      <c r="K12" s="17"/>
      <c r="L12" s="17"/>
      <c r="M12" s="17"/>
      <c r="N12" s="17"/>
      <c r="O12" s="17"/>
      <c r="P12" s="17"/>
      <c r="Q12" s="17"/>
      <c r="R12" s="17"/>
      <c r="S12" s="13"/>
      <c r="T12" s="13"/>
      <c r="U12" s="13"/>
      <c r="V12" s="13"/>
      <c r="W12" s="13"/>
      <c r="X12" s="13"/>
    </row>
    <row r="13" spans="1:24" s="3" customFormat="1" ht="22.5" customHeight="1" x14ac:dyDescent="0.35">
      <c r="A13" s="34"/>
      <c r="B13" s="118" t="s">
        <v>17</v>
      </c>
      <c r="C13" s="118"/>
      <c r="D13" s="118"/>
      <c r="E13" s="118"/>
      <c r="F13" s="118"/>
      <c r="G13" s="118"/>
      <c r="H13" s="118"/>
      <c r="I13" s="118"/>
      <c r="J13" s="118"/>
      <c r="K13" s="118"/>
      <c r="L13" s="118"/>
      <c r="N13" s="1"/>
      <c r="O13" s="118" t="s">
        <v>12</v>
      </c>
      <c r="P13" s="118"/>
      <c r="Q13" s="118"/>
      <c r="R13" s="36"/>
      <c r="S13" s="13"/>
      <c r="T13" s="13"/>
      <c r="U13" s="13"/>
      <c r="V13" s="13"/>
      <c r="W13" s="13"/>
      <c r="X13" s="13"/>
    </row>
    <row r="14" spans="1:24" s="3" customFormat="1" ht="15" customHeight="1" x14ac:dyDescent="0.35">
      <c r="A14" s="35"/>
      <c r="B14" s="117" t="s">
        <v>195</v>
      </c>
      <c r="C14" s="117"/>
      <c r="D14" s="117" t="s">
        <v>213</v>
      </c>
      <c r="E14" s="117"/>
      <c r="F14" s="117"/>
      <c r="G14" s="117"/>
      <c r="H14" s="117"/>
      <c r="I14" s="117"/>
      <c r="J14" s="117"/>
      <c r="K14" s="117"/>
      <c r="L14" s="117"/>
      <c r="N14" s="2"/>
      <c r="O14" s="18"/>
      <c r="P14" s="14"/>
      <c r="Q14" s="14"/>
      <c r="R14" s="35"/>
      <c r="S14" s="13"/>
      <c r="T14" s="13"/>
      <c r="U14" s="13"/>
      <c r="V14" s="13"/>
      <c r="W14" s="13"/>
      <c r="X14" s="13"/>
    </row>
    <row r="15" spans="1:24" s="3" customFormat="1" ht="15" customHeight="1" x14ac:dyDescent="0.35">
      <c r="A15" s="35"/>
      <c r="B15" s="117" t="s">
        <v>196</v>
      </c>
      <c r="C15" s="117"/>
      <c r="D15" s="117" t="s">
        <v>197</v>
      </c>
      <c r="E15" s="117"/>
      <c r="F15" s="117"/>
      <c r="G15" s="117"/>
      <c r="H15" s="117"/>
      <c r="I15" s="117"/>
      <c r="J15" s="117"/>
      <c r="K15" s="117"/>
      <c r="L15" s="117"/>
      <c r="N15" s="44"/>
      <c r="O15" s="18"/>
      <c r="P15" s="31" t="s">
        <v>13</v>
      </c>
      <c r="Q15" s="14"/>
      <c r="R15" s="35"/>
      <c r="S15" s="13"/>
      <c r="T15" s="13"/>
      <c r="U15" s="13"/>
      <c r="V15" s="13"/>
      <c r="W15" s="13"/>
      <c r="X15" s="13"/>
    </row>
    <row r="16" spans="1:24" s="3" customFormat="1" ht="15" customHeight="1" x14ac:dyDescent="0.35">
      <c r="A16" s="35"/>
      <c r="B16" s="117" t="s">
        <v>198</v>
      </c>
      <c r="C16" s="117"/>
      <c r="D16" s="117" t="s">
        <v>199</v>
      </c>
      <c r="E16" s="117"/>
      <c r="F16" s="117"/>
      <c r="G16" s="117"/>
      <c r="H16" s="117"/>
      <c r="I16" s="117"/>
      <c r="J16" s="117"/>
      <c r="K16" s="117"/>
      <c r="L16" s="117"/>
      <c r="N16" s="35"/>
      <c r="O16" s="18"/>
      <c r="P16" s="22" t="s">
        <v>14</v>
      </c>
      <c r="Q16" s="14"/>
      <c r="R16" s="35"/>
      <c r="S16" s="13"/>
      <c r="T16" s="13"/>
      <c r="U16" s="13"/>
      <c r="V16" s="13"/>
      <c r="W16" s="13"/>
      <c r="X16" s="13"/>
    </row>
    <row r="17" spans="1:24" s="3" customFormat="1" ht="15" customHeight="1" x14ac:dyDescent="0.35">
      <c r="A17" s="35"/>
      <c r="B17" s="117" t="s">
        <v>200</v>
      </c>
      <c r="C17" s="117"/>
      <c r="D17" s="117" t="s">
        <v>201</v>
      </c>
      <c r="E17" s="117"/>
      <c r="F17" s="117"/>
      <c r="G17" s="117"/>
      <c r="H17" s="117"/>
      <c r="I17" s="117"/>
      <c r="J17" s="117"/>
      <c r="K17" s="117"/>
      <c r="L17" s="117"/>
      <c r="N17" s="35"/>
      <c r="O17" s="18"/>
      <c r="P17" t="s">
        <v>15</v>
      </c>
      <c r="Q17" s="14"/>
      <c r="R17" s="35"/>
      <c r="S17" s="13"/>
      <c r="T17" s="13"/>
      <c r="U17" s="13"/>
      <c r="V17" s="13"/>
      <c r="W17" s="13"/>
      <c r="X17" s="13"/>
    </row>
    <row r="18" spans="1:24" s="3" customFormat="1" ht="15" customHeight="1" x14ac:dyDescent="0.35">
      <c r="A18" s="28"/>
      <c r="B18" s="117" t="s">
        <v>202</v>
      </c>
      <c r="C18" s="117"/>
      <c r="D18" s="117" t="s">
        <v>203</v>
      </c>
      <c r="E18" s="117"/>
      <c r="F18" s="117"/>
      <c r="G18" s="117"/>
      <c r="H18" s="117"/>
      <c r="I18" s="117"/>
      <c r="J18" s="117"/>
      <c r="K18" s="117"/>
      <c r="L18" s="117"/>
      <c r="N18" s="28"/>
      <c r="O18" s="32"/>
      <c r="P18" s="32"/>
      <c r="Q18" s="32"/>
      <c r="R18" s="28"/>
      <c r="S18" s="13"/>
      <c r="T18" s="13"/>
      <c r="U18" s="13"/>
      <c r="V18" s="13"/>
      <c r="W18" s="13"/>
      <c r="X18" s="13"/>
    </row>
    <row r="19" spans="1:24" s="3" customFormat="1" ht="15" customHeight="1" x14ac:dyDescent="0.35">
      <c r="A19" s="28"/>
      <c r="B19" s="106" t="s">
        <v>204</v>
      </c>
      <c r="C19" s="106"/>
      <c r="D19" s="106" t="s">
        <v>205</v>
      </c>
      <c r="E19" s="106"/>
      <c r="F19" s="106"/>
      <c r="G19" s="106"/>
      <c r="H19" s="106"/>
      <c r="I19" s="106"/>
      <c r="J19" s="106"/>
      <c r="K19" s="106"/>
      <c r="L19" s="106"/>
      <c r="N19" s="28"/>
      <c r="O19" s="32"/>
      <c r="P19" s="32"/>
      <c r="Q19" s="32"/>
      <c r="R19" s="28"/>
      <c r="S19" s="105"/>
      <c r="T19" s="105"/>
      <c r="U19" s="105"/>
      <c r="V19" s="105"/>
      <c r="W19" s="105"/>
      <c r="X19" s="105"/>
    </row>
    <row r="20" spans="1:24" s="3" customFormat="1" ht="15" customHeight="1" x14ac:dyDescent="0.35">
      <c r="A20" s="28"/>
      <c r="B20" s="106" t="s">
        <v>206</v>
      </c>
      <c r="C20" s="106"/>
      <c r="D20" s="117" t="s">
        <v>207</v>
      </c>
      <c r="E20" s="117"/>
      <c r="F20" s="117"/>
      <c r="G20" s="117"/>
      <c r="H20" s="117"/>
      <c r="I20" s="117"/>
      <c r="J20" s="117"/>
      <c r="K20" s="117"/>
      <c r="L20" s="117"/>
      <c r="N20" s="28"/>
      <c r="O20" s="32"/>
      <c r="P20" s="32"/>
      <c r="Q20" s="32"/>
      <c r="R20" s="28"/>
      <c r="S20" s="105"/>
      <c r="T20" s="105"/>
      <c r="U20" s="105"/>
      <c r="V20" s="105"/>
      <c r="W20" s="105"/>
      <c r="X20" s="105"/>
    </row>
    <row r="21" spans="1:24" s="3" customFormat="1" ht="15" customHeight="1" x14ac:dyDescent="0.35">
      <c r="A21" s="28"/>
      <c r="B21" s="106" t="s">
        <v>208</v>
      </c>
      <c r="C21" s="106"/>
      <c r="D21" s="106" t="s">
        <v>209</v>
      </c>
      <c r="E21" s="106"/>
      <c r="F21" s="106"/>
      <c r="G21" s="106"/>
      <c r="H21" s="106"/>
      <c r="I21" s="106"/>
      <c r="J21" s="106"/>
      <c r="K21" s="106"/>
      <c r="L21" s="106"/>
      <c r="N21" s="28"/>
      <c r="O21" s="32"/>
      <c r="P21" s="32"/>
      <c r="Q21" s="32"/>
      <c r="R21" s="28"/>
      <c r="S21" s="105"/>
      <c r="T21" s="105"/>
      <c r="U21" s="105"/>
      <c r="V21" s="105"/>
      <c r="W21" s="105"/>
      <c r="X21" s="105"/>
    </row>
    <row r="22" spans="1:24" s="3" customFormat="1" ht="15" customHeight="1" x14ac:dyDescent="0.35">
      <c r="A22" s="28"/>
      <c r="B22" s="106" t="s">
        <v>210</v>
      </c>
      <c r="C22" s="106"/>
      <c r="D22" s="106" t="s">
        <v>211</v>
      </c>
      <c r="E22" s="106"/>
      <c r="F22" s="106"/>
      <c r="G22" s="106"/>
      <c r="H22" s="106"/>
      <c r="I22" s="106"/>
      <c r="J22" s="106"/>
      <c r="K22" s="106"/>
      <c r="L22" s="106"/>
      <c r="N22" s="28"/>
      <c r="O22" s="32"/>
      <c r="P22" s="32"/>
      <c r="Q22" s="32"/>
      <c r="R22" s="28"/>
      <c r="S22" s="105"/>
      <c r="T22" s="105"/>
      <c r="U22" s="105"/>
      <c r="V22" s="105"/>
      <c r="W22" s="105"/>
      <c r="X22" s="105"/>
    </row>
    <row r="23" spans="1:24" s="3" customFormat="1" ht="15" customHeight="1" thickBot="1" x14ac:dyDescent="0.4">
      <c r="A23" s="28"/>
      <c r="B23" s="106" t="s">
        <v>212</v>
      </c>
      <c r="C23" s="106"/>
      <c r="D23" s="106" t="s">
        <v>214</v>
      </c>
      <c r="E23" s="40"/>
      <c r="F23" s="40"/>
      <c r="G23" s="40"/>
      <c r="H23" s="40"/>
      <c r="I23" s="40"/>
      <c r="J23" s="40"/>
      <c r="K23" s="40"/>
      <c r="L23" s="40"/>
      <c r="N23" s="28"/>
      <c r="O23" s="32"/>
      <c r="P23" s="32"/>
      <c r="Q23" s="32"/>
      <c r="R23" s="28"/>
      <c r="S23" s="105"/>
      <c r="T23" s="105"/>
      <c r="U23" s="105"/>
      <c r="V23" s="105"/>
      <c r="W23" s="105"/>
      <c r="X23" s="105"/>
    </row>
    <row r="24" spans="1:24" ht="15" thickBot="1" x14ac:dyDescent="0.4">
      <c r="A24" s="40"/>
      <c r="B24" s="40"/>
      <c r="C24" s="40"/>
      <c r="D24" s="40"/>
      <c r="E24" s="40"/>
      <c r="F24" s="40"/>
      <c r="G24" s="40"/>
      <c r="H24" s="40"/>
      <c r="I24" s="40"/>
      <c r="J24" s="40"/>
      <c r="K24" s="40"/>
      <c r="L24" s="40"/>
      <c r="N24" s="40"/>
      <c r="O24" s="40"/>
      <c r="P24" s="40"/>
      <c r="Q24" s="40"/>
      <c r="R24" s="40"/>
      <c r="S24" s="13"/>
      <c r="T24" s="13"/>
      <c r="U24" s="13"/>
      <c r="V24" s="13"/>
      <c r="W24" s="13"/>
      <c r="X24" s="13"/>
    </row>
    <row r="25" spans="1:24" x14ac:dyDescent="0.35">
      <c r="Q25" s="33"/>
      <c r="R25" s="20"/>
      <c r="S25" s="13"/>
      <c r="T25" s="13"/>
      <c r="U25" s="13"/>
      <c r="V25" s="13"/>
      <c r="W25" s="13"/>
      <c r="X25" s="13"/>
    </row>
    <row r="26" spans="1:24" x14ac:dyDescent="0.35">
      <c r="F26" s="20"/>
      <c r="G26" s="20"/>
      <c r="H26" s="20"/>
      <c r="I26" s="20"/>
      <c r="J26" s="20"/>
      <c r="K26" s="20"/>
      <c r="L26" s="20"/>
      <c r="M26" s="20"/>
      <c r="N26" s="20"/>
      <c r="O26" s="20"/>
      <c r="P26" s="20"/>
      <c r="Q26" s="20"/>
      <c r="R26" s="20"/>
      <c r="S26" s="13"/>
      <c r="T26" s="13"/>
      <c r="U26" s="13"/>
      <c r="V26" s="13"/>
      <c r="W26" s="13"/>
      <c r="X26" s="13"/>
    </row>
    <row r="27" spans="1:24" x14ac:dyDescent="0.35">
      <c r="F27" s="20"/>
      <c r="G27" s="20"/>
      <c r="H27" s="20"/>
      <c r="I27" s="20"/>
      <c r="J27" s="20"/>
      <c r="K27" s="20"/>
      <c r="L27" s="20"/>
      <c r="M27" s="20"/>
      <c r="N27" s="20"/>
      <c r="O27" s="20"/>
      <c r="P27" s="20"/>
      <c r="Q27" s="20"/>
      <c r="R27" s="20"/>
      <c r="S27" s="13"/>
      <c r="T27" s="13"/>
      <c r="U27" s="13"/>
      <c r="V27" s="13"/>
      <c r="W27" s="13"/>
      <c r="X27" s="13"/>
    </row>
    <row r="28" spans="1:24" x14ac:dyDescent="0.35">
      <c r="F28" s="20"/>
      <c r="G28" s="20"/>
      <c r="H28" s="20"/>
      <c r="I28" s="20"/>
      <c r="J28" s="20"/>
      <c r="K28" s="20"/>
      <c r="L28" s="20"/>
      <c r="M28" s="20"/>
      <c r="N28" s="19"/>
      <c r="O28" s="19"/>
      <c r="P28" s="19"/>
      <c r="Q28" s="19"/>
      <c r="S28" s="13"/>
      <c r="T28" s="13"/>
      <c r="U28" s="13"/>
      <c r="V28" s="13"/>
      <c r="W28" s="13"/>
      <c r="X28" s="13"/>
    </row>
    <row r="29" spans="1:24" x14ac:dyDescent="0.35">
      <c r="F29" s="19"/>
      <c r="G29" s="19"/>
      <c r="H29" s="19"/>
      <c r="I29" s="19"/>
      <c r="J29" s="19"/>
      <c r="K29" s="19"/>
      <c r="L29" s="19"/>
      <c r="M29" s="19"/>
      <c r="N29" s="19"/>
      <c r="O29" s="19"/>
      <c r="P29" s="19"/>
      <c r="Q29" s="19"/>
      <c r="S29" s="13"/>
      <c r="T29" s="13"/>
      <c r="U29" s="13"/>
      <c r="V29" s="13"/>
      <c r="W29" s="13"/>
      <c r="X29" s="13"/>
    </row>
    <row r="30" spans="1:24" x14ac:dyDescent="0.35">
      <c r="F30" s="19"/>
      <c r="G30" s="19"/>
      <c r="H30" s="19"/>
      <c r="I30" s="19"/>
      <c r="J30" s="19"/>
      <c r="K30" s="19"/>
      <c r="L30" s="19"/>
      <c r="M30" s="19"/>
      <c r="N30" s="19"/>
      <c r="O30" s="19"/>
      <c r="P30" s="19"/>
      <c r="Q30" s="19"/>
      <c r="S30" s="13"/>
      <c r="T30" s="13"/>
      <c r="U30" s="13"/>
      <c r="V30" s="13"/>
      <c r="W30" s="13"/>
      <c r="X30" s="13"/>
    </row>
    <row r="31" spans="1:24" x14ac:dyDescent="0.35">
      <c r="F31" s="19"/>
      <c r="G31" s="19"/>
      <c r="H31" s="19"/>
      <c r="I31" s="19"/>
      <c r="J31" s="19"/>
      <c r="K31" s="19"/>
      <c r="L31" s="19"/>
      <c r="M31" s="19"/>
      <c r="N31" s="19"/>
      <c r="O31" s="19"/>
      <c r="P31" s="19"/>
      <c r="Q31" s="19"/>
      <c r="S31" s="13"/>
      <c r="T31" s="13"/>
      <c r="U31" s="13"/>
      <c r="V31" s="13"/>
      <c r="W31" s="13"/>
      <c r="X31" s="13"/>
    </row>
  </sheetData>
  <mergeCells count="21">
    <mergeCell ref="L4:P4"/>
    <mergeCell ref="B4:I4"/>
    <mergeCell ref="B13:L13"/>
    <mergeCell ref="B18:C18"/>
    <mergeCell ref="D16:L16"/>
    <mergeCell ref="D17:L17"/>
    <mergeCell ref="D18:L18"/>
    <mergeCell ref="N5:Q5"/>
    <mergeCell ref="N6:Q6"/>
    <mergeCell ref="N7:Q7"/>
    <mergeCell ref="N8:Q8"/>
    <mergeCell ref="N9:Q9"/>
    <mergeCell ref="N10:Q10"/>
    <mergeCell ref="O13:Q13"/>
    <mergeCell ref="D14:L14"/>
    <mergeCell ref="D15:L15"/>
    <mergeCell ref="B14:C14"/>
    <mergeCell ref="B15:C15"/>
    <mergeCell ref="B16:C16"/>
    <mergeCell ref="B17:C17"/>
    <mergeCell ref="D20:L20"/>
  </mergeCells>
  <pageMargins left="0.7" right="0.7" top="0.75" bottom="0.75" header="0.3" footer="0.3"/>
  <pageSetup paperSize="9" orientation="landscape" verticalDpi="1200" r:id="rId1"/>
  <headerFooter>
    <oddHeader xml:space="preserve">&amp;R&amp;10&amp;F 
&amp;A
</oddHeader>
    <oddFooter>&amp;L&amp;10© 2020&amp;C&amp;10Page &amp;P of &amp;N&amp;R&amp;G</oddFooter>
  </headerFooter>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58"/>
  <sheetViews>
    <sheetView zoomScaleNormal="100" workbookViewId="0">
      <pane xSplit="3" ySplit="4" topLeftCell="D5" activePane="bottomRight" state="frozen"/>
      <selection sqref="A1:N1"/>
      <selection pane="topRight" sqref="A1:N1"/>
      <selection pane="bottomLeft" sqref="A1:N1"/>
      <selection pane="bottomRight" sqref="A1:N1"/>
    </sheetView>
  </sheetViews>
  <sheetFormatPr defaultColWidth="9.08984375" defaultRowHeight="15" customHeight="1" x14ac:dyDescent="0.35"/>
  <cols>
    <col min="1" max="1" width="1.54296875" style="12" customWidth="1"/>
    <col min="2" max="2" width="40.54296875" customWidth="1"/>
    <col min="3" max="3" width="11.54296875" customWidth="1"/>
    <col min="4" max="8" width="11.6328125" customWidth="1"/>
  </cols>
  <sheetData>
    <row r="1" spans="1:9" s="13" customFormat="1" ht="45" customHeight="1" x14ac:dyDescent="0.65">
      <c r="A1" s="4" t="str">
        <f>Welcome!A2</f>
        <v>13-Week Cash Flow Model</v>
      </c>
      <c r="B1" s="7"/>
      <c r="C1" s="9"/>
      <c r="D1" s="9"/>
      <c r="E1" s="9"/>
      <c r="F1" s="9"/>
      <c r="G1" s="9"/>
      <c r="H1" s="9"/>
    </row>
    <row r="2" spans="1:9" s="13" customFormat="1" ht="21" x14ac:dyDescent="0.5">
      <c r="A2" s="11"/>
      <c r="B2" s="6"/>
      <c r="C2" s="8"/>
      <c r="D2" s="56">
        <f>D4-C4</f>
        <v>30</v>
      </c>
      <c r="E2" s="56">
        <f>E4-D4</f>
        <v>31</v>
      </c>
      <c r="F2" s="56">
        <f t="shared" ref="F2:H2" si="0">F4-E4</f>
        <v>31</v>
      </c>
      <c r="G2" s="56">
        <f t="shared" si="0"/>
        <v>30</v>
      </c>
      <c r="H2" s="56">
        <f t="shared" si="0"/>
        <v>31</v>
      </c>
      <c r="I2"/>
    </row>
    <row r="3" spans="1:9" s="103" customFormat="1" ht="21" x14ac:dyDescent="0.5">
      <c r="A3" s="11"/>
      <c r="B3" s="6"/>
      <c r="C3" s="56" t="s">
        <v>191</v>
      </c>
      <c r="D3" s="56" t="s">
        <v>191</v>
      </c>
      <c r="E3" s="56" t="s">
        <v>191</v>
      </c>
      <c r="F3" s="56" t="s">
        <v>191</v>
      </c>
      <c r="G3" s="56" t="s">
        <v>191</v>
      </c>
      <c r="H3" s="56" t="s">
        <v>191</v>
      </c>
      <c r="I3"/>
    </row>
    <row r="4" spans="1:9" s="66" customFormat="1" ht="21" x14ac:dyDescent="0.5">
      <c r="A4" s="11"/>
      <c r="B4" s="6"/>
      <c r="C4" s="8">
        <v>43982</v>
      </c>
      <c r="D4" s="8">
        <f>EDATE(C4,1)</f>
        <v>44012</v>
      </c>
      <c r="E4" s="8">
        <f>EDATE(D4,1)+1</f>
        <v>44043</v>
      </c>
      <c r="F4" s="8">
        <f t="shared" ref="F4" si="1">EDATE(E4,1)</f>
        <v>44074</v>
      </c>
      <c r="G4" s="8">
        <f t="shared" ref="G4" si="2">EDATE(F4,1)</f>
        <v>44104</v>
      </c>
      <c r="H4" s="8">
        <f>EDATE(G4,1)+1</f>
        <v>44135</v>
      </c>
      <c r="I4"/>
    </row>
    <row r="6" spans="1:9" ht="15" customHeight="1" x14ac:dyDescent="0.35">
      <c r="A6" s="12" t="s">
        <v>34</v>
      </c>
      <c r="C6" s="13"/>
      <c r="D6" s="13"/>
    </row>
    <row r="7" spans="1:9" ht="15" customHeight="1" x14ac:dyDescent="0.35">
      <c r="B7" t="s">
        <v>23</v>
      </c>
      <c r="C7" s="49">
        <v>23911</v>
      </c>
      <c r="D7" s="49">
        <v>23287</v>
      </c>
      <c r="E7" s="49">
        <v>20563</v>
      </c>
      <c r="F7" s="49">
        <v>21993</v>
      </c>
      <c r="G7" s="49">
        <v>20226</v>
      </c>
      <c r="H7" s="49">
        <v>21989</v>
      </c>
    </row>
    <row r="8" spans="1:9" ht="15" customHeight="1" x14ac:dyDescent="0.35">
      <c r="B8" t="s">
        <v>24</v>
      </c>
      <c r="C8" s="49">
        <v>44456</v>
      </c>
      <c r="D8" s="77">
        <f>'Monthly Rollforward'!D11</f>
        <v>46417</v>
      </c>
      <c r="E8" s="77">
        <f>'Monthly Rollforward'!E11</f>
        <v>53480</v>
      </c>
      <c r="F8" s="77">
        <f>'Monthly Rollforward'!F11</f>
        <v>62336</v>
      </c>
      <c r="G8" s="77">
        <f>'Monthly Rollforward'!G11</f>
        <v>65253</v>
      </c>
      <c r="H8" s="77">
        <f>'Monthly Rollforward'!H11</f>
        <v>68960</v>
      </c>
    </row>
    <row r="9" spans="1:9" ht="15" customHeight="1" x14ac:dyDescent="0.35">
      <c r="B9" t="s">
        <v>25</v>
      </c>
      <c r="C9" s="49">
        <v>95540</v>
      </c>
      <c r="D9" s="77">
        <f>'Monthly Rollforward'!D17</f>
        <v>91903</v>
      </c>
      <c r="E9" s="77">
        <f>'Monthly Rollforward'!E17</f>
        <v>88448.000000000029</v>
      </c>
      <c r="F9" s="77">
        <f>'Monthly Rollforward'!F17</f>
        <v>88316.000000000029</v>
      </c>
      <c r="G9" s="77">
        <f>'Monthly Rollforward'!G17</f>
        <v>87107.000000000029</v>
      </c>
      <c r="H9" s="77">
        <f>'Monthly Rollforward'!H17</f>
        <v>90891.503999999986</v>
      </c>
    </row>
    <row r="10" spans="1:9" ht="15" customHeight="1" x14ac:dyDescent="0.35">
      <c r="A10" s="37"/>
      <c r="B10" t="s">
        <v>26</v>
      </c>
      <c r="C10" s="49">
        <v>7256</v>
      </c>
      <c r="D10" s="49">
        <v>7477</v>
      </c>
      <c r="E10" s="49">
        <v>8273</v>
      </c>
      <c r="F10" s="49">
        <v>7831</v>
      </c>
      <c r="G10" s="49">
        <v>7140</v>
      </c>
      <c r="H10" s="49">
        <v>8195.9040000000005</v>
      </c>
    </row>
    <row r="11" spans="1:9" ht="15" customHeight="1" x14ac:dyDescent="0.35">
      <c r="B11" s="52" t="s">
        <v>27</v>
      </c>
      <c r="C11" s="52">
        <f t="shared" ref="C11:H11" si="3">SUM(C7:C10)</f>
        <v>171163</v>
      </c>
      <c r="D11" s="52">
        <f t="shared" si="3"/>
        <v>169084</v>
      </c>
      <c r="E11" s="52">
        <f t="shared" si="3"/>
        <v>170764.00000000003</v>
      </c>
      <c r="F11" s="52">
        <f t="shared" si="3"/>
        <v>180476.00000000003</v>
      </c>
      <c r="G11" s="52">
        <f t="shared" si="3"/>
        <v>179726.00000000003</v>
      </c>
      <c r="H11" s="52">
        <f t="shared" si="3"/>
        <v>190036.408</v>
      </c>
    </row>
    <row r="12" spans="1:9" ht="15" customHeight="1" x14ac:dyDescent="0.35">
      <c r="D12" s="13"/>
    </row>
    <row r="13" spans="1:9" ht="15" customHeight="1" x14ac:dyDescent="0.35">
      <c r="B13" t="s">
        <v>28</v>
      </c>
      <c r="C13" s="49">
        <v>6320</v>
      </c>
      <c r="D13" s="49">
        <v>6927</v>
      </c>
      <c r="E13" s="49">
        <v>6927</v>
      </c>
      <c r="F13" s="49">
        <v>6927</v>
      </c>
      <c r="G13" s="49">
        <v>7534</v>
      </c>
      <c r="H13" s="49">
        <v>7231.68</v>
      </c>
    </row>
    <row r="14" spans="1:9" ht="15" customHeight="1" x14ac:dyDescent="0.35">
      <c r="B14" t="s">
        <v>227</v>
      </c>
      <c r="C14" s="49">
        <v>1340</v>
      </c>
      <c r="D14" s="49">
        <v>1340</v>
      </c>
      <c r="E14" s="49">
        <v>1340</v>
      </c>
      <c r="F14" s="49">
        <v>1340</v>
      </c>
      <c r="G14" s="49">
        <v>1340</v>
      </c>
      <c r="H14" s="49">
        <v>1273</v>
      </c>
    </row>
    <row r="15" spans="1:9" ht="15" customHeight="1" x14ac:dyDescent="0.35">
      <c r="B15" t="s">
        <v>29</v>
      </c>
      <c r="C15" s="49">
        <v>11277</v>
      </c>
      <c r="D15" s="49">
        <v>11047</v>
      </c>
      <c r="E15" s="49">
        <v>11062</v>
      </c>
      <c r="F15" s="49">
        <v>11477</v>
      </c>
      <c r="G15" s="49">
        <v>11301</v>
      </c>
      <c r="H15" s="49">
        <v>11301</v>
      </c>
    </row>
    <row r="16" spans="1:9" ht="15" customHeight="1" x14ac:dyDescent="0.35">
      <c r="B16" t="s">
        <v>30</v>
      </c>
      <c r="C16" s="49">
        <v>197097</v>
      </c>
      <c r="D16" s="49">
        <v>197097</v>
      </c>
      <c r="E16" s="49">
        <v>197097</v>
      </c>
      <c r="F16" s="49">
        <v>197097</v>
      </c>
      <c r="G16" s="49">
        <v>197097</v>
      </c>
      <c r="H16" s="49">
        <v>197097</v>
      </c>
    </row>
    <row r="17" spans="1:8" ht="15" customHeight="1" x14ac:dyDescent="0.35">
      <c r="B17" t="s">
        <v>31</v>
      </c>
      <c r="C17" s="49">
        <v>27891</v>
      </c>
      <c r="D17" s="49">
        <v>28911</v>
      </c>
      <c r="E17" s="49">
        <v>29005</v>
      </c>
      <c r="F17" s="49">
        <v>28493</v>
      </c>
      <c r="G17" s="49">
        <v>28554</v>
      </c>
      <c r="H17" s="49">
        <v>28554</v>
      </c>
    </row>
    <row r="18" spans="1:8" ht="15" customHeight="1" x14ac:dyDescent="0.35">
      <c r="B18" t="s">
        <v>32</v>
      </c>
      <c r="C18" s="49">
        <v>91175</v>
      </c>
      <c r="D18" s="49">
        <v>90131</v>
      </c>
      <c r="E18" s="49">
        <v>89139</v>
      </c>
      <c r="F18" s="49">
        <v>88181</v>
      </c>
      <c r="G18" s="49">
        <v>85994</v>
      </c>
      <c r="H18" s="49">
        <v>84974.42</v>
      </c>
    </row>
    <row r="19" spans="1:8" ht="15" customHeight="1" x14ac:dyDescent="0.35">
      <c r="B19" s="52" t="s">
        <v>33</v>
      </c>
      <c r="C19" s="52">
        <f t="shared" ref="C19:H19" si="4">SUM(C13:C18,C11)</f>
        <v>506263</v>
      </c>
      <c r="D19" s="52">
        <f t="shared" si="4"/>
        <v>504537</v>
      </c>
      <c r="E19" s="52">
        <f t="shared" si="4"/>
        <v>505334</v>
      </c>
      <c r="F19" s="52">
        <f t="shared" si="4"/>
        <v>513991</v>
      </c>
      <c r="G19" s="52">
        <f t="shared" si="4"/>
        <v>511546</v>
      </c>
      <c r="H19" s="52">
        <f t="shared" si="4"/>
        <v>520467.50799999997</v>
      </c>
    </row>
    <row r="21" spans="1:8" ht="15" customHeight="1" x14ac:dyDescent="0.35">
      <c r="A21" s="12" t="s">
        <v>35</v>
      </c>
      <c r="E21" s="66"/>
      <c r="F21" s="66"/>
      <c r="G21" s="66"/>
      <c r="H21" s="66"/>
    </row>
    <row r="22" spans="1:8" ht="15" customHeight="1" x14ac:dyDescent="0.35">
      <c r="B22" t="s">
        <v>36</v>
      </c>
      <c r="C22" s="49">
        <f>346+47251+700</f>
        <v>48297</v>
      </c>
      <c r="D22" s="77">
        <f>'Monthly Rollforward'!D23</f>
        <v>47558</v>
      </c>
      <c r="E22" s="77">
        <f>'Monthly Rollforward'!E23</f>
        <v>48883.000000000022</v>
      </c>
      <c r="F22" s="77">
        <f>'Monthly Rollforward'!F23</f>
        <v>51140.000000000022</v>
      </c>
      <c r="G22" s="77">
        <f>'Monthly Rollforward'!G23</f>
        <v>47396.001000000018</v>
      </c>
      <c r="H22" s="77">
        <f>'Monthly Rollforward'!H23</f>
        <v>58058.968999999983</v>
      </c>
    </row>
    <row r="23" spans="1:8" ht="15" customHeight="1" x14ac:dyDescent="0.35">
      <c r="B23" t="s">
        <v>37</v>
      </c>
      <c r="C23" s="49">
        <f>7698+200</f>
        <v>7898</v>
      </c>
      <c r="D23" s="77">
        <f>'Monthly Rollforward'!D29</f>
        <v>8533</v>
      </c>
      <c r="E23" s="77">
        <f>'Monthly Rollforward'!E29</f>
        <v>9952</v>
      </c>
      <c r="F23" s="77">
        <f>'Monthly Rollforward'!F29</f>
        <v>10527</v>
      </c>
      <c r="G23" s="77">
        <f>'Monthly Rollforward'!G29</f>
        <v>10120</v>
      </c>
      <c r="H23" s="77">
        <f>'Monthly Rollforward'!H29</f>
        <v>12052.800000000001</v>
      </c>
    </row>
    <row r="24" spans="1:8" ht="15" customHeight="1" x14ac:dyDescent="0.35">
      <c r="B24" t="s">
        <v>38</v>
      </c>
      <c r="C24" s="49">
        <f>21933+2283</f>
        <v>24216</v>
      </c>
      <c r="D24" s="77">
        <f>'Monthly Rollforward'!D35</f>
        <v>23942</v>
      </c>
      <c r="E24" s="77">
        <f>'Monthly Rollforward'!E35</f>
        <v>23332</v>
      </c>
      <c r="F24" s="77">
        <f>'Monthly Rollforward'!F35</f>
        <v>24738</v>
      </c>
      <c r="G24" s="77">
        <f>'Monthly Rollforward'!G35</f>
        <v>27055.86</v>
      </c>
      <c r="H24" s="77">
        <f>'Monthly Rollforward'!H35</f>
        <v>28926.719999999998</v>
      </c>
    </row>
    <row r="25" spans="1:8" ht="15" customHeight="1" x14ac:dyDescent="0.35">
      <c r="B25" t="s">
        <v>48</v>
      </c>
      <c r="C25" s="49">
        <v>62935</v>
      </c>
      <c r="D25" s="49">
        <v>62354.837500000001</v>
      </c>
      <c r="E25" s="49">
        <v>65381.56</v>
      </c>
      <c r="F25" s="49">
        <v>71706.895999999993</v>
      </c>
      <c r="G25" s="49">
        <v>71884.24725</v>
      </c>
      <c r="H25" s="49">
        <v>64111.959499999997</v>
      </c>
    </row>
    <row r="26" spans="1:8" ht="15" customHeight="1" x14ac:dyDescent="0.35">
      <c r="B26" s="52" t="s">
        <v>40</v>
      </c>
      <c r="C26" s="52">
        <f t="shared" ref="C26:H26" si="5">SUM(C22:C25)</f>
        <v>143346</v>
      </c>
      <c r="D26" s="52">
        <f t="shared" si="5"/>
        <v>142387.83749999999</v>
      </c>
      <c r="E26" s="52">
        <f t="shared" si="5"/>
        <v>147548.56000000003</v>
      </c>
      <c r="F26" s="52">
        <f t="shared" si="5"/>
        <v>158111.89600000001</v>
      </c>
      <c r="G26" s="52">
        <f t="shared" si="5"/>
        <v>156456.10825000002</v>
      </c>
      <c r="H26" s="52">
        <f t="shared" si="5"/>
        <v>163150.4485</v>
      </c>
    </row>
    <row r="28" spans="1:8" ht="15" customHeight="1" x14ac:dyDescent="0.35">
      <c r="B28" t="s">
        <v>41</v>
      </c>
      <c r="C28" s="49">
        <v>394000</v>
      </c>
      <c r="D28" s="49">
        <v>394000</v>
      </c>
      <c r="E28" s="49">
        <v>394000</v>
      </c>
      <c r="F28" s="49">
        <v>394000</v>
      </c>
      <c r="G28" s="49">
        <v>394000</v>
      </c>
      <c r="H28" s="49">
        <v>394000</v>
      </c>
    </row>
    <row r="29" spans="1:8" ht="15" customHeight="1" x14ac:dyDescent="0.35">
      <c r="B29" t="s">
        <v>42</v>
      </c>
      <c r="C29" s="49">
        <f>6055+164</f>
        <v>6219</v>
      </c>
      <c r="D29" s="49">
        <f>6211+162</f>
        <v>6373</v>
      </c>
      <c r="E29" s="49">
        <f>5760+164</f>
        <v>5924</v>
      </c>
      <c r="F29" s="49">
        <f>5309+156</f>
        <v>5465</v>
      </c>
      <c r="G29" s="49">
        <f>5464+165</f>
        <v>5629</v>
      </c>
      <c r="H29" s="49">
        <v>7231.68</v>
      </c>
    </row>
    <row r="30" spans="1:8" ht="15" customHeight="1" x14ac:dyDescent="0.35">
      <c r="B30" s="47" t="s">
        <v>39</v>
      </c>
      <c r="C30" s="49">
        <f>44135+3705</f>
        <v>47840</v>
      </c>
      <c r="D30" s="49">
        <f>44000+3705</f>
        <v>47705</v>
      </c>
      <c r="E30" s="49">
        <f>40007+6983+534</f>
        <v>47524</v>
      </c>
      <c r="F30" s="49">
        <f>534+6792+40016</f>
        <v>47342</v>
      </c>
      <c r="G30" s="49">
        <f>40027+6696+535</f>
        <v>47258</v>
      </c>
      <c r="H30" s="49">
        <v>47258</v>
      </c>
    </row>
    <row r="31" spans="1:8" ht="15" customHeight="1" x14ac:dyDescent="0.35">
      <c r="B31" t="s">
        <v>43</v>
      </c>
      <c r="C31" s="49">
        <f>6048+25496+450</f>
        <v>31994</v>
      </c>
      <c r="D31" s="49">
        <f>6043+24995</f>
        <v>31038</v>
      </c>
      <c r="E31" s="49">
        <f>24944+6167</f>
        <v>31111</v>
      </c>
      <c r="F31" s="49">
        <f>6156+24431</f>
        <v>30587</v>
      </c>
      <c r="G31" s="49">
        <f>6279+24317</f>
        <v>30596</v>
      </c>
      <c r="H31" s="49">
        <v>30596</v>
      </c>
    </row>
    <row r="32" spans="1:8" ht="15" customHeight="1" x14ac:dyDescent="0.35">
      <c r="B32" t="s">
        <v>44</v>
      </c>
      <c r="C32" s="49">
        <f>2225+1146</f>
        <v>3371</v>
      </c>
      <c r="D32" s="49">
        <f>2366+1146</f>
        <v>3512</v>
      </c>
      <c r="E32" s="49">
        <f>2457+1145</f>
        <v>3602</v>
      </c>
      <c r="F32" s="49">
        <f>2518+1146</f>
        <v>3664</v>
      </c>
      <c r="G32" s="49">
        <f>2474+1156</f>
        <v>3630</v>
      </c>
      <c r="H32" s="49">
        <v>3630</v>
      </c>
    </row>
    <row r="33" spans="1:8" ht="15" customHeight="1" x14ac:dyDescent="0.35">
      <c r="B33" s="52" t="s">
        <v>45</v>
      </c>
      <c r="C33" s="52">
        <f t="shared" ref="C33:H33" si="6">SUM(C28:C32,C26)</f>
        <v>626770</v>
      </c>
      <c r="D33" s="52">
        <f t="shared" si="6"/>
        <v>625015.83750000002</v>
      </c>
      <c r="E33" s="52">
        <f t="shared" si="6"/>
        <v>629709.56000000006</v>
      </c>
      <c r="F33" s="52">
        <f t="shared" si="6"/>
        <v>639169.89599999995</v>
      </c>
      <c r="G33" s="52">
        <f t="shared" si="6"/>
        <v>637569.10825000005</v>
      </c>
      <c r="H33" s="52">
        <f t="shared" si="6"/>
        <v>645866.12849999999</v>
      </c>
    </row>
    <row r="34" spans="1:8" ht="15" customHeight="1" x14ac:dyDescent="0.35">
      <c r="B34" t="s">
        <v>46</v>
      </c>
      <c r="C34" s="49">
        <v>-120507</v>
      </c>
      <c r="D34" s="49">
        <v>-120478.83749999999</v>
      </c>
      <c r="E34" s="49">
        <v>-124375.557</v>
      </c>
      <c r="F34" s="49">
        <v>-125178.89600000001</v>
      </c>
      <c r="G34" s="49">
        <v>-126023.10825</v>
      </c>
      <c r="H34" s="49">
        <v>-125398.6205</v>
      </c>
    </row>
    <row r="35" spans="1:8" ht="15" customHeight="1" x14ac:dyDescent="0.35">
      <c r="B35" s="52" t="s">
        <v>47</v>
      </c>
      <c r="C35" s="52">
        <f t="shared" ref="C35:H35" si="7">SUM(C33:C34)</f>
        <v>506263</v>
      </c>
      <c r="D35" s="52">
        <f t="shared" si="7"/>
        <v>504537</v>
      </c>
      <c r="E35" s="52">
        <f t="shared" si="7"/>
        <v>505334.00300000003</v>
      </c>
      <c r="F35" s="52">
        <f t="shared" si="7"/>
        <v>513990.99999999994</v>
      </c>
      <c r="G35" s="52">
        <f t="shared" si="7"/>
        <v>511546.00000000006</v>
      </c>
      <c r="H35" s="52">
        <f t="shared" si="7"/>
        <v>520467.50799999997</v>
      </c>
    </row>
    <row r="37" spans="1:8" ht="15" customHeight="1" x14ac:dyDescent="0.35">
      <c r="B37" t="s">
        <v>49</v>
      </c>
      <c r="C37">
        <f t="shared" ref="C37:H37" si="8">C35-C19</f>
        <v>0</v>
      </c>
      <c r="D37" s="47">
        <f t="shared" si="8"/>
        <v>0</v>
      </c>
      <c r="E37" s="47">
        <f t="shared" si="8"/>
        <v>3.0000000260770321E-3</v>
      </c>
      <c r="F37" s="47">
        <f t="shared" si="8"/>
        <v>0</v>
      </c>
      <c r="G37" s="47">
        <f t="shared" si="8"/>
        <v>0</v>
      </c>
      <c r="H37" s="48">
        <f t="shared" si="8"/>
        <v>0</v>
      </c>
    </row>
    <row r="39" spans="1:8" ht="15" customHeight="1" x14ac:dyDescent="0.35">
      <c r="A39" s="12" t="s">
        <v>94</v>
      </c>
    </row>
    <row r="40" spans="1:8" ht="15" customHeight="1" x14ac:dyDescent="0.35">
      <c r="B40" t="s">
        <v>75</v>
      </c>
      <c r="D40" s="47">
        <f>D8/'Monthly Income Statement'!D11*30</f>
        <v>67.824752812819639</v>
      </c>
      <c r="E40" s="47">
        <f>E8/'Monthly Income Statement'!E11*30</f>
        <v>59.391426667653811</v>
      </c>
      <c r="F40" s="47">
        <f>F8/'Monthly Income Statement'!F11*30</f>
        <v>63.584373193703037</v>
      </c>
      <c r="G40" s="47">
        <f>G8/'Monthly Income Statement'!G11*30</f>
        <v>56.435840516620054</v>
      </c>
      <c r="H40" s="66">
        <v>50</v>
      </c>
    </row>
    <row r="41" spans="1:8" ht="15" customHeight="1" x14ac:dyDescent="0.35">
      <c r="B41" t="s">
        <v>121</v>
      </c>
      <c r="D41">
        <f>'Monthly Balance Sheet'!D9/-('Monthly Income Statement'!D14)*30</f>
        <v>290.91820368885323</v>
      </c>
      <c r="E41" s="66">
        <f>'Monthly Balance Sheet'!E9/-('Monthly Income Statement'!E14)*30</f>
        <v>225.3720187538222</v>
      </c>
      <c r="F41" s="66">
        <f>'Monthly Balance Sheet'!F9/-('Monthly Income Statement'!F14)*30</f>
        <v>241.47648559970841</v>
      </c>
      <c r="G41" s="66">
        <f>'Monthly Balance Sheet'!G9/-('Monthly Income Statement'!G14)*30</f>
        <v>205.18985760434308</v>
      </c>
      <c r="H41" s="66">
        <f>'Monthly Balance Sheet'!H9/-('Monthly Income Statement'!H14)*30</f>
        <v>193.91428571428571</v>
      </c>
    </row>
    <row r="42" spans="1:8" ht="15" customHeight="1" x14ac:dyDescent="0.35">
      <c r="B42" t="s">
        <v>140</v>
      </c>
      <c r="D42">
        <f>D22/-('Monthly Income Statement'!D14)*30</f>
        <v>150.54446460980037</v>
      </c>
      <c r="E42" s="66">
        <f>E22/-('Monthly Income Statement'!E14)*30</f>
        <v>124.55748454168655</v>
      </c>
      <c r="F42" s="66">
        <f>F22/-('Monthly Income Statement'!F14)*30</f>
        <v>139.82865475756478</v>
      </c>
      <c r="G42" s="66">
        <f>G22/-('Monthly Income Statement'!G14)*30</f>
        <v>111.64635099596245</v>
      </c>
      <c r="H42" s="66">
        <f>H22/-('Monthly Income Statement'!H14)*30</f>
        <v>123.86706135859359</v>
      </c>
    </row>
    <row r="43" spans="1:8" s="48" customFormat="1" ht="15" customHeight="1" x14ac:dyDescent="0.35">
      <c r="A43" s="12"/>
      <c r="H43"/>
    </row>
    <row r="44" spans="1:8" s="48" customFormat="1" ht="15" customHeight="1" x14ac:dyDescent="0.35">
      <c r="A44" s="12"/>
      <c r="B44" s="48" t="s">
        <v>90</v>
      </c>
      <c r="D44" s="67">
        <f>D10/('Monthly Income Statement'!D$11*12)</f>
        <v>3.0348416216128455E-2</v>
      </c>
      <c r="E44" s="67">
        <f>E10/('Monthly Income Statement'!E$11*12)</f>
        <v>2.5520717652575207E-2</v>
      </c>
      <c r="F44" s="67">
        <f>F10/('Monthly Income Statement'!F$11*12)</f>
        <v>2.2188410231999366E-2</v>
      </c>
      <c r="G44" s="67">
        <f>G10/('Monthly Income Statement'!G$11*12)</f>
        <v>1.7153400409375269E-2</v>
      </c>
      <c r="H44" s="67">
        <v>1.7000000000000001E-2</v>
      </c>
    </row>
    <row r="45" spans="1:8" s="48" customFormat="1" ht="15" customHeight="1" x14ac:dyDescent="0.35">
      <c r="A45" s="12"/>
      <c r="B45" s="48" t="s">
        <v>91</v>
      </c>
      <c r="D45" s="67">
        <f>D23/('Monthly Income Statement'!D$11*12)</f>
        <v>3.4634617570178432E-2</v>
      </c>
      <c r="E45" s="67">
        <f>E23/('Monthly Income Statement'!E$11*12)</f>
        <v>3.0700130796377186E-2</v>
      </c>
      <c r="F45" s="67">
        <f>F23/('Monthly Income Statement'!F$11*12)</f>
        <v>2.982727550916324E-2</v>
      </c>
      <c r="G45" s="67">
        <f>G23/('Monthly Income Statement'!G$11*12)</f>
        <v>2.4312662765108926E-2</v>
      </c>
      <c r="H45" s="67">
        <v>2.5000000000000001E-2</v>
      </c>
    </row>
    <row r="46" spans="1:8" s="48" customFormat="1" ht="15" customHeight="1" x14ac:dyDescent="0.35">
      <c r="A46" s="12"/>
      <c r="B46" s="48" t="s">
        <v>92</v>
      </c>
      <c r="D46" s="67">
        <f>D24/('Monthly Income Statement'!D$11*12)</f>
        <v>9.7178250775250441E-2</v>
      </c>
      <c r="E46" s="67">
        <f>E24/('Monthly Income Statement'!E$11*12)</f>
        <v>7.1975025295525782E-2</v>
      </c>
      <c r="F46" s="67">
        <f>F24/('Monthly Income Statement'!F$11*12)</f>
        <v>7.0092822413382744E-2</v>
      </c>
      <c r="G46" s="67">
        <v>6.5000000000000002E-2</v>
      </c>
      <c r="H46" s="67">
        <v>0.06</v>
      </c>
    </row>
    <row r="47" spans="1:8" s="48" customFormat="1" ht="15" customHeight="1" x14ac:dyDescent="0.35">
      <c r="A47" s="12" t="s">
        <v>95</v>
      </c>
      <c r="D47" s="67"/>
      <c r="E47" s="67"/>
      <c r="F47" s="67"/>
      <c r="G47" s="67"/>
      <c r="H47"/>
    </row>
    <row r="48" spans="1:8" s="48" customFormat="1" ht="15" customHeight="1" x14ac:dyDescent="0.35">
      <c r="A48" s="12"/>
      <c r="B48" s="48" t="s">
        <v>126</v>
      </c>
      <c r="D48" s="67">
        <f>'Monthly Rollforward'!D39/('Monthly Income Statement'!D11*12)</f>
        <v>2.029451398697904E-2</v>
      </c>
      <c r="E48" s="67">
        <f>'Monthly Rollforward'!E39/('Monthly Income Statement'!E11*12)</f>
        <v>1.5424101083388861E-2</v>
      </c>
      <c r="F48" s="67">
        <f>'Monthly Rollforward'!F39/('Monthly Income Statement'!F11*12)</f>
        <v>1.4167035009576915E-2</v>
      </c>
      <c r="G48" s="67">
        <f>'Monthly Rollforward'!G39/('Monthly Income Statement'!G11*12)</f>
        <v>9.6097481285015527E-3</v>
      </c>
      <c r="H48" s="67">
        <v>1.4999999999999999E-2</v>
      </c>
    </row>
    <row r="49" spans="1:8" s="48" customFormat="1" ht="15" customHeight="1" x14ac:dyDescent="0.35">
      <c r="A49" s="12"/>
      <c r="B49" s="48" t="s">
        <v>93</v>
      </c>
      <c r="D49" s="74">
        <v>0</v>
      </c>
      <c r="E49" s="74">
        <v>0</v>
      </c>
      <c r="F49" s="74">
        <v>0</v>
      </c>
      <c r="G49" s="74">
        <v>0</v>
      </c>
      <c r="H49" s="74">
        <v>0</v>
      </c>
    </row>
    <row r="58" spans="1:8" ht="15" customHeight="1" x14ac:dyDescent="0.35">
      <c r="E58" s="67"/>
      <c r="F58" s="67"/>
      <c r="G58" s="67"/>
      <c r="H58" s="67"/>
    </row>
  </sheetData>
  <pageMargins left="0.7" right="0.7" top="0.75" bottom="0.75" header="0.3" footer="0.3"/>
  <pageSetup paperSize="9" orientation="landscape" verticalDpi="1200" r:id="rId1"/>
  <headerFooter>
    <oddHeader xml:space="preserve">&amp;R&amp;10&amp;F 
&amp;A
</oddHeader>
    <oddFooter>&amp;L&amp;10© 2020&amp;C&amp;10Page &amp;P of &amp;N&amp;R&amp;G</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F44C66-D215-473E-9B99-89500CDEAFDD}">
  <dimension ref="A1:L57"/>
  <sheetViews>
    <sheetView topLeftCell="A28" zoomScaleNormal="100" workbookViewId="0">
      <selection activeCell="D47" sqref="D47"/>
    </sheetView>
  </sheetViews>
  <sheetFormatPr defaultColWidth="9.08984375" defaultRowHeight="15" customHeight="1" x14ac:dyDescent="0.35"/>
  <cols>
    <col min="1" max="1" width="1.54296875" style="12" customWidth="1"/>
    <col min="2" max="2" width="40.54296875" style="47" customWidth="1"/>
    <col min="3" max="3" width="11.54296875" style="47" hidden="1" customWidth="1"/>
    <col min="4" max="10" width="11.54296875" style="47" customWidth="1"/>
    <col min="11" max="11" width="11.6328125" style="47" customWidth="1"/>
    <col min="12" max="12" width="9.08984375" style="47" customWidth="1"/>
    <col min="13" max="16384" width="9.08984375" style="47"/>
  </cols>
  <sheetData>
    <row r="1" spans="1:12" ht="45" customHeight="1" x14ac:dyDescent="0.65">
      <c r="A1" s="4" t="str">
        <f>Welcome!A2</f>
        <v>13-Week Cash Flow Model</v>
      </c>
      <c r="B1" s="7"/>
      <c r="C1" s="9"/>
      <c r="D1" s="9"/>
      <c r="E1" s="9"/>
      <c r="F1" s="9"/>
      <c r="G1" s="9"/>
      <c r="H1" s="9"/>
      <c r="I1" s="9"/>
      <c r="J1" s="9"/>
      <c r="K1" s="9"/>
    </row>
    <row r="2" spans="1:12" ht="21" x14ac:dyDescent="0.5">
      <c r="A2" s="11"/>
      <c r="B2" s="6"/>
      <c r="C2" s="56"/>
      <c r="D2" s="56">
        <f>D4-C4</f>
        <v>30</v>
      </c>
      <c r="E2" s="56">
        <v>31</v>
      </c>
      <c r="F2" s="56">
        <v>31</v>
      </c>
      <c r="G2" s="56">
        <v>30</v>
      </c>
      <c r="H2" s="56">
        <v>31</v>
      </c>
      <c r="I2" s="56">
        <v>30</v>
      </c>
      <c r="J2" s="56">
        <v>31</v>
      </c>
      <c r="K2" s="56">
        <v>31</v>
      </c>
      <c r="L2"/>
    </row>
    <row r="3" spans="1:12" s="103" customFormat="1" ht="21" x14ac:dyDescent="0.5">
      <c r="A3" s="11"/>
      <c r="B3" s="6"/>
      <c r="C3" s="56" t="s">
        <v>191</v>
      </c>
      <c r="D3" s="56" t="s">
        <v>191</v>
      </c>
      <c r="E3" s="56" t="s">
        <v>191</v>
      </c>
      <c r="F3" s="56" t="s">
        <v>191</v>
      </c>
      <c r="G3" s="56" t="s">
        <v>191</v>
      </c>
      <c r="H3" s="56" t="s">
        <v>191</v>
      </c>
      <c r="I3" s="56" t="s">
        <v>74</v>
      </c>
      <c r="J3" s="56" t="s">
        <v>74</v>
      </c>
      <c r="K3" s="56" t="s">
        <v>74</v>
      </c>
      <c r="L3"/>
    </row>
    <row r="4" spans="1:12" ht="21" x14ac:dyDescent="0.5">
      <c r="A4" s="11"/>
      <c r="B4" s="6"/>
      <c r="C4" s="8">
        <v>43982</v>
      </c>
      <c r="D4" s="8">
        <f>EDATE(C4,1)</f>
        <v>44012</v>
      </c>
      <c r="E4" s="8">
        <f>D4+E2</f>
        <v>44043</v>
      </c>
      <c r="F4" s="8">
        <f t="shared" ref="F4:K4" si="0">E4+F2</f>
        <v>44074</v>
      </c>
      <c r="G4" s="8">
        <f t="shared" si="0"/>
        <v>44104</v>
      </c>
      <c r="H4" s="8">
        <f t="shared" si="0"/>
        <v>44135</v>
      </c>
      <c r="I4" s="8">
        <f t="shared" si="0"/>
        <v>44165</v>
      </c>
      <c r="J4" s="8">
        <f t="shared" si="0"/>
        <v>44196</v>
      </c>
      <c r="K4" s="8">
        <f t="shared" si="0"/>
        <v>44227</v>
      </c>
      <c r="L4"/>
    </row>
    <row r="6" spans="1:12" ht="15" hidden="1" customHeight="1" x14ac:dyDescent="0.35">
      <c r="B6" s="100" t="s">
        <v>192</v>
      </c>
    </row>
    <row r="7" spans="1:12" s="66" customFormat="1" ht="15" hidden="1" customHeight="1" x14ac:dyDescent="0.35">
      <c r="A7" s="12"/>
      <c r="B7" s="109" t="s">
        <v>193</v>
      </c>
    </row>
    <row r="8" spans="1:12" s="66" customFormat="1" ht="15" hidden="1" customHeight="1" x14ac:dyDescent="0.35">
      <c r="A8" s="12"/>
      <c r="B8" s="109" t="s">
        <v>193</v>
      </c>
    </row>
    <row r="9" spans="1:12" s="66" customFormat="1" ht="15" hidden="1" customHeight="1" x14ac:dyDescent="0.35">
      <c r="A9" s="12"/>
      <c r="B9" s="109" t="s">
        <v>193</v>
      </c>
    </row>
    <row r="10" spans="1:12" ht="15" hidden="1" customHeight="1" x14ac:dyDescent="0.35">
      <c r="B10" s="109" t="s">
        <v>193</v>
      </c>
    </row>
    <row r="11" spans="1:12" ht="15" customHeight="1" x14ac:dyDescent="0.35">
      <c r="B11" s="47" t="s">
        <v>50</v>
      </c>
      <c r="D11" s="49">
        <v>20531</v>
      </c>
      <c r="E11" s="49">
        <v>27014</v>
      </c>
      <c r="F11" s="49">
        <v>29411</v>
      </c>
      <c r="G11" s="49">
        <v>34687</v>
      </c>
      <c r="H11" s="49">
        <v>40176</v>
      </c>
      <c r="I11" s="49">
        <v>42184.800000000003</v>
      </c>
      <c r="J11" s="49">
        <v>42184.800000000003</v>
      </c>
      <c r="K11" s="49">
        <v>40075.56</v>
      </c>
      <c r="L11"/>
    </row>
    <row r="12" spans="1:12" ht="15" customHeight="1" x14ac:dyDescent="0.35">
      <c r="B12" s="58" t="s">
        <v>51</v>
      </c>
      <c r="D12" s="49"/>
      <c r="E12" s="50"/>
      <c r="F12" s="49"/>
      <c r="G12" s="49"/>
      <c r="I12" s="48"/>
    </row>
    <row r="13" spans="1:12" ht="15" customHeight="1" x14ac:dyDescent="0.35">
      <c r="B13" s="51" t="s">
        <v>76</v>
      </c>
      <c r="D13" s="49">
        <v>-5032.8</v>
      </c>
      <c r="E13" s="64">
        <v>-6850.4000000000005</v>
      </c>
      <c r="F13" s="49">
        <v>-7860</v>
      </c>
      <c r="G13" s="49">
        <v>-9261.4290000000001</v>
      </c>
      <c r="H13" s="49">
        <v>-10726.992</v>
      </c>
      <c r="I13" s="49">
        <v>-12655.44</v>
      </c>
      <c r="J13" s="49">
        <v>-12655.44</v>
      </c>
      <c r="K13" s="49">
        <v>-10620.0234</v>
      </c>
      <c r="L13" s="48"/>
    </row>
    <row r="14" spans="1:12" ht="15" customHeight="1" x14ac:dyDescent="0.35">
      <c r="B14" s="51" t="s">
        <v>77</v>
      </c>
      <c r="D14" s="49">
        <v>-9477.2000000000007</v>
      </c>
      <c r="E14" s="50">
        <v>-11773.599999999999</v>
      </c>
      <c r="F14" s="50">
        <v>-10972</v>
      </c>
      <c r="G14" s="50">
        <v>-12735.571</v>
      </c>
      <c r="H14" s="50">
        <v>-14061.599999999999</v>
      </c>
      <c r="I14" s="49">
        <v>-14764.68</v>
      </c>
      <c r="J14" s="49">
        <v>-14764.68</v>
      </c>
      <c r="K14" s="49">
        <v>-14026.445999999998</v>
      </c>
      <c r="L14" s="48"/>
    </row>
    <row r="15" spans="1:12" ht="15" customHeight="1" x14ac:dyDescent="0.35">
      <c r="B15" s="51" t="s">
        <v>83</v>
      </c>
      <c r="D15" s="50">
        <v>-6044</v>
      </c>
      <c r="E15" s="50">
        <v>-5992</v>
      </c>
      <c r="F15" s="50">
        <v>-5958</v>
      </c>
      <c r="G15" s="50">
        <v>-6187</v>
      </c>
      <c r="H15" s="50">
        <v>-6019.5800000000008</v>
      </c>
      <c r="I15" s="49">
        <v>-5948.2094000000006</v>
      </c>
      <c r="J15" s="49">
        <v>-5881.834742</v>
      </c>
      <c r="K15" s="49">
        <v>-5820.1063100599995</v>
      </c>
      <c r="L15" s="48"/>
    </row>
    <row r="16" spans="1:12" ht="15" customHeight="1" x14ac:dyDescent="0.35">
      <c r="B16" s="52" t="s">
        <v>52</v>
      </c>
      <c r="C16" s="52"/>
      <c r="D16" s="52">
        <f>D11+SUM(D13:D15)</f>
        <v>-23</v>
      </c>
      <c r="E16" s="52">
        <f>E11+SUM(E13:E15)</f>
        <v>2398</v>
      </c>
      <c r="F16" s="52">
        <f>F11+SUM(F13:F15)</f>
        <v>4621</v>
      </c>
      <c r="G16" s="52">
        <f>G11+SUM(G13:G15)</f>
        <v>6503</v>
      </c>
      <c r="H16" s="52">
        <f>H11+SUM(H13:H15)</f>
        <v>9367.8280000000013</v>
      </c>
      <c r="I16" s="52">
        <f t="shared" ref="I16:K16" si="1">I11+SUM(I13:I15)</f>
        <v>8816.4706000000006</v>
      </c>
      <c r="J16" s="52">
        <f t="shared" si="1"/>
        <v>8882.8452580000012</v>
      </c>
      <c r="K16" s="52">
        <f t="shared" si="1"/>
        <v>9608.9842899399991</v>
      </c>
    </row>
    <row r="17" spans="1:12" ht="15" customHeight="1" x14ac:dyDescent="0.35">
      <c r="B17" s="58" t="s">
        <v>53</v>
      </c>
      <c r="D17" s="49"/>
      <c r="E17" s="49"/>
      <c r="F17" s="49"/>
      <c r="G17" s="49"/>
    </row>
    <row r="18" spans="1:12" ht="15" customHeight="1" x14ac:dyDescent="0.35">
      <c r="B18" s="51" t="s">
        <v>76</v>
      </c>
      <c r="D18" s="49">
        <v>-1258.2</v>
      </c>
      <c r="E18" s="49">
        <v>-1712.6000000000001</v>
      </c>
      <c r="F18" s="49">
        <v>-1965</v>
      </c>
      <c r="G18" s="49">
        <v>-2324.029</v>
      </c>
      <c r="H18" s="49">
        <v>-2691.7920000000004</v>
      </c>
      <c r="I18" s="49">
        <v>-2952.9360000000006</v>
      </c>
      <c r="J18" s="49">
        <v>-3374.7840000000001</v>
      </c>
      <c r="K18" s="49">
        <v>-2604.9114</v>
      </c>
      <c r="L18" s="48"/>
    </row>
    <row r="19" spans="1:12" ht="15" customHeight="1" x14ac:dyDescent="0.35">
      <c r="B19" s="51" t="s">
        <v>186</v>
      </c>
      <c r="D19" s="49">
        <v>-1974.8</v>
      </c>
      <c r="E19" s="49">
        <v>-2687.3999999999996</v>
      </c>
      <c r="F19" s="49">
        <v>-1511</v>
      </c>
      <c r="G19" s="49">
        <v>-3019.971</v>
      </c>
      <c r="H19" s="49">
        <v>-3267.6079999999993</v>
      </c>
      <c r="I19" s="49">
        <v>-3585.7080000000005</v>
      </c>
      <c r="J19" s="49">
        <v>-3796.6320000000001</v>
      </c>
      <c r="K19" s="49">
        <v>-3406.4225999999999</v>
      </c>
      <c r="L19" s="48"/>
    </row>
    <row r="20" spans="1:12" ht="15" customHeight="1" x14ac:dyDescent="0.35">
      <c r="B20" s="51" t="s">
        <v>79</v>
      </c>
      <c r="D20" s="49">
        <v>-67</v>
      </c>
      <c r="E20" s="49">
        <v>-67</v>
      </c>
      <c r="F20" s="49">
        <v>-67</v>
      </c>
      <c r="G20" s="49">
        <v>-67</v>
      </c>
      <c r="H20" s="49">
        <v>-67</v>
      </c>
      <c r="I20" s="49">
        <v>-67</v>
      </c>
      <c r="J20" s="49">
        <v>-67</v>
      </c>
      <c r="K20" s="49">
        <v>-67</v>
      </c>
      <c r="L20" s="48"/>
    </row>
    <row r="21" spans="1:12" s="98" customFormat="1" ht="15" customHeight="1" x14ac:dyDescent="0.35">
      <c r="A21" s="12"/>
      <c r="B21" s="58" t="s">
        <v>55</v>
      </c>
      <c r="D21" s="49">
        <v>214</v>
      </c>
      <c r="E21" s="49">
        <v>43</v>
      </c>
      <c r="F21" s="49">
        <v>52</v>
      </c>
      <c r="G21" s="49">
        <v>66</v>
      </c>
      <c r="H21" s="49">
        <v>75</v>
      </c>
      <c r="I21" s="49">
        <v>75</v>
      </c>
      <c r="J21" s="49">
        <v>75</v>
      </c>
      <c r="K21" s="49">
        <v>65</v>
      </c>
    </row>
    <row r="22" spans="1:12" ht="15" customHeight="1" x14ac:dyDescent="0.35">
      <c r="B22" s="52" t="s">
        <v>54</v>
      </c>
      <c r="C22" s="52"/>
      <c r="D22" s="52">
        <f>D16+SUM(D18:D21)</f>
        <v>-3109</v>
      </c>
      <c r="E22" s="52">
        <f t="shared" ref="E22:K22" si="2">E16+SUM(E18:E21)</f>
        <v>-2026</v>
      </c>
      <c r="F22" s="52">
        <f t="shared" si="2"/>
        <v>1130</v>
      </c>
      <c r="G22" s="52">
        <f t="shared" si="2"/>
        <v>1158</v>
      </c>
      <c r="H22" s="52">
        <f t="shared" si="2"/>
        <v>3416.4280000000017</v>
      </c>
      <c r="I22" s="52">
        <f t="shared" si="2"/>
        <v>2285.8265999999994</v>
      </c>
      <c r="J22" s="52">
        <f t="shared" si="2"/>
        <v>1719.429258000001</v>
      </c>
      <c r="K22" s="52">
        <f t="shared" si="2"/>
        <v>3595.6502899399993</v>
      </c>
      <c r="L22" s="48"/>
    </row>
    <row r="23" spans="1:12" s="74" customFormat="1" ht="15" customHeight="1" x14ac:dyDescent="0.35">
      <c r="A23" s="12"/>
      <c r="B23" s="51" t="s">
        <v>164</v>
      </c>
      <c r="D23" s="49">
        <v>0</v>
      </c>
      <c r="E23" s="49">
        <v>-1000</v>
      </c>
      <c r="F23" s="49">
        <v>0</v>
      </c>
      <c r="G23" s="49">
        <v>0</v>
      </c>
      <c r="H23" s="49">
        <f>-1000</f>
        <v>-1000</v>
      </c>
      <c r="I23" s="49">
        <v>0</v>
      </c>
      <c r="J23" s="49">
        <v>0</v>
      </c>
      <c r="K23" s="49">
        <v>-1000</v>
      </c>
    </row>
    <row r="24" spans="1:12" ht="15" customHeight="1" x14ac:dyDescent="0.35">
      <c r="B24" s="52" t="s">
        <v>56</v>
      </c>
      <c r="C24" s="52"/>
      <c r="D24" s="52">
        <f>SUM(D22:D23)</f>
        <v>-3109</v>
      </c>
      <c r="E24" s="52">
        <f t="shared" ref="E24:K24" si="3">SUM(E22:E23)</f>
        <v>-3026</v>
      </c>
      <c r="F24" s="52">
        <f t="shared" si="3"/>
        <v>1130</v>
      </c>
      <c r="G24" s="52">
        <f t="shared" si="3"/>
        <v>1158</v>
      </c>
      <c r="H24" s="52">
        <f t="shared" si="3"/>
        <v>2416.4280000000017</v>
      </c>
      <c r="I24" s="52">
        <f t="shared" si="3"/>
        <v>2285.8265999999994</v>
      </c>
      <c r="J24" s="52">
        <f t="shared" si="3"/>
        <v>1719.429258000001</v>
      </c>
      <c r="K24" s="52">
        <f t="shared" si="3"/>
        <v>2595.6502899399993</v>
      </c>
    </row>
    <row r="26" spans="1:12" s="74" customFormat="1" ht="15" customHeight="1" x14ac:dyDescent="0.35">
      <c r="A26" s="12" t="s">
        <v>165</v>
      </c>
    </row>
    <row r="27" spans="1:12" s="74" customFormat="1" ht="15" customHeight="1" x14ac:dyDescent="0.35">
      <c r="A27" s="12"/>
      <c r="B27" s="47" t="s">
        <v>80</v>
      </c>
      <c r="C27" s="47"/>
      <c r="D27" s="96"/>
      <c r="E27" s="96">
        <f t="shared" ref="E27:K27" si="4">E11/D11-1</f>
        <v>0.31576640202620432</v>
      </c>
      <c r="F27" s="96">
        <f t="shared" si="4"/>
        <v>8.8731768712519532E-2</v>
      </c>
      <c r="G27" s="96">
        <f t="shared" si="4"/>
        <v>0.17938866410526666</v>
      </c>
      <c r="H27" s="96">
        <f t="shared" si="4"/>
        <v>0.15824372243203499</v>
      </c>
      <c r="I27" s="96">
        <f t="shared" si="4"/>
        <v>5.0000000000000044E-2</v>
      </c>
      <c r="J27" s="96">
        <f t="shared" si="4"/>
        <v>0</v>
      </c>
      <c r="K27" s="96">
        <f t="shared" si="4"/>
        <v>-5.0000000000000155E-2</v>
      </c>
    </row>
    <row r="28" spans="1:12" s="74" customFormat="1" ht="15" customHeight="1" x14ac:dyDescent="0.35">
      <c r="A28" s="12"/>
      <c r="B28" s="47" t="s">
        <v>81</v>
      </c>
      <c r="C28" s="47"/>
      <c r="D28" s="96">
        <f t="shared" ref="D28:K28" si="5">D13/D11*-1</f>
        <v>0.24513175198480347</v>
      </c>
      <c r="E28" s="96">
        <f t="shared" si="5"/>
        <v>0.25358702894795293</v>
      </c>
      <c r="F28" s="96">
        <f t="shared" si="5"/>
        <v>0.26724694842065894</v>
      </c>
      <c r="G28" s="96">
        <f t="shared" si="5"/>
        <v>0.26700000000000002</v>
      </c>
      <c r="H28" s="96">
        <f t="shared" si="5"/>
        <v>0.26700000000000002</v>
      </c>
      <c r="I28" s="96">
        <f t="shared" si="5"/>
        <v>0.3</v>
      </c>
      <c r="J28" s="96">
        <f t="shared" si="5"/>
        <v>0.3</v>
      </c>
      <c r="K28" s="96">
        <f t="shared" si="5"/>
        <v>0.26500000000000001</v>
      </c>
    </row>
    <row r="29" spans="1:12" s="74" customFormat="1" ht="15" customHeight="1" x14ac:dyDescent="0.35">
      <c r="A29" s="12"/>
      <c r="B29" s="47" t="s">
        <v>87</v>
      </c>
      <c r="C29" s="47"/>
      <c r="D29" s="96">
        <f t="shared" ref="D29:K29" si="6">D14/D11*-1</f>
        <v>0.46160440309775463</v>
      </c>
      <c r="E29" s="96">
        <f t="shared" si="6"/>
        <v>0.43583327163692892</v>
      </c>
      <c r="F29" s="96">
        <f t="shared" si="6"/>
        <v>0.37305769950018702</v>
      </c>
      <c r="G29" s="96">
        <f t="shared" si="6"/>
        <v>0.36715688874794589</v>
      </c>
      <c r="H29" s="96">
        <f t="shared" si="6"/>
        <v>0.35</v>
      </c>
      <c r="I29" s="96">
        <f t="shared" si="6"/>
        <v>0.35</v>
      </c>
      <c r="J29" s="96">
        <f t="shared" si="6"/>
        <v>0.35</v>
      </c>
      <c r="K29" s="96">
        <f t="shared" si="6"/>
        <v>0.35</v>
      </c>
    </row>
    <row r="30" spans="1:12" s="74" customFormat="1" ht="15" customHeight="1" x14ac:dyDescent="0.35">
      <c r="A30" s="12"/>
      <c r="B30" s="47" t="s">
        <v>88</v>
      </c>
      <c r="C30" s="47"/>
      <c r="D30" s="96">
        <f>D15/'Monthly Balance Sheet'!C18*-1</f>
        <v>6.6290101453249248E-2</v>
      </c>
      <c r="E30" s="96">
        <f>E15/'Monthly Balance Sheet'!D18*-1</f>
        <v>6.6481010972917198E-2</v>
      </c>
      <c r="F30" s="96">
        <f>F15/'Monthly Balance Sheet'!E18*-1</f>
        <v>6.6839430552283516E-2</v>
      </c>
      <c r="G30" s="96">
        <f>G15/'Monthly Balance Sheet'!F18*-1</f>
        <v>7.0162506662432955E-2</v>
      </c>
      <c r="H30" s="97" t="s">
        <v>181</v>
      </c>
      <c r="I30" s="97" t="s">
        <v>181</v>
      </c>
      <c r="J30" s="97" t="s">
        <v>181</v>
      </c>
      <c r="K30" s="97" t="s">
        <v>181</v>
      </c>
    </row>
    <row r="31" spans="1:12" s="74" customFormat="1" ht="15" customHeight="1" x14ac:dyDescent="0.35">
      <c r="A31" s="12"/>
      <c r="B31" s="47" t="s">
        <v>82</v>
      </c>
      <c r="C31" s="47"/>
      <c r="D31" s="96">
        <f>D18/D11*-1</f>
        <v>6.1282937996200867E-2</v>
      </c>
      <c r="E31" s="96">
        <f>E18/E11*-1</f>
        <v>6.3396757236988233E-2</v>
      </c>
      <c r="F31" s="96">
        <f>F18/F11*-1</f>
        <v>6.6811737105164734E-2</v>
      </c>
      <c r="G31" s="96">
        <v>6.7000000000000004E-2</v>
      </c>
      <c r="H31" s="96">
        <v>6.7000000000000004E-2</v>
      </c>
      <c r="I31" s="96">
        <v>6.7000000000000004E-2</v>
      </c>
      <c r="J31" s="96">
        <v>6.7000000000000004E-2</v>
      </c>
      <c r="K31" s="96">
        <v>6.7000000000000004E-2</v>
      </c>
    </row>
    <row r="32" spans="1:12" s="74" customFormat="1" ht="15" customHeight="1" x14ac:dyDescent="0.35">
      <c r="A32" s="12"/>
      <c r="B32" s="47" t="s">
        <v>89</v>
      </c>
      <c r="C32" s="47"/>
      <c r="D32" s="96">
        <f t="shared" ref="D32:K32" si="7">D19/D11*-1</f>
        <v>9.6186254931566892E-2</v>
      </c>
      <c r="E32" s="96">
        <f t="shared" si="7"/>
        <v>9.9481750203598118E-2</v>
      </c>
      <c r="F32" s="96">
        <f t="shared" si="7"/>
        <v>5.1375335758729726E-2</v>
      </c>
      <c r="G32" s="96">
        <f t="shared" si="7"/>
        <v>8.7063481996136879E-2</v>
      </c>
      <c r="H32" s="96">
        <f t="shared" si="7"/>
        <v>8.1332337714058123E-2</v>
      </c>
      <c r="I32" s="96">
        <f t="shared" si="7"/>
        <v>8.5000000000000006E-2</v>
      </c>
      <c r="J32" s="96">
        <f t="shared" si="7"/>
        <v>0.09</v>
      </c>
      <c r="K32" s="96">
        <f t="shared" si="7"/>
        <v>8.5000000000000006E-2</v>
      </c>
    </row>
    <row r="33" spans="1:11" s="74" customFormat="1" ht="15" customHeight="1" x14ac:dyDescent="0.35">
      <c r="A33" s="12"/>
    </row>
    <row r="34" spans="1:11" s="48" customFormat="1" ht="15" customHeight="1" x14ac:dyDescent="0.35">
      <c r="A34" s="12" t="s">
        <v>111</v>
      </c>
    </row>
    <row r="35" spans="1:11" s="48" customFormat="1" ht="15" customHeight="1" x14ac:dyDescent="0.35">
      <c r="A35" s="12"/>
      <c r="B35" s="74" t="s">
        <v>50</v>
      </c>
      <c r="D35" s="48">
        <f t="shared" ref="D35:K44" si="8">D11/D$2</f>
        <v>684.36666666666667</v>
      </c>
      <c r="E35" s="74">
        <f t="shared" si="8"/>
        <v>871.41935483870964</v>
      </c>
      <c r="F35" s="74">
        <f t="shared" si="8"/>
        <v>948.74193548387098</v>
      </c>
      <c r="G35" s="74">
        <f t="shared" si="8"/>
        <v>1156.2333333333333</v>
      </c>
      <c r="H35" s="74">
        <f t="shared" si="8"/>
        <v>1296</v>
      </c>
      <c r="I35" s="74">
        <f t="shared" si="8"/>
        <v>1406.16</v>
      </c>
      <c r="J35" s="74">
        <f t="shared" si="8"/>
        <v>1360.8000000000002</v>
      </c>
      <c r="K35" s="74">
        <f t="shared" si="8"/>
        <v>1292.76</v>
      </c>
    </row>
    <row r="36" spans="1:11" s="74" customFormat="1" ht="15" customHeight="1" x14ac:dyDescent="0.35">
      <c r="A36" s="12"/>
      <c r="B36" s="58" t="s">
        <v>51</v>
      </c>
      <c r="D36" s="74">
        <f t="shared" si="8"/>
        <v>0</v>
      </c>
      <c r="E36" s="74">
        <f t="shared" si="8"/>
        <v>0</v>
      </c>
      <c r="F36" s="74">
        <f t="shared" si="8"/>
        <v>0</v>
      </c>
      <c r="G36" s="74">
        <f t="shared" si="8"/>
        <v>0</v>
      </c>
      <c r="H36" s="74">
        <f t="shared" si="8"/>
        <v>0</v>
      </c>
      <c r="I36" s="74">
        <f t="shared" si="8"/>
        <v>0</v>
      </c>
      <c r="J36" s="74">
        <f t="shared" si="8"/>
        <v>0</v>
      </c>
      <c r="K36" s="74">
        <f t="shared" si="8"/>
        <v>0</v>
      </c>
    </row>
    <row r="37" spans="1:11" s="74" customFormat="1" ht="15" customHeight="1" x14ac:dyDescent="0.35">
      <c r="A37" s="12"/>
      <c r="B37" s="51" t="s">
        <v>76</v>
      </c>
      <c r="D37" s="74">
        <f t="shared" si="8"/>
        <v>-167.76000000000002</v>
      </c>
      <c r="E37" s="74">
        <f t="shared" si="8"/>
        <v>-220.98064516129034</v>
      </c>
      <c r="F37" s="74">
        <f t="shared" si="8"/>
        <v>-253.54838709677421</v>
      </c>
      <c r="G37" s="74">
        <f t="shared" si="8"/>
        <v>-308.71429999999998</v>
      </c>
      <c r="H37" s="74">
        <f t="shared" si="8"/>
        <v>-346.03199999999998</v>
      </c>
      <c r="I37" s="74">
        <f t="shared" si="8"/>
        <v>-421.84800000000001</v>
      </c>
      <c r="J37" s="74">
        <f t="shared" si="8"/>
        <v>-408.24</v>
      </c>
      <c r="K37" s="74">
        <f t="shared" si="8"/>
        <v>-342.58139999999997</v>
      </c>
    </row>
    <row r="38" spans="1:11" s="74" customFormat="1" ht="15" customHeight="1" x14ac:dyDescent="0.35">
      <c r="A38" s="12"/>
      <c r="B38" s="51" t="s">
        <v>77</v>
      </c>
      <c r="D38" s="74">
        <f t="shared" si="8"/>
        <v>-315.90666666666669</v>
      </c>
      <c r="E38" s="74">
        <f t="shared" si="8"/>
        <v>-379.79354838709673</v>
      </c>
      <c r="F38" s="74">
        <f t="shared" si="8"/>
        <v>-353.93548387096774</v>
      </c>
      <c r="G38" s="74">
        <f t="shared" si="8"/>
        <v>-424.51903333333331</v>
      </c>
      <c r="H38" s="74">
        <f t="shared" si="8"/>
        <v>-453.59999999999997</v>
      </c>
      <c r="I38" s="74">
        <f t="shared" si="8"/>
        <v>-492.15600000000001</v>
      </c>
      <c r="J38" s="74">
        <f t="shared" si="8"/>
        <v>-476.28000000000003</v>
      </c>
      <c r="K38" s="74">
        <f t="shared" si="8"/>
        <v>-452.46599999999995</v>
      </c>
    </row>
    <row r="39" spans="1:11" s="66" customFormat="1" ht="15" customHeight="1" x14ac:dyDescent="0.35">
      <c r="A39" s="12"/>
      <c r="B39" s="51" t="s">
        <v>83</v>
      </c>
      <c r="D39" s="74">
        <f t="shared" si="8"/>
        <v>-201.46666666666667</v>
      </c>
      <c r="E39" s="74">
        <f t="shared" si="8"/>
        <v>-193.29032258064515</v>
      </c>
      <c r="F39" s="74">
        <f t="shared" si="8"/>
        <v>-192.19354838709677</v>
      </c>
      <c r="G39" s="74">
        <f t="shared" si="8"/>
        <v>-206.23333333333332</v>
      </c>
      <c r="H39" s="74">
        <f t="shared" si="8"/>
        <v>-194.18000000000004</v>
      </c>
      <c r="I39" s="74">
        <f t="shared" si="8"/>
        <v>-198.27364666666668</v>
      </c>
      <c r="J39" s="74">
        <f t="shared" si="8"/>
        <v>-189.73660458064515</v>
      </c>
      <c r="K39" s="74">
        <f t="shared" si="8"/>
        <v>-187.74536484064515</v>
      </c>
    </row>
    <row r="40" spans="1:11" s="74" customFormat="1" ht="15" customHeight="1" x14ac:dyDescent="0.35">
      <c r="A40" s="12"/>
      <c r="B40" s="52" t="s">
        <v>52</v>
      </c>
      <c r="C40" s="52"/>
      <c r="D40" s="52">
        <f t="shared" si="8"/>
        <v>-0.76666666666666672</v>
      </c>
      <c r="E40" s="52">
        <f t="shared" si="8"/>
        <v>77.354838709677423</v>
      </c>
      <c r="F40" s="52">
        <f t="shared" si="8"/>
        <v>149.06451612903226</v>
      </c>
      <c r="G40" s="52">
        <f t="shared" si="8"/>
        <v>216.76666666666668</v>
      </c>
      <c r="H40" s="52">
        <f t="shared" si="8"/>
        <v>302.18800000000005</v>
      </c>
      <c r="I40" s="52">
        <f t="shared" si="8"/>
        <v>293.88235333333336</v>
      </c>
      <c r="J40" s="52">
        <f t="shared" si="8"/>
        <v>286.54339541935485</v>
      </c>
      <c r="K40" s="52">
        <f t="shared" si="8"/>
        <v>309.9672351593548</v>
      </c>
    </row>
    <row r="41" spans="1:11" s="74" customFormat="1" ht="15" customHeight="1" x14ac:dyDescent="0.35">
      <c r="A41" s="12"/>
      <c r="B41" s="58" t="s">
        <v>53</v>
      </c>
      <c r="D41" s="74">
        <f t="shared" si="8"/>
        <v>0</v>
      </c>
      <c r="E41" s="74">
        <f t="shared" si="8"/>
        <v>0</v>
      </c>
      <c r="F41" s="74">
        <f t="shared" si="8"/>
        <v>0</v>
      </c>
      <c r="G41" s="74">
        <f t="shared" si="8"/>
        <v>0</v>
      </c>
      <c r="H41" s="74">
        <f t="shared" si="8"/>
        <v>0</v>
      </c>
      <c r="I41" s="74">
        <f t="shared" si="8"/>
        <v>0</v>
      </c>
      <c r="J41" s="74">
        <f t="shared" si="8"/>
        <v>0</v>
      </c>
      <c r="K41" s="74">
        <f t="shared" si="8"/>
        <v>0</v>
      </c>
    </row>
    <row r="42" spans="1:11" s="74" customFormat="1" ht="15" customHeight="1" x14ac:dyDescent="0.35">
      <c r="A42" s="12"/>
      <c r="B42" s="51" t="s">
        <v>76</v>
      </c>
      <c r="D42" s="74">
        <f t="shared" si="8"/>
        <v>-41.940000000000005</v>
      </c>
      <c r="E42" s="74">
        <f t="shared" si="8"/>
        <v>-55.245161290322585</v>
      </c>
      <c r="F42" s="74">
        <f t="shared" si="8"/>
        <v>-63.387096774193552</v>
      </c>
      <c r="G42" s="74">
        <f t="shared" si="8"/>
        <v>-77.467633333333339</v>
      </c>
      <c r="H42" s="74">
        <f t="shared" si="8"/>
        <v>-86.832000000000008</v>
      </c>
      <c r="I42" s="74">
        <f t="shared" si="8"/>
        <v>-98.431200000000018</v>
      </c>
      <c r="J42" s="74">
        <f t="shared" si="8"/>
        <v>-108.864</v>
      </c>
      <c r="K42" s="74">
        <f t="shared" si="8"/>
        <v>-84.029399999999995</v>
      </c>
    </row>
    <row r="43" spans="1:11" s="74" customFormat="1" ht="15" customHeight="1" x14ac:dyDescent="0.35">
      <c r="A43" s="12"/>
      <c r="B43" s="51" t="s">
        <v>78</v>
      </c>
      <c r="D43" s="74">
        <f t="shared" si="8"/>
        <v>-65.826666666666668</v>
      </c>
      <c r="E43" s="74">
        <f t="shared" si="8"/>
        <v>-86.690322580645145</v>
      </c>
      <c r="F43" s="74">
        <f t="shared" si="8"/>
        <v>-48.741935483870968</v>
      </c>
      <c r="G43" s="74">
        <f t="shared" si="8"/>
        <v>-100.6657</v>
      </c>
      <c r="H43" s="74">
        <f t="shared" si="8"/>
        <v>-105.40670967741933</v>
      </c>
      <c r="I43" s="74">
        <f t="shared" si="8"/>
        <v>-119.52360000000002</v>
      </c>
      <c r="J43" s="74">
        <f t="shared" si="8"/>
        <v>-122.47200000000001</v>
      </c>
      <c r="K43" s="74">
        <f t="shared" si="8"/>
        <v>-109.88459999999999</v>
      </c>
    </row>
    <row r="44" spans="1:11" s="66" customFormat="1" ht="15" customHeight="1" x14ac:dyDescent="0.35">
      <c r="A44" s="12"/>
      <c r="B44" s="51" t="s">
        <v>79</v>
      </c>
      <c r="D44" s="74">
        <f t="shared" si="8"/>
        <v>-2.2333333333333334</v>
      </c>
      <c r="E44" s="74">
        <f t="shared" si="8"/>
        <v>-2.161290322580645</v>
      </c>
      <c r="F44" s="74">
        <f t="shared" si="8"/>
        <v>-2.161290322580645</v>
      </c>
      <c r="G44" s="74">
        <f t="shared" si="8"/>
        <v>-2.2333333333333334</v>
      </c>
      <c r="H44" s="74">
        <f t="shared" si="8"/>
        <v>-2.161290322580645</v>
      </c>
      <c r="I44" s="74">
        <f t="shared" si="8"/>
        <v>-2.2333333333333334</v>
      </c>
      <c r="J44" s="74">
        <f t="shared" si="8"/>
        <v>-2.161290322580645</v>
      </c>
      <c r="K44" s="74">
        <f t="shared" si="8"/>
        <v>-2.161290322580645</v>
      </c>
    </row>
    <row r="45" spans="1:11" s="110" customFormat="1" ht="15" customHeight="1" x14ac:dyDescent="0.35">
      <c r="A45" s="12"/>
      <c r="B45" s="51" t="s">
        <v>55</v>
      </c>
      <c r="C45" s="74"/>
      <c r="D45" s="74">
        <f t="shared" ref="D45:K45" si="9">D21/D$2</f>
        <v>7.1333333333333337</v>
      </c>
      <c r="E45" s="74">
        <f t="shared" si="9"/>
        <v>1.3870967741935485</v>
      </c>
      <c r="F45" s="74">
        <f t="shared" si="9"/>
        <v>1.6774193548387097</v>
      </c>
      <c r="G45" s="74">
        <f t="shared" si="9"/>
        <v>2.2000000000000002</v>
      </c>
      <c r="H45" s="74">
        <f t="shared" si="9"/>
        <v>2.4193548387096775</v>
      </c>
      <c r="I45" s="74">
        <f t="shared" si="9"/>
        <v>2.5</v>
      </c>
      <c r="J45" s="74">
        <f t="shared" si="9"/>
        <v>2.4193548387096775</v>
      </c>
      <c r="K45" s="74">
        <f t="shared" si="9"/>
        <v>2.096774193548387</v>
      </c>
    </row>
    <row r="46" spans="1:11" s="74" customFormat="1" ht="15" customHeight="1" x14ac:dyDescent="0.35">
      <c r="A46" s="12"/>
      <c r="B46" s="52" t="s">
        <v>54</v>
      </c>
      <c r="C46" s="52"/>
      <c r="D46" s="52">
        <f t="shared" ref="D46:K46" si="10">D22/D$2</f>
        <v>-103.63333333333334</v>
      </c>
      <c r="E46" s="52">
        <f t="shared" si="10"/>
        <v>-65.354838709677423</v>
      </c>
      <c r="F46" s="52">
        <f t="shared" si="10"/>
        <v>36.451612903225808</v>
      </c>
      <c r="G46" s="52">
        <f t="shared" si="10"/>
        <v>38.6</v>
      </c>
      <c r="H46" s="52">
        <f t="shared" si="10"/>
        <v>110.20735483870973</v>
      </c>
      <c r="I46" s="52">
        <f t="shared" si="10"/>
        <v>76.194219999999987</v>
      </c>
      <c r="J46" s="52">
        <f t="shared" si="10"/>
        <v>55.465459935483906</v>
      </c>
      <c r="K46" s="52">
        <f t="shared" si="10"/>
        <v>115.98871903032256</v>
      </c>
    </row>
    <row r="47" spans="1:11" s="74" customFormat="1" ht="15" customHeight="1" x14ac:dyDescent="0.35">
      <c r="A47" s="12"/>
      <c r="B47" s="51" t="s">
        <v>164</v>
      </c>
      <c r="D47" s="74">
        <f t="shared" ref="D47:K47" si="11">D23/D$2</f>
        <v>0</v>
      </c>
      <c r="E47" s="74">
        <f t="shared" si="11"/>
        <v>-32.258064516129032</v>
      </c>
      <c r="F47" s="74">
        <f t="shared" si="11"/>
        <v>0</v>
      </c>
      <c r="G47" s="74">
        <f t="shared" si="11"/>
        <v>0</v>
      </c>
      <c r="H47" s="74">
        <f t="shared" si="11"/>
        <v>-32.258064516129032</v>
      </c>
      <c r="I47" s="74">
        <f t="shared" si="11"/>
        <v>0</v>
      </c>
      <c r="J47" s="74">
        <f t="shared" si="11"/>
        <v>0</v>
      </c>
      <c r="K47" s="74">
        <f t="shared" si="11"/>
        <v>-32.258064516129032</v>
      </c>
    </row>
    <row r="48" spans="1:11" s="66" customFormat="1" ht="15" customHeight="1" x14ac:dyDescent="0.35">
      <c r="A48" s="12"/>
      <c r="B48" s="52" t="s">
        <v>56</v>
      </c>
      <c r="C48" s="52"/>
      <c r="D48" s="52">
        <f t="shared" ref="D48:K48" si="12">D24/D$2</f>
        <v>-103.63333333333334</v>
      </c>
      <c r="E48" s="52">
        <f t="shared" si="12"/>
        <v>-97.612903225806448</v>
      </c>
      <c r="F48" s="52">
        <f t="shared" si="12"/>
        <v>36.451612903225808</v>
      </c>
      <c r="G48" s="52">
        <f t="shared" si="12"/>
        <v>38.6</v>
      </c>
      <c r="H48" s="52">
        <f t="shared" si="12"/>
        <v>77.949290322580694</v>
      </c>
      <c r="I48" s="52">
        <f t="shared" si="12"/>
        <v>76.194219999999987</v>
      </c>
      <c r="J48" s="52">
        <f t="shared" si="12"/>
        <v>55.465459935483906</v>
      </c>
      <c r="K48" s="52">
        <f t="shared" si="12"/>
        <v>83.730654514193532</v>
      </c>
    </row>
    <row r="49" spans="1:1" s="66" customFormat="1" ht="15" customHeight="1" x14ac:dyDescent="0.35">
      <c r="A49" s="12"/>
    </row>
    <row r="57" spans="1:1" s="66" customFormat="1" ht="15" customHeight="1" x14ac:dyDescent="0.35">
      <c r="A57" s="12"/>
    </row>
  </sheetData>
  <pageMargins left="0.7" right="0.7" top="0.75" bottom="0.75" header="0.3" footer="0.3"/>
  <pageSetup paperSize="9" orientation="landscape" verticalDpi="1200" r:id="rId1"/>
  <headerFooter>
    <oddHeader xml:space="preserve">&amp;R&amp;10&amp;F 
&amp;A
</oddHeader>
    <oddFooter>&amp;L&amp;10© 2020&amp;C&amp;10Page &amp;P of &amp;N&amp;R&amp;G</oddFooter>
  </headerFooter>
  <legacyDrawingHF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88B4E8-34F7-4992-84DC-AE09CE539081}">
  <dimension ref="A1:L44"/>
  <sheetViews>
    <sheetView zoomScaleNormal="100" workbookViewId="0">
      <selection sqref="A1:N1"/>
    </sheetView>
  </sheetViews>
  <sheetFormatPr defaultColWidth="9.08984375" defaultRowHeight="15" customHeight="1" x14ac:dyDescent="0.35"/>
  <cols>
    <col min="1" max="1" width="1.54296875" style="12" customWidth="1"/>
    <col min="2" max="2" width="40.54296875" style="66" customWidth="1"/>
    <col min="3" max="10" width="11.54296875" style="66" customWidth="1"/>
    <col min="11" max="11" width="11.6328125" style="66" customWidth="1"/>
    <col min="12" max="12" width="9.08984375" style="66" customWidth="1"/>
    <col min="13" max="16384" width="9.08984375" style="66"/>
  </cols>
  <sheetData>
    <row r="1" spans="1:12" customFormat="1" ht="45" customHeight="1" x14ac:dyDescent="0.65">
      <c r="A1" s="4" t="str">
        <f>Welcome!A2</f>
        <v>13-Week Cash Flow Model</v>
      </c>
      <c r="B1" s="7"/>
      <c r="C1" s="9"/>
      <c r="D1" s="9"/>
      <c r="E1" s="9"/>
      <c r="F1" s="9"/>
      <c r="G1" s="9"/>
      <c r="H1" s="9"/>
      <c r="I1" s="9"/>
      <c r="J1" s="9"/>
      <c r="K1" s="9"/>
    </row>
    <row r="2" spans="1:12" customFormat="1" ht="21" x14ac:dyDescent="0.5">
      <c r="A2" s="11"/>
      <c r="B2" s="6"/>
      <c r="C2" s="56"/>
      <c r="D2" s="56">
        <f>D4-C4</f>
        <v>30</v>
      </c>
      <c r="E2" s="56">
        <v>31</v>
      </c>
      <c r="F2" s="56">
        <v>31</v>
      </c>
      <c r="G2" s="56">
        <v>30</v>
      </c>
      <c r="H2" s="56">
        <v>31</v>
      </c>
      <c r="I2" s="56">
        <v>30</v>
      </c>
      <c r="J2" s="56">
        <v>31</v>
      </c>
      <c r="K2" s="56">
        <v>31</v>
      </c>
    </row>
    <row r="3" spans="1:12" s="103" customFormat="1" ht="21" x14ac:dyDescent="0.5">
      <c r="A3" s="11"/>
      <c r="B3" s="6"/>
      <c r="C3" s="56" t="s">
        <v>191</v>
      </c>
      <c r="D3" s="56" t="s">
        <v>191</v>
      </c>
      <c r="E3" s="56" t="s">
        <v>191</v>
      </c>
      <c r="F3" s="56" t="s">
        <v>191</v>
      </c>
      <c r="G3" s="56" t="s">
        <v>191</v>
      </c>
      <c r="H3" s="56" t="s">
        <v>191</v>
      </c>
      <c r="I3" s="56" t="s">
        <v>74</v>
      </c>
      <c r="J3" s="56" t="s">
        <v>74</v>
      </c>
      <c r="K3" s="56" t="s">
        <v>74</v>
      </c>
    </row>
    <row r="4" spans="1:12" customFormat="1" ht="21" x14ac:dyDescent="0.5">
      <c r="A4" s="11"/>
      <c r="B4" s="6"/>
      <c r="C4" s="8">
        <v>43982</v>
      </c>
      <c r="D4" s="8">
        <f>EDATE(C4,1)</f>
        <v>44012</v>
      </c>
      <c r="E4" s="8">
        <f>D4+E2</f>
        <v>44043</v>
      </c>
      <c r="F4" s="8">
        <f t="shared" ref="F4:H4" si="0">E4+F2</f>
        <v>44074</v>
      </c>
      <c r="G4" s="8">
        <f t="shared" si="0"/>
        <v>44104</v>
      </c>
      <c r="H4" s="8">
        <f t="shared" si="0"/>
        <v>44135</v>
      </c>
      <c r="I4" s="8">
        <f t="shared" ref="I4" si="1">H4+I2</f>
        <v>44165</v>
      </c>
      <c r="J4" s="8">
        <f t="shared" ref="J4" si="2">I4+J2</f>
        <v>44196</v>
      </c>
      <c r="K4" s="8">
        <f t="shared" ref="K4" si="3">J4+K2</f>
        <v>44227</v>
      </c>
    </row>
    <row r="5" spans="1:12" ht="15" customHeight="1" x14ac:dyDescent="0.35">
      <c r="A5" s="62"/>
      <c r="B5" s="53"/>
      <c r="C5" s="53"/>
      <c r="D5" s="53"/>
      <c r="E5" s="53"/>
      <c r="F5" s="53"/>
      <c r="G5" s="53"/>
    </row>
    <row r="6" spans="1:12" ht="15" customHeight="1" x14ac:dyDescent="0.35">
      <c r="A6" s="62" t="s">
        <v>98</v>
      </c>
      <c r="B6" s="53"/>
      <c r="C6" s="53"/>
      <c r="D6" s="53"/>
      <c r="E6" s="53"/>
      <c r="F6" s="53"/>
      <c r="G6" s="53"/>
    </row>
    <row r="7" spans="1:12" ht="15" customHeight="1" x14ac:dyDescent="0.35">
      <c r="A7" s="62"/>
      <c r="B7" s="57"/>
      <c r="C7" s="53"/>
      <c r="D7" s="54"/>
      <c r="E7" s="54"/>
      <c r="F7" s="54"/>
      <c r="G7" s="54"/>
      <c r="I7"/>
    </row>
    <row r="8" spans="1:12" ht="15" customHeight="1" x14ac:dyDescent="0.35">
      <c r="A8" s="62"/>
      <c r="B8" s="57" t="s">
        <v>99</v>
      </c>
      <c r="C8" s="74"/>
      <c r="D8" s="76">
        <f>C11</f>
        <v>44456</v>
      </c>
      <c r="E8" s="76">
        <f t="shared" ref="E8:H8" si="4">D11</f>
        <v>46417</v>
      </c>
      <c r="F8" s="76">
        <f t="shared" si="4"/>
        <v>53480</v>
      </c>
      <c r="G8" s="76">
        <f t="shared" si="4"/>
        <v>62336</v>
      </c>
      <c r="H8" s="76">
        <f t="shared" si="4"/>
        <v>65253</v>
      </c>
      <c r="I8"/>
      <c r="J8"/>
      <c r="K8"/>
    </row>
    <row r="9" spans="1:12" ht="15" customHeight="1" x14ac:dyDescent="0.35">
      <c r="A9" s="62"/>
      <c r="B9" s="57" t="s">
        <v>100</v>
      </c>
      <c r="C9" s="74"/>
      <c r="D9" s="53">
        <f>'Monthly Income Statement'!D11</f>
        <v>20531</v>
      </c>
      <c r="E9" s="53">
        <f>'Monthly Income Statement'!E11</f>
        <v>27014</v>
      </c>
      <c r="F9" s="53">
        <f>'Monthly Income Statement'!F11</f>
        <v>29411</v>
      </c>
      <c r="G9" s="53">
        <f>'Monthly Income Statement'!G11</f>
        <v>34687</v>
      </c>
      <c r="H9" s="53">
        <f>'Monthly Income Statement'!H11</f>
        <v>40176</v>
      </c>
      <c r="I9" s="108" t="s">
        <v>194</v>
      </c>
      <c r="J9" s="108"/>
      <c r="K9" s="108"/>
    </row>
    <row r="10" spans="1:12" ht="15" customHeight="1" x14ac:dyDescent="0.35">
      <c r="A10" s="62"/>
      <c r="B10" s="57" t="s">
        <v>225</v>
      </c>
      <c r="C10" s="74"/>
      <c r="D10" s="54">
        <v>-18570</v>
      </c>
      <c r="E10" s="54">
        <v>-19951</v>
      </c>
      <c r="F10" s="54">
        <v>-20555</v>
      </c>
      <c r="G10" s="54">
        <v>-31770</v>
      </c>
      <c r="H10" s="49">
        <v>-36469</v>
      </c>
      <c r="I10"/>
      <c r="J10"/>
      <c r="K10"/>
      <c r="L10" s="19"/>
    </row>
    <row r="11" spans="1:12" ht="15" customHeight="1" x14ac:dyDescent="0.35">
      <c r="A11" s="62"/>
      <c r="B11" s="57" t="s">
        <v>102</v>
      </c>
      <c r="C11" s="93">
        <f>'Monthly Balance Sheet'!C8</f>
        <v>44456</v>
      </c>
      <c r="D11" s="76">
        <f>SUM(D8:D10)</f>
        <v>46417</v>
      </c>
      <c r="E11" s="76">
        <f t="shared" ref="E11:H11" si="5">SUM(E8:E10)</f>
        <v>53480</v>
      </c>
      <c r="F11" s="76">
        <f t="shared" si="5"/>
        <v>62336</v>
      </c>
      <c r="G11" s="76">
        <f t="shared" si="5"/>
        <v>65253</v>
      </c>
      <c r="H11" s="76">
        <f t="shared" si="5"/>
        <v>68960</v>
      </c>
      <c r="I11"/>
      <c r="J11"/>
      <c r="K11"/>
    </row>
    <row r="12" spans="1:12" ht="15" customHeight="1" x14ac:dyDescent="0.35">
      <c r="A12" s="62"/>
      <c r="B12" s="57"/>
      <c r="C12" s="74"/>
      <c r="D12" s="53"/>
      <c r="E12" s="53"/>
      <c r="F12" s="53"/>
      <c r="G12" s="53"/>
      <c r="H12" s="53"/>
      <c r="I12"/>
      <c r="J12"/>
      <c r="K12"/>
    </row>
    <row r="13" spans="1:12" ht="15" customHeight="1" x14ac:dyDescent="0.35">
      <c r="A13" s="62" t="s">
        <v>25</v>
      </c>
      <c r="B13" s="55"/>
      <c r="C13" s="74"/>
      <c r="D13" s="54"/>
      <c r="E13" s="54"/>
      <c r="F13" s="54"/>
      <c r="G13" s="54"/>
      <c r="H13" s="53"/>
      <c r="I13"/>
      <c r="J13"/>
      <c r="K13"/>
    </row>
    <row r="14" spans="1:12" ht="15" customHeight="1" x14ac:dyDescent="0.35">
      <c r="A14" s="62"/>
      <c r="B14" s="57" t="s">
        <v>99</v>
      </c>
      <c r="C14" s="74"/>
      <c r="D14" s="76">
        <f>C17</f>
        <v>95540</v>
      </c>
      <c r="E14" s="76">
        <f t="shared" ref="E14:H14" si="6">D17</f>
        <v>91903</v>
      </c>
      <c r="F14" s="76">
        <f t="shared" si="6"/>
        <v>88448.000000000029</v>
      </c>
      <c r="G14" s="76">
        <f t="shared" si="6"/>
        <v>88316.000000000029</v>
      </c>
      <c r="H14" s="76">
        <f t="shared" si="6"/>
        <v>87107.000000000029</v>
      </c>
      <c r="I14"/>
      <c r="J14"/>
      <c r="K14"/>
    </row>
    <row r="15" spans="1:12" ht="15" customHeight="1" x14ac:dyDescent="0.35">
      <c r="A15" s="62"/>
      <c r="B15" s="57" t="s">
        <v>103</v>
      </c>
      <c r="C15" s="74"/>
      <c r="D15" s="49">
        <v>5840.1999999999971</v>
      </c>
      <c r="E15" s="49">
        <v>8318.6000000000204</v>
      </c>
      <c r="F15" s="49">
        <v>10840</v>
      </c>
      <c r="G15" s="49">
        <v>11526.570999999996</v>
      </c>
      <c r="H15" s="49">
        <v>17846.103999999963</v>
      </c>
      <c r="I15" s="108" t="s">
        <v>194</v>
      </c>
      <c r="J15" s="108"/>
      <c r="K15" s="108"/>
    </row>
    <row r="16" spans="1:12" ht="15" customHeight="1" x14ac:dyDescent="0.35">
      <c r="A16" s="62"/>
      <c r="B16" s="57" t="s">
        <v>226</v>
      </c>
      <c r="C16" s="74"/>
      <c r="D16" s="76">
        <f>'Monthly Income Statement'!D14</f>
        <v>-9477.2000000000007</v>
      </c>
      <c r="E16" s="76">
        <f>'Monthly Income Statement'!E14</f>
        <v>-11773.599999999999</v>
      </c>
      <c r="F16" s="76">
        <f>'Monthly Income Statement'!F14</f>
        <v>-10972</v>
      </c>
      <c r="G16" s="76">
        <f>'Monthly Income Statement'!G14</f>
        <v>-12735.571</v>
      </c>
      <c r="H16" s="76">
        <f>'Monthly Income Statement'!H14</f>
        <v>-14061.599999999999</v>
      </c>
      <c r="I16"/>
      <c r="J16"/>
      <c r="K16"/>
    </row>
    <row r="17" spans="1:11" ht="15" customHeight="1" x14ac:dyDescent="0.35">
      <c r="A17" s="62"/>
      <c r="B17" s="57" t="s">
        <v>105</v>
      </c>
      <c r="C17" s="93">
        <f>'Monthly Balance Sheet'!C9</f>
        <v>95540</v>
      </c>
      <c r="D17" s="53">
        <f>SUM(D14:D16)</f>
        <v>91903</v>
      </c>
      <c r="E17" s="53">
        <f t="shared" ref="E17:H17" si="7">SUM(E14:E16)</f>
        <v>88448.000000000029</v>
      </c>
      <c r="F17" s="53">
        <f t="shared" si="7"/>
        <v>88316.000000000029</v>
      </c>
      <c r="G17" s="53">
        <f t="shared" si="7"/>
        <v>87107.000000000029</v>
      </c>
      <c r="H17" s="53">
        <f t="shared" si="7"/>
        <v>90891.503999999986</v>
      </c>
      <c r="I17"/>
      <c r="J17"/>
      <c r="K17"/>
    </row>
    <row r="18" spans="1:11" ht="15" customHeight="1" x14ac:dyDescent="0.35">
      <c r="A18" s="62"/>
      <c r="B18" s="57"/>
      <c r="C18" s="74"/>
      <c r="D18" s="53"/>
      <c r="E18" s="53"/>
      <c r="F18" s="53"/>
      <c r="G18" s="53"/>
      <c r="H18" s="53"/>
      <c r="I18"/>
      <c r="J18"/>
      <c r="K18"/>
    </row>
    <row r="19" spans="1:11" ht="15" customHeight="1" x14ac:dyDescent="0.35">
      <c r="A19" s="62" t="s">
        <v>101</v>
      </c>
      <c r="B19" s="57"/>
      <c r="C19" s="74"/>
      <c r="D19" s="53"/>
      <c r="E19" s="53"/>
      <c r="F19" s="53"/>
      <c r="G19" s="53"/>
      <c r="H19" s="53"/>
      <c r="I19"/>
      <c r="J19"/>
      <c r="K19"/>
    </row>
    <row r="20" spans="1:11" ht="15" customHeight="1" x14ac:dyDescent="0.35">
      <c r="A20" s="62"/>
      <c r="B20" s="57" t="s">
        <v>99</v>
      </c>
      <c r="C20" s="74"/>
      <c r="D20" s="76">
        <f>C23</f>
        <v>48297</v>
      </c>
      <c r="E20" s="76">
        <f t="shared" ref="E20:H20" si="8">D23</f>
        <v>47558</v>
      </c>
      <c r="F20" s="76">
        <f t="shared" si="8"/>
        <v>48883.000000000022</v>
      </c>
      <c r="G20" s="76">
        <f t="shared" si="8"/>
        <v>51140.000000000022</v>
      </c>
      <c r="H20" s="76">
        <f t="shared" si="8"/>
        <v>47396.001000000018</v>
      </c>
      <c r="I20"/>
      <c r="J20"/>
      <c r="K20"/>
    </row>
    <row r="21" spans="1:11" ht="15" customHeight="1" x14ac:dyDescent="0.35">
      <c r="A21" s="62"/>
      <c r="B21" s="57" t="s">
        <v>103</v>
      </c>
      <c r="C21" s="74"/>
      <c r="D21" s="76">
        <f>D15</f>
        <v>5840.1999999999971</v>
      </c>
      <c r="E21" s="76">
        <f t="shared" ref="E21:H21" si="9">E15</f>
        <v>8318.6000000000204</v>
      </c>
      <c r="F21" s="76">
        <f t="shared" si="9"/>
        <v>10840</v>
      </c>
      <c r="G21" s="76">
        <f t="shared" si="9"/>
        <v>11526.570999999996</v>
      </c>
      <c r="H21" s="76">
        <f t="shared" si="9"/>
        <v>17846.103999999963</v>
      </c>
      <c r="I21" s="108"/>
      <c r="J21"/>
      <c r="K21"/>
    </row>
    <row r="22" spans="1:11" ht="15" customHeight="1" x14ac:dyDescent="0.35">
      <c r="A22" s="62"/>
      <c r="B22" s="57" t="s">
        <v>223</v>
      </c>
      <c r="C22" s="74"/>
      <c r="D22" s="54">
        <v>-6579.1999999999971</v>
      </c>
      <c r="E22" s="54">
        <v>-6993.5999999999985</v>
      </c>
      <c r="F22" s="54">
        <v>-8583</v>
      </c>
      <c r="G22" s="54">
        <v>-15270.57</v>
      </c>
      <c r="H22" s="54">
        <v>-7183.1359999999986</v>
      </c>
      <c r="I22" s="108" t="s">
        <v>194</v>
      </c>
      <c r="J22" s="107"/>
      <c r="K22" s="107"/>
    </row>
    <row r="23" spans="1:11" ht="15" customHeight="1" x14ac:dyDescent="0.35">
      <c r="A23" s="62"/>
      <c r="B23" s="57" t="s">
        <v>104</v>
      </c>
      <c r="C23" s="93">
        <f>'Monthly Balance Sheet'!C22</f>
        <v>48297</v>
      </c>
      <c r="D23" s="53">
        <f>SUM(D20:D22)</f>
        <v>47558</v>
      </c>
      <c r="E23" s="53">
        <f t="shared" ref="E23:H23" si="10">SUM(E20:E22)</f>
        <v>48883.000000000022</v>
      </c>
      <c r="F23" s="53">
        <f t="shared" si="10"/>
        <v>51140.000000000022</v>
      </c>
      <c r="G23" s="53">
        <f t="shared" si="10"/>
        <v>47396.001000000018</v>
      </c>
      <c r="H23" s="53">
        <f t="shared" si="10"/>
        <v>58058.968999999983</v>
      </c>
      <c r="I23"/>
      <c r="J23"/>
      <c r="K23"/>
    </row>
    <row r="24" spans="1:11" ht="15" customHeight="1" x14ac:dyDescent="0.35">
      <c r="A24" s="62"/>
      <c r="B24" s="57"/>
      <c r="C24" s="74"/>
      <c r="D24" s="53"/>
      <c r="E24" s="53"/>
      <c r="F24" s="53"/>
      <c r="G24" s="53"/>
      <c r="H24" s="53"/>
      <c r="I24"/>
      <c r="J24"/>
      <c r="K24"/>
    </row>
    <row r="25" spans="1:11" ht="15" customHeight="1" x14ac:dyDescent="0.35">
      <c r="A25" s="62" t="s">
        <v>106</v>
      </c>
      <c r="B25" s="57"/>
      <c r="C25" s="74"/>
      <c r="D25" s="54"/>
      <c r="E25" s="54"/>
      <c r="F25" s="54"/>
      <c r="G25" s="54"/>
      <c r="I25"/>
      <c r="J25"/>
      <c r="K25"/>
    </row>
    <row r="26" spans="1:11" ht="15" customHeight="1" x14ac:dyDescent="0.35">
      <c r="A26" s="62"/>
      <c r="B26" s="57" t="s">
        <v>99</v>
      </c>
      <c r="C26" s="74"/>
      <c r="D26" s="53">
        <f>C29</f>
        <v>7898</v>
      </c>
      <c r="E26" s="53">
        <f t="shared" ref="E26:H26" si="11">D29</f>
        <v>8533</v>
      </c>
      <c r="F26" s="53">
        <f t="shared" si="11"/>
        <v>9952</v>
      </c>
      <c r="G26" s="53">
        <f t="shared" si="11"/>
        <v>10527</v>
      </c>
      <c r="H26" s="53">
        <f t="shared" si="11"/>
        <v>10120</v>
      </c>
      <c r="I26"/>
      <c r="J26"/>
      <c r="K26"/>
    </row>
    <row r="27" spans="1:11" ht="15" customHeight="1" x14ac:dyDescent="0.35">
      <c r="A27" s="62"/>
      <c r="B27" s="57" t="s">
        <v>107</v>
      </c>
      <c r="C27" s="74"/>
      <c r="D27" s="53">
        <f>('Monthly Income Statement'!D13+'Monthly Income Statement'!D18)*-1</f>
        <v>6291</v>
      </c>
      <c r="E27" s="53">
        <f>('Monthly Income Statement'!E13+'Monthly Income Statement'!E18)*-1</f>
        <v>8563</v>
      </c>
      <c r="F27" s="53">
        <f>('Monthly Income Statement'!F13+'Monthly Income Statement'!F18)*-1</f>
        <v>9825</v>
      </c>
      <c r="G27" s="53">
        <f>('Monthly Income Statement'!G13+'Monthly Income Statement'!G18)*-1</f>
        <v>11585.458000000001</v>
      </c>
      <c r="H27" s="53">
        <f>('Monthly Income Statement'!H13+'Monthly Income Statement'!H18)*-1</f>
        <v>13418.784</v>
      </c>
      <c r="I27" s="108" t="s">
        <v>194</v>
      </c>
      <c r="J27" s="107"/>
      <c r="K27" s="107"/>
    </row>
    <row r="28" spans="1:11" ht="15" customHeight="1" x14ac:dyDescent="0.35">
      <c r="A28" s="62"/>
      <c r="B28" s="57" t="s">
        <v>224</v>
      </c>
      <c r="C28" s="74"/>
      <c r="D28" s="54">
        <v>-5656</v>
      </c>
      <c r="E28" s="54">
        <v>-7144</v>
      </c>
      <c r="F28" s="54">
        <v>-9250</v>
      </c>
      <c r="G28" s="54">
        <v>-11992.457999999999</v>
      </c>
      <c r="H28" s="54">
        <v>-11485.983999999999</v>
      </c>
      <c r="I28"/>
      <c r="J28"/>
      <c r="K28"/>
    </row>
    <row r="29" spans="1:11" ht="15" customHeight="1" x14ac:dyDescent="0.35">
      <c r="A29" s="62"/>
      <c r="B29" s="57" t="s">
        <v>104</v>
      </c>
      <c r="C29" s="93">
        <f>'Monthly Balance Sheet'!C23</f>
        <v>7898</v>
      </c>
      <c r="D29" s="53">
        <f>SUM(D26:D28)</f>
        <v>8533</v>
      </c>
      <c r="E29" s="53">
        <f t="shared" ref="E29:H29" si="12">SUM(E26:E28)</f>
        <v>9952</v>
      </c>
      <c r="F29" s="53">
        <f t="shared" si="12"/>
        <v>10527</v>
      </c>
      <c r="G29" s="53">
        <f t="shared" si="12"/>
        <v>10120</v>
      </c>
      <c r="H29" s="53">
        <f t="shared" si="12"/>
        <v>12052.800000000001</v>
      </c>
      <c r="I29"/>
      <c r="J29"/>
      <c r="K29"/>
    </row>
    <row r="30" spans="1:11" ht="15" customHeight="1" x14ac:dyDescent="0.35">
      <c r="A30" s="62"/>
      <c r="B30" s="57"/>
      <c r="C30" s="74"/>
      <c r="D30" s="53"/>
      <c r="E30" s="53"/>
      <c r="F30" s="53"/>
      <c r="G30" s="53"/>
      <c r="H30" s="53"/>
      <c r="I30"/>
      <c r="J30"/>
      <c r="K30"/>
    </row>
    <row r="31" spans="1:11" ht="15" customHeight="1" x14ac:dyDescent="0.35">
      <c r="A31" s="62" t="s">
        <v>38</v>
      </c>
      <c r="B31" s="53"/>
      <c r="C31" s="74"/>
      <c r="D31" s="53"/>
      <c r="E31" s="53"/>
      <c r="F31" s="53"/>
      <c r="G31" s="53"/>
      <c r="I31"/>
      <c r="J31"/>
      <c r="K31"/>
    </row>
    <row r="32" spans="1:11" ht="15" customHeight="1" x14ac:dyDescent="0.35">
      <c r="A32" s="62"/>
      <c r="B32" s="57" t="s">
        <v>99</v>
      </c>
      <c r="C32" s="74"/>
      <c r="D32" s="53">
        <f>C35</f>
        <v>24216</v>
      </c>
      <c r="E32" s="53">
        <f t="shared" ref="E32:H32" si="13">D35</f>
        <v>23942</v>
      </c>
      <c r="F32" s="53">
        <f t="shared" si="13"/>
        <v>23332</v>
      </c>
      <c r="G32" s="53">
        <f t="shared" si="13"/>
        <v>24738</v>
      </c>
      <c r="H32" s="53">
        <f t="shared" si="13"/>
        <v>27055.86</v>
      </c>
      <c r="I32"/>
      <c r="J32"/>
      <c r="K32"/>
    </row>
    <row r="33" spans="1:12" ht="15" customHeight="1" x14ac:dyDescent="0.35">
      <c r="A33" s="62"/>
      <c r="B33" s="57" t="s">
        <v>108</v>
      </c>
      <c r="C33" s="74"/>
      <c r="D33" s="53">
        <f>-'Monthly Income Statement'!D19</f>
        <v>1974.8</v>
      </c>
      <c r="E33" s="53">
        <f>-'Monthly Income Statement'!E19</f>
        <v>2687.3999999999996</v>
      </c>
      <c r="F33" s="53">
        <f>-'Monthly Income Statement'!F19</f>
        <v>1511</v>
      </c>
      <c r="G33" s="53">
        <f>-'Monthly Income Statement'!G19</f>
        <v>3019.971</v>
      </c>
      <c r="H33" s="53">
        <f>-'Monthly Income Statement'!H19</f>
        <v>3267.6079999999993</v>
      </c>
      <c r="I33" s="108" t="s">
        <v>194</v>
      </c>
      <c r="J33" s="107"/>
      <c r="K33" s="107"/>
    </row>
    <row r="34" spans="1:12" ht="15" customHeight="1" x14ac:dyDescent="0.35">
      <c r="A34" s="62"/>
      <c r="B34" s="57" t="s">
        <v>109</v>
      </c>
      <c r="C34" s="74"/>
      <c r="D34" s="54">
        <v>-2248.7999999999993</v>
      </c>
      <c r="E34" s="54">
        <v>-3297.4000000000015</v>
      </c>
      <c r="F34" s="54">
        <v>-105</v>
      </c>
      <c r="G34" s="54">
        <v>-702.11100000000079</v>
      </c>
      <c r="H34" s="54">
        <v>-1396.7480000000032</v>
      </c>
      <c r="I34"/>
      <c r="J34"/>
      <c r="K34"/>
      <c r="L34"/>
    </row>
    <row r="35" spans="1:12" ht="15" customHeight="1" x14ac:dyDescent="0.35">
      <c r="A35" s="62"/>
      <c r="B35" s="57" t="s">
        <v>110</v>
      </c>
      <c r="C35" s="93">
        <f>'Monthly Balance Sheet'!C24</f>
        <v>24216</v>
      </c>
      <c r="D35" s="53">
        <f>SUM(D32:D34)</f>
        <v>23942</v>
      </c>
      <c r="E35" s="53">
        <f t="shared" ref="E35:H35" si="14">SUM(E32:E34)</f>
        <v>23332</v>
      </c>
      <c r="F35" s="53">
        <f t="shared" si="14"/>
        <v>24738</v>
      </c>
      <c r="G35" s="53">
        <f t="shared" si="14"/>
        <v>27055.86</v>
      </c>
      <c r="H35" s="53">
        <f t="shared" si="14"/>
        <v>28926.719999999998</v>
      </c>
      <c r="I35"/>
      <c r="J35"/>
      <c r="K35"/>
      <c r="L35"/>
    </row>
    <row r="36" spans="1:12" ht="15" customHeight="1" x14ac:dyDescent="0.35">
      <c r="A36" s="62"/>
      <c r="B36" s="53"/>
      <c r="C36" s="74"/>
      <c r="D36" s="53"/>
      <c r="E36" s="53"/>
      <c r="F36" s="53"/>
      <c r="G36" s="53"/>
    </row>
    <row r="37" spans="1:12" ht="15" customHeight="1" x14ac:dyDescent="0.35">
      <c r="A37" s="12" t="s">
        <v>84</v>
      </c>
      <c r="B37"/>
      <c r="C37" s="74"/>
      <c r="D37"/>
      <c r="E37"/>
      <c r="F37"/>
      <c r="G37"/>
      <c r="H37"/>
      <c r="I37"/>
      <c r="J37"/>
      <c r="K37"/>
    </row>
    <row r="38" spans="1:12" ht="15" customHeight="1" x14ac:dyDescent="0.35">
      <c r="B38" t="s">
        <v>85</v>
      </c>
      <c r="C38" s="74"/>
      <c r="D38">
        <f>C41</f>
        <v>91175</v>
      </c>
      <c r="E38" s="74">
        <f t="shared" ref="E38:K38" si="15">D41</f>
        <v>90131</v>
      </c>
      <c r="F38" s="74">
        <f t="shared" si="15"/>
        <v>89139</v>
      </c>
      <c r="G38" s="74">
        <f t="shared" si="15"/>
        <v>88181</v>
      </c>
      <c r="H38" s="74">
        <f t="shared" si="15"/>
        <v>85994</v>
      </c>
      <c r="I38" s="74">
        <f t="shared" si="15"/>
        <v>84974.42</v>
      </c>
      <c r="J38" s="74">
        <f t="shared" si="15"/>
        <v>84026.210599999991</v>
      </c>
      <c r="K38" s="74">
        <f t="shared" si="15"/>
        <v>83144.375857999985</v>
      </c>
    </row>
    <row r="39" spans="1:12" ht="15" customHeight="1" x14ac:dyDescent="0.35">
      <c r="B39" t="s">
        <v>60</v>
      </c>
      <c r="C39" s="74"/>
      <c r="D39" s="49">
        <v>5000</v>
      </c>
      <c r="E39" s="49">
        <v>5000</v>
      </c>
      <c r="F39" s="49">
        <v>5000</v>
      </c>
      <c r="G39" s="49">
        <v>4000</v>
      </c>
      <c r="H39" s="49">
        <v>5000</v>
      </c>
      <c r="I39" s="69">
        <v>5000</v>
      </c>
      <c r="J39" s="69">
        <v>5000</v>
      </c>
      <c r="K39" s="69">
        <v>5000</v>
      </c>
    </row>
    <row r="40" spans="1:12" ht="15" customHeight="1" x14ac:dyDescent="0.35">
      <c r="B40" t="s">
        <v>83</v>
      </c>
      <c r="C40" s="74"/>
      <c r="D40">
        <f>'Monthly Income Statement'!D15</f>
        <v>-6044</v>
      </c>
      <c r="E40" s="74">
        <f>'Monthly Income Statement'!E15</f>
        <v>-5992</v>
      </c>
      <c r="F40" s="74">
        <f>'Monthly Income Statement'!F15</f>
        <v>-5958</v>
      </c>
      <c r="G40" s="74">
        <f>'Monthly Income Statement'!G15</f>
        <v>-6187</v>
      </c>
      <c r="H40" s="74">
        <f>'Monthly Income Statement'!H15</f>
        <v>-6019.5800000000008</v>
      </c>
      <c r="I40" s="74">
        <f>-I44*'Monthly Rollforward'!I38</f>
        <v>-5948.2094000000006</v>
      </c>
      <c r="J40" s="89">
        <f>-J44*'Monthly Rollforward'!J38</f>
        <v>-5881.834742</v>
      </c>
      <c r="K40" s="89">
        <f>-K44*'Monthly Rollforward'!K38</f>
        <v>-5820.1063100599995</v>
      </c>
    </row>
    <row r="41" spans="1:12" ht="15" customHeight="1" x14ac:dyDescent="0.35">
      <c r="B41" t="s">
        <v>86</v>
      </c>
      <c r="C41" s="94">
        <f>'Monthly Balance Sheet'!C18</f>
        <v>91175</v>
      </c>
      <c r="D41">
        <f>SUM(D38:D40)</f>
        <v>90131</v>
      </c>
      <c r="E41" s="74">
        <f t="shared" ref="E41:H41" si="16">SUM(E38:E40)</f>
        <v>89139</v>
      </c>
      <c r="F41" s="74">
        <f t="shared" si="16"/>
        <v>88181</v>
      </c>
      <c r="G41" s="74">
        <f t="shared" si="16"/>
        <v>85994</v>
      </c>
      <c r="H41" s="74">
        <f t="shared" si="16"/>
        <v>84974.42</v>
      </c>
      <c r="I41" s="74">
        <f>SUM(I38:I40)</f>
        <v>84026.210599999991</v>
      </c>
      <c r="J41" s="74">
        <f t="shared" ref="J41:K41" si="17">SUM(J38:J40)</f>
        <v>83144.375857999985</v>
      </c>
      <c r="K41" s="74">
        <f t="shared" si="17"/>
        <v>82324.269547939984</v>
      </c>
    </row>
    <row r="42" spans="1:12" ht="15" customHeight="1" x14ac:dyDescent="0.35">
      <c r="B42"/>
      <c r="C42"/>
      <c r="D42"/>
      <c r="E42"/>
      <c r="F42"/>
      <c r="G42"/>
      <c r="H42"/>
      <c r="I42" s="74"/>
      <c r="J42" s="74"/>
      <c r="K42" s="74"/>
    </row>
    <row r="43" spans="1:12" ht="15" customHeight="1" x14ac:dyDescent="0.35">
      <c r="B43" t="s">
        <v>127</v>
      </c>
      <c r="C43"/>
      <c r="D43" s="83"/>
      <c r="E43" s="84">
        <f>E39/E2</f>
        <v>161.29032258064515</v>
      </c>
      <c r="F43" s="84">
        <f t="shared" ref="F43:K43" si="18">F39/F2</f>
        <v>161.29032258064515</v>
      </c>
      <c r="G43" s="84">
        <f t="shared" si="18"/>
        <v>133.33333333333334</v>
      </c>
      <c r="H43" s="84">
        <f t="shared" si="18"/>
        <v>161.29032258064515</v>
      </c>
      <c r="I43" s="84">
        <f t="shared" si="18"/>
        <v>166.66666666666666</v>
      </c>
      <c r="J43" s="84">
        <f t="shared" si="18"/>
        <v>161.29032258064515</v>
      </c>
      <c r="K43" s="84">
        <f t="shared" si="18"/>
        <v>161.29032258064515</v>
      </c>
    </row>
    <row r="44" spans="1:12" ht="15" customHeight="1" x14ac:dyDescent="0.35">
      <c r="B44" s="66" t="s">
        <v>180</v>
      </c>
      <c r="I44" s="78">
        <v>7.0000000000000007E-2</v>
      </c>
      <c r="J44" s="78">
        <v>7.0000000000000007E-2</v>
      </c>
      <c r="K44" s="78">
        <v>7.0000000000000007E-2</v>
      </c>
    </row>
  </sheetData>
  <pageMargins left="0.7" right="0.7" top="0.75" bottom="0.75" header="0.3" footer="0.3"/>
  <pageSetup paperSize="9" orientation="landscape" verticalDpi="1200" r:id="rId1"/>
  <headerFooter>
    <oddHeader xml:space="preserve">&amp;R&amp;10&amp;F 
&amp;A
</oddHeader>
    <oddFooter>&amp;L&amp;10© 2020&amp;C&amp;10Page &amp;P of &amp;N&amp;R&amp;G</oddFooter>
  </headerFooter>
  <legacyDrawing r:id="rId2"/>
  <legacyDrawingHF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AB252F-BC1D-4D25-B610-CA43276F26E9}">
  <dimension ref="A1:I26"/>
  <sheetViews>
    <sheetView zoomScaleNormal="100" workbookViewId="0">
      <selection activeCell="G16" sqref="G16"/>
    </sheetView>
  </sheetViews>
  <sheetFormatPr defaultColWidth="9.08984375" defaultRowHeight="15" customHeight="1" x14ac:dyDescent="0.35"/>
  <cols>
    <col min="1" max="1" width="1.54296875" style="12" customWidth="1"/>
    <col min="2" max="2" width="40.54296875" style="66" customWidth="1"/>
    <col min="3" max="3" width="11.6328125" style="66" hidden="1" customWidth="1"/>
    <col min="4" max="8" width="11.6328125" style="66" customWidth="1"/>
    <col min="9" max="16384" width="9.08984375" style="66"/>
  </cols>
  <sheetData>
    <row r="1" spans="1:9" ht="45" customHeight="1" x14ac:dyDescent="0.65">
      <c r="A1" s="4" t="str">
        <f>Welcome!A2</f>
        <v>13-Week Cash Flow Model</v>
      </c>
      <c r="B1" s="7"/>
      <c r="C1" s="9"/>
      <c r="D1" s="9"/>
      <c r="E1" s="9"/>
      <c r="F1" s="9"/>
      <c r="G1" s="9"/>
      <c r="H1" s="9"/>
    </row>
    <row r="2" spans="1:9" ht="21" x14ac:dyDescent="0.5">
      <c r="A2" s="11"/>
      <c r="B2" s="6"/>
      <c r="C2" s="56"/>
      <c r="D2" s="56" t="s">
        <v>73</v>
      </c>
      <c r="E2" s="56" t="s">
        <v>73</v>
      </c>
      <c r="F2" s="56" t="s">
        <v>73</v>
      </c>
      <c r="G2" s="56" t="s">
        <v>73</v>
      </c>
      <c r="H2" s="56" t="s">
        <v>73</v>
      </c>
    </row>
    <row r="3" spans="1:9" ht="21" x14ac:dyDescent="0.5">
      <c r="A3" s="11"/>
      <c r="B3" s="6"/>
      <c r="C3" s="56"/>
      <c r="D3" s="56">
        <f>D4-C4</f>
        <v>30</v>
      </c>
      <c r="E3" s="56">
        <f>E4-D4</f>
        <v>31</v>
      </c>
      <c r="F3" s="56">
        <f t="shared" ref="F3:H3" si="0">F4-E4</f>
        <v>31</v>
      </c>
      <c r="G3" s="56">
        <f t="shared" si="0"/>
        <v>30</v>
      </c>
      <c r="H3" s="56">
        <f t="shared" si="0"/>
        <v>31</v>
      </c>
    </row>
    <row r="4" spans="1:9" ht="21" x14ac:dyDescent="0.5">
      <c r="A4" s="11"/>
      <c r="B4" s="6"/>
      <c r="C4" s="8">
        <v>43982</v>
      </c>
      <c r="D4" s="8">
        <f>EDATE(C4,1)</f>
        <v>44012</v>
      </c>
      <c r="E4" s="8">
        <f>EDATE(D4,1)+1</f>
        <v>44043</v>
      </c>
      <c r="F4" s="8">
        <f t="shared" ref="F4:G4" si="1">EDATE(E4,1)</f>
        <v>44074</v>
      </c>
      <c r="G4" s="8">
        <f t="shared" si="1"/>
        <v>44104</v>
      </c>
      <c r="H4" s="8">
        <f>EDATE(G4,1)+1</f>
        <v>44135</v>
      </c>
    </row>
    <row r="5" spans="1:9" ht="15" customHeight="1" x14ac:dyDescent="0.35">
      <c r="B5" s="58"/>
    </row>
    <row r="6" spans="1:9" ht="15" customHeight="1" x14ac:dyDescent="0.35">
      <c r="A6" s="12" t="s">
        <v>98</v>
      </c>
    </row>
    <row r="7" spans="1:9" ht="15" customHeight="1" x14ac:dyDescent="0.35">
      <c r="B7" t="s">
        <v>130</v>
      </c>
      <c r="D7"/>
      <c r="E7" s="66">
        <f>D12</f>
        <v>46417</v>
      </c>
      <c r="F7" s="74">
        <f t="shared" ref="F7:H7" si="2">E12</f>
        <v>53480</v>
      </c>
      <c r="G7" s="74">
        <f t="shared" si="2"/>
        <v>62336</v>
      </c>
      <c r="H7" s="74">
        <f t="shared" si="2"/>
        <v>65253</v>
      </c>
    </row>
    <row r="8" spans="1:9" ht="15" customHeight="1" x14ac:dyDescent="0.35">
      <c r="B8" t="s">
        <v>131</v>
      </c>
      <c r="C8"/>
      <c r="D8"/>
      <c r="E8" s="49">
        <f>-19996</f>
        <v>-19996</v>
      </c>
      <c r="F8" s="49">
        <f>-20462</f>
        <v>-20462</v>
      </c>
      <c r="G8" s="49">
        <v>-19445</v>
      </c>
      <c r="H8" s="49">
        <f>-19127</f>
        <v>-19127</v>
      </c>
    </row>
    <row r="9" spans="1:9" ht="15" customHeight="1" x14ac:dyDescent="0.35">
      <c r="B9" s="66" t="s">
        <v>217</v>
      </c>
      <c r="E9" s="66">
        <f>SUM(E7:E8)</f>
        <v>26421</v>
      </c>
      <c r="F9" s="74">
        <f t="shared" ref="F9:H9" si="3">SUM(F7:F8)</f>
        <v>33018</v>
      </c>
      <c r="G9" s="74">
        <f t="shared" si="3"/>
        <v>42891</v>
      </c>
      <c r="H9" s="74">
        <f t="shared" si="3"/>
        <v>46126</v>
      </c>
    </row>
    <row r="10" spans="1:9" ht="15" customHeight="1" x14ac:dyDescent="0.35">
      <c r="B10" t="s">
        <v>132</v>
      </c>
      <c r="C10"/>
      <c r="D10" s="85">
        <v>0.75</v>
      </c>
      <c r="E10" s="66">
        <f>$D$10*E9</f>
        <v>19815.75</v>
      </c>
      <c r="F10" s="74">
        <f t="shared" ref="F10:H10" si="4">$D$10*F9</f>
        <v>24763.5</v>
      </c>
      <c r="G10" s="74">
        <f t="shared" si="4"/>
        <v>32168.25</v>
      </c>
      <c r="H10" s="74">
        <f t="shared" si="4"/>
        <v>34594.5</v>
      </c>
    </row>
    <row r="11" spans="1:9" ht="15" customHeight="1" x14ac:dyDescent="0.35">
      <c r="E11"/>
    </row>
    <row r="12" spans="1:9" ht="15" customHeight="1" x14ac:dyDescent="0.35">
      <c r="B12" t="s">
        <v>133</v>
      </c>
      <c r="C12"/>
      <c r="D12" s="66">
        <f>'Monthly Balance Sheet'!D8</f>
        <v>46417</v>
      </c>
      <c r="E12">
        <f>'Monthly Balance Sheet'!E8</f>
        <v>53480</v>
      </c>
      <c r="F12" s="66">
        <f>'Monthly Balance Sheet'!F8</f>
        <v>62336</v>
      </c>
      <c r="G12" s="66">
        <f>'Monthly Balance Sheet'!G8</f>
        <v>65253</v>
      </c>
      <c r="H12" s="66">
        <f>'Monthly Balance Sheet'!H8</f>
        <v>68960</v>
      </c>
    </row>
    <row r="13" spans="1:9" ht="15" customHeight="1" x14ac:dyDescent="0.35">
      <c r="B13"/>
      <c r="C13"/>
      <c r="D13"/>
    </row>
    <row r="14" spans="1:9" ht="15" customHeight="1" x14ac:dyDescent="0.35">
      <c r="B14" t="s">
        <v>134</v>
      </c>
      <c r="C14"/>
      <c r="D14"/>
      <c r="E14" s="67">
        <f>-E8/E7</f>
        <v>0.43079044315660209</v>
      </c>
      <c r="F14" s="67">
        <f t="shared" ref="F14:H14" si="5">-F8/F7</f>
        <v>0.38261032161555719</v>
      </c>
      <c r="G14" s="67">
        <f t="shared" si="5"/>
        <v>0.31193852669404515</v>
      </c>
      <c r="H14" s="67">
        <f t="shared" si="5"/>
        <v>0.29312062280661427</v>
      </c>
      <c r="I14"/>
    </row>
    <row r="15" spans="1:9" ht="15" customHeight="1" x14ac:dyDescent="0.35">
      <c r="B15"/>
      <c r="C15"/>
      <c r="D15"/>
    </row>
    <row r="16" spans="1:9" ht="15" customHeight="1" x14ac:dyDescent="0.35">
      <c r="A16" s="12" t="s">
        <v>25</v>
      </c>
      <c r="C16"/>
      <c r="D16"/>
    </row>
    <row r="17" spans="2:8" ht="15" customHeight="1" x14ac:dyDescent="0.35">
      <c r="B17" s="66" t="s">
        <v>135</v>
      </c>
      <c r="E17" s="66">
        <f>D24</f>
        <v>91903</v>
      </c>
      <c r="F17" s="74">
        <f t="shared" ref="F17:H17" si="6">E24</f>
        <v>88448.000000000029</v>
      </c>
      <c r="G17" s="74">
        <f t="shared" si="6"/>
        <v>88316.000000000029</v>
      </c>
      <c r="H17" s="74">
        <f t="shared" si="6"/>
        <v>87107.000000000029</v>
      </c>
    </row>
    <row r="18" spans="2:8" ht="15" customHeight="1" x14ac:dyDescent="0.35">
      <c r="B18" t="s">
        <v>218</v>
      </c>
      <c r="C18"/>
      <c r="D18" s="85">
        <v>0.05</v>
      </c>
      <c r="E18" s="66">
        <f>-$D18*E$17</f>
        <v>-4595.1500000000005</v>
      </c>
      <c r="F18" s="74">
        <f t="shared" ref="F18:H18" si="7">-$D18*F$17</f>
        <v>-4422.4000000000015</v>
      </c>
      <c r="G18" s="74">
        <f t="shared" si="7"/>
        <v>-4415.800000000002</v>
      </c>
      <c r="H18" s="74">
        <f t="shared" si="7"/>
        <v>-4355.3500000000013</v>
      </c>
    </row>
    <row r="19" spans="2:8" ht="15" customHeight="1" x14ac:dyDescent="0.35">
      <c r="B19" t="s">
        <v>219</v>
      </c>
      <c r="C19"/>
      <c r="D19" s="85">
        <v>0.05</v>
      </c>
      <c r="E19" s="74">
        <f t="shared" ref="E19:H20" si="8">-$D19*E$17</f>
        <v>-4595.1500000000005</v>
      </c>
      <c r="F19" s="74">
        <f t="shared" si="8"/>
        <v>-4422.4000000000015</v>
      </c>
      <c r="G19" s="74">
        <f t="shared" si="8"/>
        <v>-4415.800000000002</v>
      </c>
      <c r="H19" s="74">
        <f t="shared" si="8"/>
        <v>-4355.3500000000013</v>
      </c>
    </row>
    <row r="20" spans="2:8" ht="15" customHeight="1" x14ac:dyDescent="0.35">
      <c r="B20" s="66" t="s">
        <v>220</v>
      </c>
      <c r="D20" s="85">
        <v>0.2</v>
      </c>
      <c r="E20" s="74">
        <f t="shared" si="8"/>
        <v>-18380.600000000002</v>
      </c>
      <c r="F20" s="74">
        <f t="shared" si="8"/>
        <v>-17689.600000000006</v>
      </c>
      <c r="G20" s="74">
        <f t="shared" si="8"/>
        <v>-17663.200000000008</v>
      </c>
      <c r="H20" s="74">
        <f t="shared" si="8"/>
        <v>-17421.400000000005</v>
      </c>
    </row>
    <row r="21" spans="2:8" ht="15" customHeight="1" x14ac:dyDescent="0.35">
      <c r="B21" s="66" t="s">
        <v>221</v>
      </c>
      <c r="D21"/>
      <c r="E21" s="66">
        <f>SUM(E17:E20)</f>
        <v>64332.100000000006</v>
      </c>
      <c r="F21" s="74">
        <f t="shared" ref="F21:H21" si="9">SUM(F17:F20)</f>
        <v>61913.600000000035</v>
      </c>
      <c r="G21" s="74">
        <f t="shared" si="9"/>
        <v>61821.200000000012</v>
      </c>
      <c r="H21" s="74">
        <f t="shared" si="9"/>
        <v>60974.900000000009</v>
      </c>
    </row>
    <row r="22" spans="2:8" ht="15" customHeight="1" x14ac:dyDescent="0.35">
      <c r="B22" s="66" t="s">
        <v>132</v>
      </c>
      <c r="D22" s="86">
        <v>0.75</v>
      </c>
      <c r="E22" s="66">
        <f>$D22*E21</f>
        <v>48249.075000000004</v>
      </c>
      <c r="F22" s="74">
        <f t="shared" ref="F22:H22" si="10">$D22*F21</f>
        <v>46435.200000000026</v>
      </c>
      <c r="G22" s="74">
        <f t="shared" si="10"/>
        <v>46365.900000000009</v>
      </c>
      <c r="H22" s="74">
        <f t="shared" si="10"/>
        <v>45731.175000000003</v>
      </c>
    </row>
    <row r="23" spans="2:8" ht="15" customHeight="1" x14ac:dyDescent="0.35">
      <c r="D23"/>
    </row>
    <row r="24" spans="2:8" ht="15" customHeight="1" x14ac:dyDescent="0.35">
      <c r="B24" t="s">
        <v>136</v>
      </c>
      <c r="C24"/>
      <c r="D24">
        <f>'Monthly Balance Sheet'!D9</f>
        <v>91903</v>
      </c>
      <c r="E24" s="74">
        <f>'Monthly Balance Sheet'!E9</f>
        <v>88448.000000000029</v>
      </c>
      <c r="F24" s="74">
        <f>'Monthly Balance Sheet'!F9</f>
        <v>88316.000000000029</v>
      </c>
      <c r="G24" s="74">
        <f>'Monthly Balance Sheet'!G9</f>
        <v>87107.000000000029</v>
      </c>
      <c r="H24" s="74">
        <f>'Monthly Balance Sheet'!H9</f>
        <v>90891.503999999986</v>
      </c>
    </row>
    <row r="26" spans="2:8" ht="15" customHeight="1" x14ac:dyDescent="0.35">
      <c r="B26" s="66" t="s">
        <v>137</v>
      </c>
      <c r="E26" s="66">
        <f>E22+E10</f>
        <v>68064.825000000012</v>
      </c>
      <c r="F26" s="74">
        <f t="shared" ref="F26:H26" si="11">F22+F10</f>
        <v>71198.700000000026</v>
      </c>
      <c r="G26" s="74">
        <f t="shared" si="11"/>
        <v>78534.150000000009</v>
      </c>
      <c r="H26" s="74">
        <f t="shared" si="11"/>
        <v>80325.675000000003</v>
      </c>
    </row>
  </sheetData>
  <pageMargins left="0.7" right="0.7" top="0.75" bottom="0.75" header="0.3" footer="0.3"/>
  <pageSetup paperSize="9" orientation="landscape" verticalDpi="1200" r:id="rId1"/>
  <headerFooter>
    <oddHeader xml:space="preserve">&amp;R&amp;10&amp;F 
&amp;A
</oddHeader>
    <oddFooter>&amp;L&amp;10© 2020&amp;C&amp;10Page &amp;P of &amp;N&amp;R&amp;G</oddFooter>
  </headerFooter>
  <legacyDrawing r:id="rId2"/>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6B65BA-BD0E-41BA-8B8A-8AD3B59E9BE6}">
  <dimension ref="A1:AC21"/>
  <sheetViews>
    <sheetView zoomScaleNormal="100" workbookViewId="0">
      <pane xSplit="2" ySplit="5" topLeftCell="P6" activePane="bottomRight" state="frozen"/>
      <selection sqref="A1:N1"/>
      <selection pane="topRight" sqref="A1:N1"/>
      <selection pane="bottomLeft" sqref="A1:N1"/>
      <selection pane="bottomRight" activeCell="Q7" sqref="Q7"/>
    </sheetView>
  </sheetViews>
  <sheetFormatPr defaultColWidth="9.08984375" defaultRowHeight="15" customHeight="1" x14ac:dyDescent="0.35"/>
  <cols>
    <col min="1" max="1" width="1.54296875" style="12" customWidth="1"/>
    <col min="2" max="2" width="40.54296875" style="74" customWidth="1"/>
    <col min="3" max="3" width="11.54296875" style="74" hidden="1" customWidth="1"/>
    <col min="4" max="15" width="11.6328125" style="74" hidden="1" customWidth="1"/>
    <col min="16" max="29" width="11.6328125" style="74" customWidth="1"/>
    <col min="30" max="16384" width="9.08984375" style="74"/>
  </cols>
  <sheetData>
    <row r="1" spans="1:29" ht="45" customHeight="1" x14ac:dyDescent="0.65">
      <c r="A1" s="4" t="str">
        <f>Welcome!A2</f>
        <v>13-Week Cash Flow Model</v>
      </c>
      <c r="B1" s="7"/>
      <c r="C1" s="9"/>
      <c r="D1" s="9"/>
      <c r="E1" s="9"/>
      <c r="F1" s="9"/>
      <c r="G1" s="9"/>
      <c r="H1" s="9"/>
      <c r="I1" s="9"/>
      <c r="J1" s="9"/>
      <c r="K1" s="9"/>
      <c r="L1" s="9"/>
      <c r="M1" s="9"/>
      <c r="N1" s="9"/>
      <c r="O1" s="9"/>
      <c r="P1" s="9"/>
      <c r="Q1" s="9"/>
      <c r="R1" s="9"/>
      <c r="S1" s="9"/>
      <c r="T1" s="9"/>
      <c r="U1" s="9"/>
      <c r="V1" s="9"/>
      <c r="W1" s="9"/>
      <c r="X1" s="9"/>
      <c r="Y1" s="9"/>
      <c r="Z1" s="9"/>
      <c r="AA1" s="9"/>
      <c r="AB1" s="9"/>
      <c r="AC1" s="9"/>
    </row>
    <row r="2" spans="1:29" ht="21" x14ac:dyDescent="0.5">
      <c r="A2" s="11"/>
      <c r="B2" s="6"/>
      <c r="C2" s="56"/>
      <c r="D2" s="56" t="s">
        <v>73</v>
      </c>
      <c r="E2" s="56" t="s">
        <v>73</v>
      </c>
      <c r="F2" s="56" t="s">
        <v>73</v>
      </c>
      <c r="G2" s="56" t="s">
        <v>73</v>
      </c>
      <c r="H2" s="56" t="s">
        <v>73</v>
      </c>
      <c r="I2" s="56" t="s">
        <v>73</v>
      </c>
      <c r="J2" s="56" t="s">
        <v>73</v>
      </c>
      <c r="K2" s="56" t="s">
        <v>73</v>
      </c>
      <c r="L2" s="56" t="s">
        <v>73</v>
      </c>
      <c r="M2" s="56" t="s">
        <v>73</v>
      </c>
      <c r="N2" s="56" t="s">
        <v>73</v>
      </c>
      <c r="O2" s="56" t="s">
        <v>73</v>
      </c>
      <c r="P2" s="56" t="s">
        <v>73</v>
      </c>
      <c r="Q2" s="56" t="s">
        <v>74</v>
      </c>
      <c r="R2" s="56" t="s">
        <v>74</v>
      </c>
      <c r="S2" s="56" t="s">
        <v>74</v>
      </c>
      <c r="T2" s="56" t="s">
        <v>74</v>
      </c>
      <c r="U2" s="56" t="s">
        <v>74</v>
      </c>
      <c r="V2" s="56" t="s">
        <v>74</v>
      </c>
      <c r="W2" s="56" t="s">
        <v>74</v>
      </c>
      <c r="X2" s="56" t="s">
        <v>74</v>
      </c>
      <c r="Y2" s="56" t="s">
        <v>74</v>
      </c>
      <c r="Z2" s="56" t="s">
        <v>74</v>
      </c>
      <c r="AA2" s="56" t="s">
        <v>74</v>
      </c>
      <c r="AB2" s="56" t="s">
        <v>74</v>
      </c>
      <c r="AC2" s="56" t="s">
        <v>74</v>
      </c>
    </row>
    <row r="3" spans="1:29" ht="21" x14ac:dyDescent="0.5">
      <c r="A3" s="11"/>
      <c r="B3" s="6"/>
      <c r="C3" s="56">
        <v>0</v>
      </c>
      <c r="D3" s="56">
        <v>1</v>
      </c>
      <c r="E3" s="56">
        <f>D3+1</f>
        <v>2</v>
      </c>
      <c r="F3" s="56">
        <f t="shared" ref="F3:P3" si="0">E3+1</f>
        <v>3</v>
      </c>
      <c r="G3" s="56">
        <f t="shared" si="0"/>
        <v>4</v>
      </c>
      <c r="H3" s="56">
        <f t="shared" si="0"/>
        <v>5</v>
      </c>
      <c r="I3" s="56">
        <f t="shared" si="0"/>
        <v>6</v>
      </c>
      <c r="J3" s="56">
        <f t="shared" si="0"/>
        <v>7</v>
      </c>
      <c r="K3" s="56">
        <f t="shared" si="0"/>
        <v>8</v>
      </c>
      <c r="L3" s="56">
        <f t="shared" si="0"/>
        <v>9</v>
      </c>
      <c r="M3" s="56">
        <f t="shared" si="0"/>
        <v>10</v>
      </c>
      <c r="N3" s="56">
        <f t="shared" si="0"/>
        <v>11</v>
      </c>
      <c r="O3" s="56">
        <f t="shared" si="0"/>
        <v>12</v>
      </c>
      <c r="P3" s="56">
        <f t="shared" si="0"/>
        <v>13</v>
      </c>
      <c r="Q3" s="56">
        <v>1</v>
      </c>
      <c r="R3" s="56">
        <f>Q3+1</f>
        <v>2</v>
      </c>
      <c r="S3" s="56">
        <f t="shared" ref="S3:AC3" si="1">R3+1</f>
        <v>3</v>
      </c>
      <c r="T3" s="56">
        <f t="shared" si="1"/>
        <v>4</v>
      </c>
      <c r="U3" s="56">
        <f t="shared" si="1"/>
        <v>5</v>
      </c>
      <c r="V3" s="56">
        <f t="shared" si="1"/>
        <v>6</v>
      </c>
      <c r="W3" s="56">
        <f t="shared" si="1"/>
        <v>7</v>
      </c>
      <c r="X3" s="56">
        <f t="shared" si="1"/>
        <v>8</v>
      </c>
      <c r="Y3" s="56">
        <f t="shared" si="1"/>
        <v>9</v>
      </c>
      <c r="Z3" s="56">
        <f t="shared" si="1"/>
        <v>10</v>
      </c>
      <c r="AA3" s="56">
        <f t="shared" si="1"/>
        <v>11</v>
      </c>
      <c r="AB3" s="56">
        <f t="shared" si="1"/>
        <v>12</v>
      </c>
      <c r="AC3" s="56">
        <f t="shared" si="1"/>
        <v>13</v>
      </c>
    </row>
    <row r="4" spans="1:29" ht="21" x14ac:dyDescent="0.5">
      <c r="A4" s="11"/>
      <c r="B4" s="6"/>
      <c r="C4" s="8">
        <f>D4-7</f>
        <v>44043</v>
      </c>
      <c r="D4" s="8">
        <v>44050</v>
      </c>
      <c r="E4" s="8">
        <f>D4+7</f>
        <v>44057</v>
      </c>
      <c r="F4" s="8">
        <f t="shared" ref="F4:AC4" si="2">E4+7</f>
        <v>44064</v>
      </c>
      <c r="G4" s="8">
        <f t="shared" si="2"/>
        <v>44071</v>
      </c>
      <c r="H4" s="8">
        <f t="shared" si="2"/>
        <v>44078</v>
      </c>
      <c r="I4" s="8">
        <f t="shared" si="2"/>
        <v>44085</v>
      </c>
      <c r="J4" s="8">
        <f t="shared" si="2"/>
        <v>44092</v>
      </c>
      <c r="K4" s="8">
        <f t="shared" si="2"/>
        <v>44099</v>
      </c>
      <c r="L4" s="8">
        <f t="shared" si="2"/>
        <v>44106</v>
      </c>
      <c r="M4" s="8">
        <f t="shared" si="2"/>
        <v>44113</v>
      </c>
      <c r="N4" s="8">
        <f t="shared" si="2"/>
        <v>44120</v>
      </c>
      <c r="O4" s="8">
        <f t="shared" si="2"/>
        <v>44127</v>
      </c>
      <c r="P4" s="8">
        <f t="shared" si="2"/>
        <v>44134</v>
      </c>
      <c r="Q4" s="8">
        <f>P4+7</f>
        <v>44141</v>
      </c>
      <c r="R4" s="8">
        <f t="shared" si="2"/>
        <v>44148</v>
      </c>
      <c r="S4" s="8">
        <f t="shared" si="2"/>
        <v>44155</v>
      </c>
      <c r="T4" s="8">
        <f t="shared" si="2"/>
        <v>44162</v>
      </c>
      <c r="U4" s="8">
        <f t="shared" si="2"/>
        <v>44169</v>
      </c>
      <c r="V4" s="8">
        <f t="shared" si="2"/>
        <v>44176</v>
      </c>
      <c r="W4" s="8">
        <f t="shared" si="2"/>
        <v>44183</v>
      </c>
      <c r="X4" s="8">
        <f t="shared" si="2"/>
        <v>44190</v>
      </c>
      <c r="Y4" s="8">
        <f t="shared" si="2"/>
        <v>44197</v>
      </c>
      <c r="Z4" s="8">
        <f t="shared" si="2"/>
        <v>44204</v>
      </c>
      <c r="AA4" s="8">
        <f t="shared" si="2"/>
        <v>44211</v>
      </c>
      <c r="AB4" s="8">
        <f t="shared" si="2"/>
        <v>44218</v>
      </c>
      <c r="AC4" s="8">
        <f t="shared" si="2"/>
        <v>44225</v>
      </c>
    </row>
    <row r="5" spans="1:29" ht="15" customHeight="1" x14ac:dyDescent="0.35">
      <c r="A5" s="62"/>
      <c r="B5" s="53"/>
      <c r="C5" s="53"/>
    </row>
    <row r="6" spans="1:29" ht="15" customHeight="1" x14ac:dyDescent="0.35">
      <c r="A6" s="62" t="s">
        <v>160</v>
      </c>
      <c r="B6" s="57"/>
      <c r="C6" s="53"/>
    </row>
    <row r="7" spans="1:29" ht="15" customHeight="1" x14ac:dyDescent="0.35">
      <c r="A7" s="62"/>
      <c r="B7" s="60" t="s">
        <v>161</v>
      </c>
      <c r="C7" s="53"/>
      <c r="P7" s="49">
        <v>21989</v>
      </c>
    </row>
    <row r="8" spans="1:29" ht="15" customHeight="1" x14ac:dyDescent="0.35">
      <c r="A8" s="62"/>
      <c r="B8" s="60" t="s">
        <v>98</v>
      </c>
      <c r="C8" s="53"/>
      <c r="P8" s="49">
        <v>68840.509999999995</v>
      </c>
    </row>
    <row r="9" spans="1:29" ht="15" customHeight="1" x14ac:dyDescent="0.35">
      <c r="A9" s="62"/>
      <c r="B9" s="53" t="s">
        <v>25</v>
      </c>
      <c r="C9" s="53"/>
      <c r="P9" s="49">
        <v>90885.32</v>
      </c>
    </row>
    <row r="10" spans="1:29" ht="15" customHeight="1" x14ac:dyDescent="0.35">
      <c r="B10" s="60" t="s">
        <v>155</v>
      </c>
      <c r="P10" s="49">
        <v>85007.29</v>
      </c>
    </row>
    <row r="11" spans="1:29" ht="15" customHeight="1" x14ac:dyDescent="0.35">
      <c r="P11"/>
    </row>
    <row r="12" spans="1:29" ht="15" customHeight="1" x14ac:dyDescent="0.35">
      <c r="A12" s="12" t="s">
        <v>35</v>
      </c>
      <c r="P12"/>
    </row>
    <row r="13" spans="1:29" s="99" customFormat="1" ht="15" customHeight="1" x14ac:dyDescent="0.35">
      <c r="A13" s="12"/>
      <c r="B13" s="99" t="s">
        <v>48</v>
      </c>
      <c r="P13" s="49">
        <v>64111.959499999997</v>
      </c>
    </row>
    <row r="14" spans="1:29" ht="15" customHeight="1" x14ac:dyDescent="0.35">
      <c r="B14" s="74" t="s">
        <v>101</v>
      </c>
      <c r="P14" s="49">
        <v>66714.989000000001</v>
      </c>
    </row>
    <row r="15" spans="1:29" ht="15" customHeight="1" x14ac:dyDescent="0.35">
      <c r="B15" s="74" t="s">
        <v>163</v>
      </c>
      <c r="P15" s="49">
        <v>11990.3</v>
      </c>
    </row>
    <row r="16" spans="1:29" ht="15" customHeight="1" x14ac:dyDescent="0.35">
      <c r="B16" s="74" t="s">
        <v>162</v>
      </c>
      <c r="P16" s="49">
        <v>28866.3</v>
      </c>
    </row>
    <row r="17" spans="2:29" ht="15" customHeight="1" x14ac:dyDescent="0.35">
      <c r="B17" s="74" t="s">
        <v>187</v>
      </c>
      <c r="P17" s="49">
        <v>394000</v>
      </c>
      <c r="R17" s="99"/>
      <c r="S17" s="99"/>
      <c r="T17" s="99"/>
      <c r="U17" s="99"/>
      <c r="V17" s="99"/>
      <c r="W17" s="99"/>
      <c r="X17" s="99"/>
      <c r="Y17" s="99"/>
      <c r="Z17" s="99"/>
      <c r="AA17" s="99"/>
      <c r="AB17" s="99"/>
      <c r="AC17" s="99"/>
    </row>
    <row r="18" spans="2:29" ht="15" customHeight="1" x14ac:dyDescent="0.35">
      <c r="P18"/>
    </row>
    <row r="19" spans="2:29" ht="15" customHeight="1" x14ac:dyDescent="0.35">
      <c r="P19" s="102"/>
    </row>
    <row r="20" spans="2:29" ht="15" customHeight="1" x14ac:dyDescent="0.35">
      <c r="P20" s="102"/>
    </row>
    <row r="21" spans="2:29" ht="15" customHeight="1" x14ac:dyDescent="0.35">
      <c r="P21" s="102"/>
    </row>
  </sheetData>
  <pageMargins left="0.7" right="0.7" top="0.75" bottom="0.75" header="0.3" footer="0.3"/>
  <pageSetup paperSize="9" orientation="landscape" verticalDpi="1200" r:id="rId1"/>
  <headerFooter>
    <oddHeader xml:space="preserve">&amp;R&amp;10&amp;F 
&amp;A
</oddHeader>
    <oddFooter>&amp;L&amp;10© 2020&amp;C&amp;10Page &amp;P of &amp;N&amp;R&amp;G</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1B3EF6-E524-4D7C-85CA-38EB82970E68}">
  <dimension ref="A1:AC36"/>
  <sheetViews>
    <sheetView zoomScale="80" zoomScaleNormal="80" workbookViewId="0">
      <pane xSplit="2" ySplit="8" topLeftCell="P16" activePane="bottomRight" state="frozen"/>
      <selection sqref="A1:N1"/>
      <selection pane="topRight" sqref="A1:N1"/>
      <selection pane="bottomLeft" sqref="A1:N1"/>
      <selection pane="bottomRight" activeCell="Q26" sqref="Q26"/>
    </sheetView>
  </sheetViews>
  <sheetFormatPr defaultColWidth="9.08984375" defaultRowHeight="15" customHeight="1" x14ac:dyDescent="0.35"/>
  <cols>
    <col min="1" max="1" width="1.54296875" style="12" customWidth="1"/>
    <col min="2" max="2" width="40.54296875" style="47" customWidth="1"/>
    <col min="3" max="3" width="11.54296875" style="47" customWidth="1"/>
    <col min="4" max="29" width="11.6328125" style="47" customWidth="1"/>
    <col min="30" max="16384" width="9.08984375" style="47"/>
  </cols>
  <sheetData>
    <row r="1" spans="1:29" ht="45" customHeight="1" x14ac:dyDescent="0.65">
      <c r="A1" s="4" t="str">
        <f>Welcome!A2</f>
        <v>13-Week Cash Flow Model</v>
      </c>
      <c r="B1" s="7"/>
      <c r="C1" s="9"/>
      <c r="D1" s="9"/>
      <c r="E1" s="9"/>
      <c r="F1" s="9"/>
      <c r="G1" s="9"/>
      <c r="H1" s="9"/>
      <c r="I1" s="9"/>
      <c r="J1" s="9"/>
      <c r="K1" s="9"/>
      <c r="L1" s="9"/>
      <c r="M1" s="9"/>
      <c r="N1" s="9"/>
      <c r="O1" s="9"/>
      <c r="P1" s="9"/>
      <c r="Q1" s="9"/>
      <c r="R1" s="9"/>
      <c r="S1" s="9"/>
      <c r="T1" s="9"/>
      <c r="U1" s="9"/>
      <c r="V1" s="9"/>
      <c r="W1" s="9"/>
      <c r="X1" s="9"/>
      <c r="Y1" s="9"/>
      <c r="Z1" s="9"/>
      <c r="AA1" s="9"/>
      <c r="AB1" s="9"/>
      <c r="AC1" s="9"/>
    </row>
    <row r="2" spans="1:29" ht="21" x14ac:dyDescent="0.5">
      <c r="A2" s="11"/>
      <c r="B2" s="6"/>
      <c r="C2" s="56"/>
      <c r="D2" s="56" t="s">
        <v>73</v>
      </c>
      <c r="E2" s="56" t="s">
        <v>73</v>
      </c>
      <c r="F2" s="56" t="s">
        <v>73</v>
      </c>
      <c r="G2" s="56" t="s">
        <v>73</v>
      </c>
      <c r="H2" s="56" t="s">
        <v>73</v>
      </c>
      <c r="I2" s="56" t="s">
        <v>73</v>
      </c>
      <c r="J2" s="56" t="s">
        <v>73</v>
      </c>
      <c r="K2" s="56" t="s">
        <v>73</v>
      </c>
      <c r="L2" s="56" t="s">
        <v>73</v>
      </c>
      <c r="M2" s="56" t="s">
        <v>73</v>
      </c>
      <c r="N2" s="56" t="s">
        <v>73</v>
      </c>
      <c r="O2" s="56" t="s">
        <v>73</v>
      </c>
      <c r="P2" s="56" t="s">
        <v>73</v>
      </c>
      <c r="Q2" s="56" t="s">
        <v>74</v>
      </c>
      <c r="R2" s="56" t="s">
        <v>74</v>
      </c>
      <c r="S2" s="56" t="s">
        <v>74</v>
      </c>
      <c r="T2" s="56" t="s">
        <v>74</v>
      </c>
      <c r="U2" s="56" t="s">
        <v>74</v>
      </c>
      <c r="V2" s="56" t="s">
        <v>74</v>
      </c>
      <c r="W2" s="56" t="s">
        <v>74</v>
      </c>
      <c r="X2" s="56" t="s">
        <v>74</v>
      </c>
      <c r="Y2" s="56" t="s">
        <v>74</v>
      </c>
      <c r="Z2" s="56" t="s">
        <v>74</v>
      </c>
      <c r="AA2" s="56" t="s">
        <v>74</v>
      </c>
      <c r="AB2" s="56" t="s">
        <v>74</v>
      </c>
      <c r="AC2" s="56" t="s">
        <v>74</v>
      </c>
    </row>
    <row r="3" spans="1:29" ht="21" x14ac:dyDescent="0.5">
      <c r="A3" s="11"/>
      <c r="B3" s="6"/>
      <c r="C3" s="56">
        <v>0</v>
      </c>
      <c r="D3" s="56">
        <v>1</v>
      </c>
      <c r="E3" s="56">
        <f>D3+1</f>
        <v>2</v>
      </c>
      <c r="F3" s="56">
        <f t="shared" ref="F3:P3" si="0">E3+1</f>
        <v>3</v>
      </c>
      <c r="G3" s="56">
        <f t="shared" si="0"/>
        <v>4</v>
      </c>
      <c r="H3" s="56">
        <f t="shared" si="0"/>
        <v>5</v>
      </c>
      <c r="I3" s="56">
        <f t="shared" si="0"/>
        <v>6</v>
      </c>
      <c r="J3" s="56">
        <f t="shared" si="0"/>
        <v>7</v>
      </c>
      <c r="K3" s="56">
        <f t="shared" si="0"/>
        <v>8</v>
      </c>
      <c r="L3" s="56">
        <f t="shared" si="0"/>
        <v>9</v>
      </c>
      <c r="M3" s="56">
        <f t="shared" si="0"/>
        <v>10</v>
      </c>
      <c r="N3" s="56">
        <f t="shared" si="0"/>
        <v>11</v>
      </c>
      <c r="O3" s="56">
        <f t="shared" si="0"/>
        <v>12</v>
      </c>
      <c r="P3" s="56">
        <f t="shared" si="0"/>
        <v>13</v>
      </c>
      <c r="Q3" s="56">
        <v>1</v>
      </c>
      <c r="R3" s="56">
        <f>Q3+1</f>
        <v>2</v>
      </c>
      <c r="S3" s="56">
        <f t="shared" ref="S3:AC3" si="1">R3+1</f>
        <v>3</v>
      </c>
      <c r="T3" s="56">
        <f t="shared" si="1"/>
        <v>4</v>
      </c>
      <c r="U3" s="56">
        <f t="shared" si="1"/>
        <v>5</v>
      </c>
      <c r="V3" s="56">
        <f t="shared" si="1"/>
        <v>6</v>
      </c>
      <c r="W3" s="56">
        <f t="shared" si="1"/>
        <v>7</v>
      </c>
      <c r="X3" s="56">
        <f t="shared" si="1"/>
        <v>8</v>
      </c>
      <c r="Y3" s="56">
        <f t="shared" si="1"/>
        <v>9</v>
      </c>
      <c r="Z3" s="56">
        <f t="shared" si="1"/>
        <v>10</v>
      </c>
      <c r="AA3" s="56">
        <f t="shared" si="1"/>
        <v>11</v>
      </c>
      <c r="AB3" s="56">
        <f t="shared" si="1"/>
        <v>12</v>
      </c>
      <c r="AC3" s="56">
        <f t="shared" si="1"/>
        <v>13</v>
      </c>
    </row>
    <row r="4" spans="1:29" ht="21" x14ac:dyDescent="0.5">
      <c r="A4" s="11"/>
      <c r="B4" s="6"/>
      <c r="C4" s="8">
        <f>D4-7</f>
        <v>44043</v>
      </c>
      <c r="D4" s="8">
        <v>44050</v>
      </c>
      <c r="E4" s="8">
        <f>D4+7</f>
        <v>44057</v>
      </c>
      <c r="F4" s="8">
        <f t="shared" ref="F4:AC4" si="2">E4+7</f>
        <v>44064</v>
      </c>
      <c r="G4" s="8">
        <f t="shared" si="2"/>
        <v>44071</v>
      </c>
      <c r="H4" s="8">
        <f t="shared" si="2"/>
        <v>44078</v>
      </c>
      <c r="I4" s="8">
        <f t="shared" si="2"/>
        <v>44085</v>
      </c>
      <c r="J4" s="8">
        <f t="shared" si="2"/>
        <v>44092</v>
      </c>
      <c r="K4" s="8">
        <f t="shared" si="2"/>
        <v>44099</v>
      </c>
      <c r="L4" s="8">
        <f t="shared" si="2"/>
        <v>44106</v>
      </c>
      <c r="M4" s="8">
        <f t="shared" si="2"/>
        <v>44113</v>
      </c>
      <c r="N4" s="8">
        <f t="shared" si="2"/>
        <v>44120</v>
      </c>
      <c r="O4" s="8">
        <f t="shared" si="2"/>
        <v>44127</v>
      </c>
      <c r="P4" s="8">
        <f t="shared" si="2"/>
        <v>44134</v>
      </c>
      <c r="Q4" s="8">
        <f>P4+7</f>
        <v>44141</v>
      </c>
      <c r="R4" s="8">
        <f t="shared" si="2"/>
        <v>44148</v>
      </c>
      <c r="S4" s="8">
        <f t="shared" si="2"/>
        <v>44155</v>
      </c>
      <c r="T4" s="8">
        <f t="shared" si="2"/>
        <v>44162</v>
      </c>
      <c r="U4" s="8">
        <f t="shared" si="2"/>
        <v>44169</v>
      </c>
      <c r="V4" s="8">
        <f t="shared" si="2"/>
        <v>44176</v>
      </c>
      <c r="W4" s="8">
        <f t="shared" si="2"/>
        <v>44183</v>
      </c>
      <c r="X4" s="8">
        <f t="shared" si="2"/>
        <v>44190</v>
      </c>
      <c r="Y4" s="8">
        <f t="shared" si="2"/>
        <v>44197</v>
      </c>
      <c r="Z4" s="8">
        <f t="shared" si="2"/>
        <v>44204</v>
      </c>
      <c r="AA4" s="8">
        <f t="shared" si="2"/>
        <v>44211</v>
      </c>
      <c r="AB4" s="8">
        <f t="shared" si="2"/>
        <v>44218</v>
      </c>
      <c r="AC4" s="8">
        <f t="shared" si="2"/>
        <v>44225</v>
      </c>
    </row>
    <row r="5" spans="1:29" ht="15" customHeight="1" x14ac:dyDescent="0.35">
      <c r="A5" s="62"/>
      <c r="B5" s="53"/>
      <c r="C5" s="53"/>
      <c r="E5" s="48"/>
      <c r="F5" s="48"/>
      <c r="G5" s="48"/>
      <c r="I5" s="48"/>
      <c r="J5" s="48"/>
      <c r="K5" s="48"/>
      <c r="L5" s="48"/>
      <c r="M5" s="48"/>
      <c r="N5" s="48"/>
      <c r="O5" s="48"/>
      <c r="P5" s="48"/>
      <c r="Z5" s="19"/>
      <c r="AA5" s="19"/>
      <c r="AB5" s="19"/>
      <c r="AC5" s="19"/>
    </row>
    <row r="6" spans="1:29" s="48" customFormat="1" ht="15" customHeight="1" x14ac:dyDescent="0.35">
      <c r="A6" s="62"/>
      <c r="B6" s="53" t="s">
        <v>113</v>
      </c>
      <c r="C6" s="75">
        <v>44043</v>
      </c>
      <c r="D6" s="72">
        <f>$C$6+31</f>
        <v>44074</v>
      </c>
      <c r="E6" s="72">
        <f t="shared" ref="E6:G6" si="3">$C$6+31</f>
        <v>44074</v>
      </c>
      <c r="F6" s="72">
        <f t="shared" si="3"/>
        <v>44074</v>
      </c>
      <c r="G6" s="72">
        <f t="shared" si="3"/>
        <v>44074</v>
      </c>
      <c r="H6" s="73">
        <f>$G$6+30</f>
        <v>44104</v>
      </c>
      <c r="I6" s="73">
        <f t="shared" ref="I6:K6" si="4">$G$6+30</f>
        <v>44104</v>
      </c>
      <c r="J6" s="73">
        <f t="shared" si="4"/>
        <v>44104</v>
      </c>
      <c r="K6" s="73">
        <f t="shared" si="4"/>
        <v>44104</v>
      </c>
      <c r="L6" s="73">
        <f>$K$6+31</f>
        <v>44135</v>
      </c>
      <c r="M6" s="73">
        <f t="shared" ref="M6:P6" si="5">$K$6+31</f>
        <v>44135</v>
      </c>
      <c r="N6" s="73">
        <f t="shared" si="5"/>
        <v>44135</v>
      </c>
      <c r="O6" s="73">
        <f t="shared" si="5"/>
        <v>44135</v>
      </c>
      <c r="P6" s="73">
        <f t="shared" si="5"/>
        <v>44135</v>
      </c>
      <c r="Q6" s="73">
        <f>$P$6+30</f>
        <v>44165</v>
      </c>
      <c r="R6" s="73">
        <f t="shared" ref="R6:S6" si="6">$P$6+30</f>
        <v>44165</v>
      </c>
      <c r="S6" s="73">
        <f t="shared" si="6"/>
        <v>44165</v>
      </c>
      <c r="T6" s="73">
        <f>$P$6+30</f>
        <v>44165</v>
      </c>
      <c r="U6" s="73">
        <f>$Q$6+31</f>
        <v>44196</v>
      </c>
      <c r="V6" s="73">
        <f t="shared" ref="V6:X6" si="7">$Q$6+31</f>
        <v>44196</v>
      </c>
      <c r="W6" s="73">
        <f t="shared" si="7"/>
        <v>44196</v>
      </c>
      <c r="X6" s="73">
        <f t="shared" si="7"/>
        <v>44196</v>
      </c>
      <c r="Y6" s="73">
        <f>$U$6+31</f>
        <v>44227</v>
      </c>
      <c r="Z6" s="73">
        <f>$U$6+31</f>
        <v>44227</v>
      </c>
      <c r="AA6" s="73">
        <f t="shared" ref="AA6:AC6" si="8">$U$6+31</f>
        <v>44227</v>
      </c>
      <c r="AB6" s="73">
        <f t="shared" si="8"/>
        <v>44227</v>
      </c>
      <c r="AC6" s="73">
        <f t="shared" si="8"/>
        <v>44227</v>
      </c>
    </row>
    <row r="7" spans="1:29" s="48" customFormat="1" ht="15" customHeight="1" x14ac:dyDescent="0.35">
      <c r="A7" s="62"/>
      <c r="B7" s="53" t="s">
        <v>96</v>
      </c>
      <c r="C7" s="53"/>
      <c r="D7" s="48">
        <f>IF(D4-$C$6&gt;=7,7,D4-$C$6)</f>
        <v>7</v>
      </c>
      <c r="E7" s="48">
        <f>IF(E4-$C$6&gt;=7,7,E4-$C$6)</f>
        <v>7</v>
      </c>
      <c r="F7" s="48">
        <f>IF(F4-$C$6&gt;=7,7,F4-$C$6)</f>
        <v>7</v>
      </c>
      <c r="G7" s="48">
        <f>IF(G4-$C$6&gt;=7,7,G4-$C$6)</f>
        <v>7</v>
      </c>
      <c r="H7" s="48">
        <f>IF(H4-$G$6&gt;=7,7,H4-$G$6)</f>
        <v>4</v>
      </c>
      <c r="I7" s="48">
        <f>IF(I4-$G$6&gt;=7,7,I4-$G$6)</f>
        <v>7</v>
      </c>
      <c r="J7" s="48">
        <f>IF(J4-$G$6&gt;=7,7,J4-$G$6)</f>
        <v>7</v>
      </c>
      <c r="K7" s="48">
        <f>IF(K4-$G$6&gt;=7,7,K4-$G$6)</f>
        <v>7</v>
      </c>
      <c r="L7" s="48">
        <f>IF(L4-$K$6&gt;=7,7,L4-$K$6)</f>
        <v>2</v>
      </c>
      <c r="M7" s="48">
        <f>IF(M4-$K$6&gt;=7,7,M4-$K$6)</f>
        <v>7</v>
      </c>
      <c r="N7" s="48">
        <f>IF(N4-$K$6&gt;=7,7,N4-$K$6)</f>
        <v>7</v>
      </c>
      <c r="O7" s="48">
        <f>IF(O4-$K$6&gt;=7,7,O4-$K$6)</f>
        <v>7</v>
      </c>
      <c r="P7" s="48">
        <f>IF(P4-$K$6&gt;=7,7,P4-$K$6)</f>
        <v>7</v>
      </c>
      <c r="Q7" s="66">
        <f>IF(Q4-$P$6&gt;=7,7,Q4-$P$6)</f>
        <v>6</v>
      </c>
      <c r="R7" s="66">
        <f>IF(R4-$P$6&gt;=7,7,R4-$P$6)</f>
        <v>7</v>
      </c>
      <c r="S7" s="66">
        <f>IF(S4-$P$6&gt;=7,7,S4-$P$6)</f>
        <v>7</v>
      </c>
      <c r="T7" s="66">
        <f>IF(T4-$P$6&gt;=7,7,T4-$P$6)</f>
        <v>7</v>
      </c>
      <c r="U7" s="66">
        <f>IF(U4-$T$6&gt;=7,7,U4-$T$6)</f>
        <v>4</v>
      </c>
      <c r="V7" s="66">
        <f>IF(V4-$T$6&gt;=7,7,V4-$T$6)</f>
        <v>7</v>
      </c>
      <c r="W7" s="66">
        <f>IF(W4-$T$6&gt;=7,7,W4-$T$6)</f>
        <v>7</v>
      </c>
      <c r="X7" s="66">
        <f>IF(X4-$T$6&gt;=7,7,X4-$T$6)</f>
        <v>7</v>
      </c>
      <c r="Y7" s="66">
        <f>IF(Y4-$X$6&gt;=7,7,Y4-$X$6)</f>
        <v>1</v>
      </c>
      <c r="Z7" s="66">
        <f>IF(Z4-$X$6&gt;=7,7,Z4-$X$6)</f>
        <v>7</v>
      </c>
      <c r="AA7" s="66">
        <f>IF(AA4-$X$6&gt;=7,7,AA4-$X$6)</f>
        <v>7</v>
      </c>
      <c r="AB7" s="66">
        <f>IF(AB4-$X$6&gt;=7,7,AB4-$X$6)</f>
        <v>7</v>
      </c>
      <c r="AC7" s="66">
        <f>IF(AC4-$X$6&gt;=7,7,AC4-$X$6)</f>
        <v>7</v>
      </c>
    </row>
    <row r="8" spans="1:29" s="48" customFormat="1" ht="15" customHeight="1" x14ac:dyDescent="0.35">
      <c r="A8" s="62"/>
      <c r="B8" s="53" t="s">
        <v>97</v>
      </c>
      <c r="C8" s="53"/>
      <c r="D8" s="48">
        <f>7-D7</f>
        <v>0</v>
      </c>
      <c r="E8" s="48">
        <f t="shared" ref="E8:P8" si="9">7-E7</f>
        <v>0</v>
      </c>
      <c r="F8" s="48">
        <f t="shared" si="9"/>
        <v>0</v>
      </c>
      <c r="G8" s="48">
        <f t="shared" si="9"/>
        <v>0</v>
      </c>
      <c r="H8" s="48">
        <f t="shared" si="9"/>
        <v>3</v>
      </c>
      <c r="I8" s="48">
        <f t="shared" si="9"/>
        <v>0</v>
      </c>
      <c r="J8" s="48">
        <f t="shared" si="9"/>
        <v>0</v>
      </c>
      <c r="K8" s="48">
        <f t="shared" si="9"/>
        <v>0</v>
      </c>
      <c r="L8" s="48">
        <f t="shared" si="9"/>
        <v>5</v>
      </c>
      <c r="M8" s="48">
        <f t="shared" si="9"/>
        <v>0</v>
      </c>
      <c r="N8" s="48">
        <f t="shared" si="9"/>
        <v>0</v>
      </c>
      <c r="O8" s="48">
        <f t="shared" si="9"/>
        <v>0</v>
      </c>
      <c r="P8" s="48">
        <f t="shared" si="9"/>
        <v>0</v>
      </c>
      <c r="Q8" s="66">
        <f t="shared" ref="Q8:T8" si="10">7-Q7</f>
        <v>1</v>
      </c>
      <c r="R8" s="66">
        <f t="shared" si="10"/>
        <v>0</v>
      </c>
      <c r="S8" s="66">
        <f t="shared" si="10"/>
        <v>0</v>
      </c>
      <c r="T8" s="66">
        <f t="shared" si="10"/>
        <v>0</v>
      </c>
      <c r="U8" s="66">
        <f t="shared" ref="U8:X8" si="11">7-U7</f>
        <v>3</v>
      </c>
      <c r="V8" s="66">
        <f t="shared" si="11"/>
        <v>0</v>
      </c>
      <c r="W8" s="66">
        <f t="shared" si="11"/>
        <v>0</v>
      </c>
      <c r="X8" s="66">
        <f t="shared" si="11"/>
        <v>0</v>
      </c>
      <c r="Y8" s="66">
        <f t="shared" ref="Y8:AC8" si="12">7-Y7</f>
        <v>6</v>
      </c>
      <c r="Z8" s="66">
        <f t="shared" si="12"/>
        <v>0</v>
      </c>
      <c r="AA8" s="66">
        <f t="shared" si="12"/>
        <v>0</v>
      </c>
      <c r="AB8" s="66">
        <f t="shared" si="12"/>
        <v>0</v>
      </c>
      <c r="AC8" s="66">
        <f t="shared" si="12"/>
        <v>0</v>
      </c>
    </row>
    <row r="9" spans="1:29" s="48" customFormat="1" ht="15" customHeight="1" x14ac:dyDescent="0.35">
      <c r="A9" s="62"/>
      <c r="B9" s="53"/>
      <c r="C9" s="53"/>
    </row>
    <row r="10" spans="1:29" ht="15" customHeight="1" x14ac:dyDescent="0.35">
      <c r="A10" s="62"/>
      <c r="B10" s="47" t="s">
        <v>50</v>
      </c>
      <c r="D10" s="49">
        <v>5379.3667741935487</v>
      </c>
      <c r="E10" s="49">
        <v>7903.0203225806445</v>
      </c>
      <c r="F10" s="49">
        <v>7172.489032258065</v>
      </c>
      <c r="G10" s="49">
        <v>6109.8980645161291</v>
      </c>
      <c r="H10" s="49">
        <f>8367.69823655914+74.7</f>
        <v>8442.3982365591401</v>
      </c>
      <c r="I10" s="49">
        <v>8660.1876666666667</v>
      </c>
      <c r="J10" s="49">
        <v>7527.0790000000006</v>
      </c>
      <c r="K10" s="49">
        <v>7122.3973333333333</v>
      </c>
      <c r="L10" s="49">
        <v>8121.9716666666673</v>
      </c>
      <c r="M10" s="49">
        <v>9344.16</v>
      </c>
      <c r="N10" s="49">
        <v>9162.7199999999993</v>
      </c>
      <c r="O10" s="49">
        <v>8981.2800000000007</v>
      </c>
      <c r="P10" s="49">
        <v>9051.1</v>
      </c>
      <c r="Q10" s="66">
        <f>Q$8*'Monthly Income Statement'!$H35+'Weekly IS'!Q$7*'Monthly Income Statement'!$I35</f>
        <v>9732.9600000000009</v>
      </c>
      <c r="R10" s="74">
        <f>R$8*'Monthly Income Statement'!$H35+'Weekly IS'!R$7*'Monthly Income Statement'!$I35</f>
        <v>9843.1200000000008</v>
      </c>
      <c r="S10" s="74">
        <f>S$8*'Monthly Income Statement'!$H35+'Weekly IS'!S$7*'Monthly Income Statement'!$I35</f>
        <v>9843.1200000000008</v>
      </c>
      <c r="T10" s="74">
        <f>T$8*'Monthly Income Statement'!$H35+'Weekly IS'!T$7*'Monthly Income Statement'!$I35</f>
        <v>9843.1200000000008</v>
      </c>
      <c r="U10" s="66">
        <f>U$8*'Monthly Income Statement'!$I35+'Monthly Income Statement'!$J35*'Weekly IS'!U7</f>
        <v>9661.68</v>
      </c>
      <c r="V10" s="74">
        <f>V$8*'Monthly Income Statement'!$I35+'Monthly Income Statement'!$J35*'Weekly IS'!V7</f>
        <v>9525.6000000000022</v>
      </c>
      <c r="W10" s="74">
        <f>W$8*'Monthly Income Statement'!$I35+'Monthly Income Statement'!$J35*'Weekly IS'!W7</f>
        <v>9525.6000000000022</v>
      </c>
      <c r="X10" s="74">
        <f>X$8*'Monthly Income Statement'!$I35+'Monthly Income Statement'!$J35*'Weekly IS'!X7</f>
        <v>9525.6000000000022</v>
      </c>
      <c r="Y10" s="74">
        <f>Y$8*'Monthly Income Statement'!$J35+'Monthly Income Statement'!$K35*'Weekly IS'!Y7</f>
        <v>9457.5600000000013</v>
      </c>
      <c r="Z10" s="74">
        <f>Z$8*'Monthly Income Statement'!$J35+'Monthly Income Statement'!$K35*'Weekly IS'!Z7</f>
        <v>9049.32</v>
      </c>
      <c r="AA10" s="74">
        <f>AA$8*'Monthly Income Statement'!$J35+'Monthly Income Statement'!$K35*'Weekly IS'!AA7</f>
        <v>9049.32</v>
      </c>
      <c r="AB10" s="74">
        <f>AB$8*'Monthly Income Statement'!$J35+'Monthly Income Statement'!$K35*'Weekly IS'!AB7</f>
        <v>9049.32</v>
      </c>
      <c r="AC10" s="74">
        <f>AC$8*'Monthly Income Statement'!$J35+'Monthly Income Statement'!$K35*'Weekly IS'!AC7</f>
        <v>9049.32</v>
      </c>
    </row>
    <row r="11" spans="1:29" s="66" customFormat="1" ht="15" customHeight="1" x14ac:dyDescent="0.35">
      <c r="A11" s="62"/>
      <c r="B11" s="66" t="s">
        <v>51</v>
      </c>
      <c r="D11" s="49"/>
      <c r="E11" s="49"/>
      <c r="F11" s="49"/>
      <c r="G11" s="49"/>
      <c r="H11" s="49"/>
      <c r="I11" s="49"/>
      <c r="J11" s="49"/>
      <c r="K11" s="49"/>
      <c r="L11" s="49"/>
      <c r="M11" s="49"/>
      <c r="N11" s="49"/>
      <c r="O11" s="49"/>
      <c r="P11" s="49"/>
    </row>
    <row r="12" spans="1:29" ht="15" customHeight="1" x14ac:dyDescent="0.35">
      <c r="A12" s="62"/>
      <c r="B12" s="51" t="s">
        <v>76</v>
      </c>
      <c r="D12" s="54">
        <v>-1437.6193548387098</v>
      </c>
      <c r="E12" s="54">
        <v>-2112.058064516129</v>
      </c>
      <c r="F12" s="54">
        <v>-1916.8258064516131</v>
      </c>
      <c r="G12" s="54">
        <v>-1632.8516129032257</v>
      </c>
      <c r="H12" s="54">
        <v>-2254.1203291612906</v>
      </c>
      <c r="I12" s="54">
        <v>-2312.2701070000003</v>
      </c>
      <c r="J12" s="54">
        <v>-2009.7300930000004</v>
      </c>
      <c r="K12" s="54">
        <v>-1901.6800880000001</v>
      </c>
      <c r="L12" s="54">
        <v>-2168.5664350000002</v>
      </c>
      <c r="M12" s="54">
        <v>-2494.8907200000003</v>
      </c>
      <c r="N12" s="54">
        <v>-2446.4462399999998</v>
      </c>
      <c r="O12" s="54">
        <v>-2398.0017600000001</v>
      </c>
      <c r="P12" s="54">
        <v>-2416.6437000000001</v>
      </c>
      <c r="Q12" s="47">
        <f>Q$10*Q29*-1</f>
        <v>-2919.8880000000004</v>
      </c>
      <c r="R12" s="74">
        <f t="shared" ref="R12:AC12" si="13">R$10*R29*-1</f>
        <v>-2952.9360000000001</v>
      </c>
      <c r="S12" s="74">
        <f t="shared" si="13"/>
        <v>-2952.9360000000001</v>
      </c>
      <c r="T12" s="74">
        <f t="shared" si="13"/>
        <v>-2952.9360000000001</v>
      </c>
      <c r="U12" s="74">
        <f t="shared" si="13"/>
        <v>-2579.6685600000001</v>
      </c>
      <c r="V12" s="74">
        <f t="shared" si="13"/>
        <v>-2543.3352000000009</v>
      </c>
      <c r="W12" s="74">
        <f t="shared" si="13"/>
        <v>-2543.3352000000009</v>
      </c>
      <c r="X12" s="74">
        <f t="shared" si="13"/>
        <v>-2543.3352000000009</v>
      </c>
      <c r="Y12" s="74">
        <f t="shared" si="13"/>
        <v>-2525.1685200000006</v>
      </c>
      <c r="Z12" s="74">
        <f t="shared" si="13"/>
        <v>-2416.1684399999999</v>
      </c>
      <c r="AA12" s="74">
        <f t="shared" si="13"/>
        <v>-2416.1684399999999</v>
      </c>
      <c r="AB12" s="74">
        <f t="shared" si="13"/>
        <v>-2416.1684399999999</v>
      </c>
      <c r="AC12" s="74">
        <f t="shared" si="13"/>
        <v>-2416.1684399999999</v>
      </c>
    </row>
    <row r="13" spans="1:29" ht="15" customHeight="1" x14ac:dyDescent="0.35">
      <c r="A13" s="62"/>
      <c r="B13" s="51" t="s">
        <v>77</v>
      </c>
      <c r="D13" s="54">
        <v>-2006.8141935483873</v>
      </c>
      <c r="E13" s="54">
        <v>-2948.282580645161</v>
      </c>
      <c r="F13" s="54">
        <v>-2675.7522580645164</v>
      </c>
      <c r="G13" s="54">
        <v>-2279.3445161290324</v>
      </c>
      <c r="H13" s="54">
        <v>-3099.6846701061986</v>
      </c>
      <c r="I13" s="54">
        <v>-3179.6475596666664</v>
      </c>
      <c r="J13" s="54">
        <v>-2763.618907</v>
      </c>
      <c r="K13" s="54">
        <v>-2615.037245333333</v>
      </c>
      <c r="L13" s="54">
        <v>-2842.6900833333334</v>
      </c>
      <c r="M13" s="54">
        <v>-3270.4559999999997</v>
      </c>
      <c r="N13" s="54">
        <v>-3206.9519999999998</v>
      </c>
      <c r="O13" s="54">
        <v>-3143.4479999999999</v>
      </c>
      <c r="P13" s="54">
        <v>-3167.8849999999998</v>
      </c>
      <c r="Q13" s="66">
        <f>-Q30*Q10</f>
        <v>-3406.5360000000001</v>
      </c>
      <c r="R13" s="74">
        <f t="shared" ref="R13:AC13" si="14">-R30*R10</f>
        <v>-3494.3076000000001</v>
      </c>
      <c r="S13" s="74">
        <f t="shared" si="14"/>
        <v>-3543.5232000000001</v>
      </c>
      <c r="T13" s="74">
        <f t="shared" si="14"/>
        <v>-3543.5232000000001</v>
      </c>
      <c r="U13" s="74">
        <f t="shared" si="14"/>
        <v>-3478.2048</v>
      </c>
      <c r="V13" s="74">
        <f t="shared" si="14"/>
        <v>-3429.2160000000008</v>
      </c>
      <c r="W13" s="74">
        <f t="shared" si="14"/>
        <v>-3476.8440000000005</v>
      </c>
      <c r="X13" s="74">
        <f t="shared" si="14"/>
        <v>-3476.8440000000005</v>
      </c>
      <c r="Y13" s="74">
        <f t="shared" si="14"/>
        <v>-3452.0094000000004</v>
      </c>
      <c r="Z13" s="74">
        <f t="shared" si="14"/>
        <v>-3348.2483999999999</v>
      </c>
      <c r="AA13" s="74">
        <f t="shared" si="14"/>
        <v>-3348.2483999999999</v>
      </c>
      <c r="AB13" s="74">
        <f t="shared" si="14"/>
        <v>-3348.2483999999999</v>
      </c>
      <c r="AC13" s="74">
        <f t="shared" si="14"/>
        <v>-3348.2483999999999</v>
      </c>
    </row>
    <row r="14" spans="1:29" ht="15" customHeight="1" x14ac:dyDescent="0.35">
      <c r="A14" s="62"/>
      <c r="B14" s="51" t="s">
        <v>83</v>
      </c>
      <c r="D14" s="49">
        <v>-1345.3548387096773</v>
      </c>
      <c r="E14" s="49">
        <v>-1345.3548387096773</v>
      </c>
      <c r="F14" s="49">
        <v>-1345.3548387096773</v>
      </c>
      <c r="G14" s="49">
        <v>-1345.3548387096773</v>
      </c>
      <c r="H14" s="49">
        <v>-1443.6333333333332</v>
      </c>
      <c r="I14" s="49">
        <v>-1473.3</v>
      </c>
      <c r="J14" s="49">
        <v>-1443.6333333333332</v>
      </c>
      <c r="K14" s="49">
        <v>-1443.6333333333332</v>
      </c>
      <c r="L14" s="49">
        <v>-1347.76</v>
      </c>
      <c r="M14" s="49">
        <v>-1359.2600000000002</v>
      </c>
      <c r="N14" s="49">
        <v>-1359.2600000000002</v>
      </c>
      <c r="O14" s="49">
        <v>-1359.2600000000002</v>
      </c>
      <c r="P14" s="49">
        <v>-1359.2600000000002</v>
      </c>
      <c r="Q14" s="74">
        <f>Q$8*'Monthly Income Statement'!$H39+'Weekly IS'!Q$7*'Monthly Income Statement'!$I39</f>
        <v>-1383.8218800000002</v>
      </c>
      <c r="R14" s="74">
        <f>R$8*'Monthly Income Statement'!$H39+'Weekly IS'!R$7*'Monthly Income Statement'!$I39</f>
        <v>-1387.9155266666667</v>
      </c>
      <c r="S14" s="74">
        <f>S$8*'Monthly Income Statement'!$H39+'Weekly IS'!S$7*'Monthly Income Statement'!$I39</f>
        <v>-1387.9155266666667</v>
      </c>
      <c r="T14" s="74">
        <f>T$8*'Monthly Income Statement'!$H39+'Weekly IS'!T$7*'Monthly Income Statement'!$I39</f>
        <v>-1387.9155266666667</v>
      </c>
      <c r="U14" s="74">
        <f>U$8*'Monthly Income Statement'!$I39+'Weekly IS'!U$7*'Monthly Income Statement'!$J39</f>
        <v>-1353.7673583225805</v>
      </c>
      <c r="V14" s="74">
        <f>V$8*'Monthly Income Statement'!$I39+'Weekly IS'!V$7*'Monthly Income Statement'!$J39</f>
        <v>-1328.156232064516</v>
      </c>
      <c r="W14" s="74">
        <f>W$8*'Monthly Income Statement'!$I39+'Weekly IS'!W$7*'Monthly Income Statement'!$J39</f>
        <v>-1328.156232064516</v>
      </c>
      <c r="X14" s="74">
        <f>X$8*'Monthly Income Statement'!$I39+'Weekly IS'!X$7*'Monthly Income Statement'!$J39</f>
        <v>-1328.156232064516</v>
      </c>
      <c r="Y14" s="74">
        <f>Y$8*'Monthly Income Statement'!$J39+'Weekly IS'!Y$7*'Monthly Income Statement'!$K39</f>
        <v>-1326.1649923245161</v>
      </c>
      <c r="Z14" s="74">
        <f>Z$8*'Monthly Income Statement'!$J39+'Weekly IS'!Z$7*'Monthly Income Statement'!$K39</f>
        <v>-1314.2175538845161</v>
      </c>
      <c r="AA14" s="74">
        <f>AA$8*'Monthly Income Statement'!$J39+'Weekly IS'!AA$7*'Monthly Income Statement'!$K39</f>
        <v>-1314.2175538845161</v>
      </c>
      <c r="AB14" s="74">
        <f>AB$8*'Monthly Income Statement'!$J39+'Weekly IS'!AB$7*'Monthly Income Statement'!$K39</f>
        <v>-1314.2175538845161</v>
      </c>
      <c r="AC14" s="74">
        <f>AC$8*'Monthly Income Statement'!$J39+'Weekly IS'!AC$7*'Monthly Income Statement'!$K39</f>
        <v>-1314.2175538845161</v>
      </c>
    </row>
    <row r="15" spans="1:29" ht="15" customHeight="1" x14ac:dyDescent="0.35">
      <c r="A15" s="63"/>
      <c r="B15" s="52" t="s">
        <v>52</v>
      </c>
      <c r="C15" s="52"/>
      <c r="D15" s="70">
        <f t="shared" ref="D15:AC15" si="15">D10+SUM(D12:D14)</f>
        <v>589.57838709677435</v>
      </c>
      <c r="E15" s="70">
        <f t="shared" si="15"/>
        <v>1497.3248387096774</v>
      </c>
      <c r="F15" s="70">
        <f t="shared" si="15"/>
        <v>1234.5561290322585</v>
      </c>
      <c r="G15" s="70">
        <f t="shared" si="15"/>
        <v>852.34709677419414</v>
      </c>
      <c r="H15" s="70">
        <f t="shared" si="15"/>
        <v>1644.9599039583172</v>
      </c>
      <c r="I15" s="70">
        <f t="shared" si="15"/>
        <v>1694.9700000000003</v>
      </c>
      <c r="J15" s="70">
        <f t="shared" si="15"/>
        <v>1310.0966666666673</v>
      </c>
      <c r="K15" s="70">
        <f t="shared" si="15"/>
        <v>1162.0466666666671</v>
      </c>
      <c r="L15" s="70">
        <f t="shared" si="15"/>
        <v>1762.9551483333335</v>
      </c>
      <c r="M15" s="70">
        <f t="shared" si="15"/>
        <v>2219.5532800000001</v>
      </c>
      <c r="N15" s="70">
        <f t="shared" si="15"/>
        <v>2150.0617599999996</v>
      </c>
      <c r="O15" s="70">
        <f t="shared" si="15"/>
        <v>2080.5702400000009</v>
      </c>
      <c r="P15" s="70">
        <f t="shared" si="15"/>
        <v>2107.3113000000003</v>
      </c>
      <c r="Q15" s="70">
        <f t="shared" si="15"/>
        <v>2022.7141199999996</v>
      </c>
      <c r="R15" s="70">
        <f t="shared" si="15"/>
        <v>2007.9608733333343</v>
      </c>
      <c r="S15" s="70">
        <f t="shared" si="15"/>
        <v>1958.7452733333339</v>
      </c>
      <c r="T15" s="70">
        <f t="shared" si="15"/>
        <v>1958.7452733333339</v>
      </c>
      <c r="U15" s="70">
        <f t="shared" si="15"/>
        <v>2250.0392816774201</v>
      </c>
      <c r="V15" s="70">
        <f t="shared" si="15"/>
        <v>2224.8925679354843</v>
      </c>
      <c r="W15" s="70">
        <f t="shared" si="15"/>
        <v>2177.2645679354846</v>
      </c>
      <c r="X15" s="70">
        <f t="shared" si="15"/>
        <v>2177.2645679354846</v>
      </c>
      <c r="Y15" s="70">
        <f t="shared" si="15"/>
        <v>2154.2170876754844</v>
      </c>
      <c r="Z15" s="70">
        <f t="shared" si="15"/>
        <v>1970.685606115484</v>
      </c>
      <c r="AA15" s="70">
        <f t="shared" si="15"/>
        <v>1970.685606115484</v>
      </c>
      <c r="AB15" s="70">
        <f t="shared" si="15"/>
        <v>1970.685606115484</v>
      </c>
      <c r="AC15" s="70">
        <f t="shared" si="15"/>
        <v>1970.685606115484</v>
      </c>
    </row>
    <row r="16" spans="1:29" ht="15" customHeight="1" x14ac:dyDescent="0.35">
      <c r="A16" s="62"/>
      <c r="B16" s="58" t="s">
        <v>53</v>
      </c>
      <c r="D16" s="53"/>
      <c r="E16" s="53"/>
      <c r="F16" s="53"/>
      <c r="G16" s="53"/>
    </row>
    <row r="17" spans="1:29" ht="15" customHeight="1" x14ac:dyDescent="0.35">
      <c r="A17" s="62"/>
      <c r="B17" s="51" t="s">
        <v>76</v>
      </c>
      <c r="D17" s="54">
        <v>-359.40483870967745</v>
      </c>
      <c r="E17" s="54">
        <v>-528.01451612903224</v>
      </c>
      <c r="F17" s="54">
        <v>-479.20645161290327</v>
      </c>
      <c r="G17" s="54">
        <v>-408.21290322580643</v>
      </c>
      <c r="H17" s="54">
        <v>-565.64068184946245</v>
      </c>
      <c r="I17" s="54">
        <v>-580.23257366666667</v>
      </c>
      <c r="J17" s="54">
        <v>-504.31429300000008</v>
      </c>
      <c r="K17" s="54">
        <v>-477.20062133333334</v>
      </c>
      <c r="L17" s="54">
        <v>-544.17210166666678</v>
      </c>
      <c r="M17" s="54">
        <v>-626.05871999999999</v>
      </c>
      <c r="N17" s="54">
        <v>-613.90224000000001</v>
      </c>
      <c r="O17" s="54">
        <v>-601.74576000000013</v>
      </c>
      <c r="P17" s="54">
        <v>-606.42370000000005</v>
      </c>
      <c r="Q17" s="74">
        <f>Q$10*Q31*-1</f>
        <v>-681.30720000000008</v>
      </c>
      <c r="R17" s="74">
        <f t="shared" ref="R17:AC17" si="16">R$10*R31*-1</f>
        <v>-689.01840000000016</v>
      </c>
      <c r="S17" s="74">
        <f t="shared" si="16"/>
        <v>-689.01840000000016</v>
      </c>
      <c r="T17" s="74">
        <f t="shared" si="16"/>
        <v>-689.01840000000016</v>
      </c>
      <c r="U17" s="74">
        <f t="shared" si="16"/>
        <v>-772.9344000000001</v>
      </c>
      <c r="V17" s="74">
        <f t="shared" si="16"/>
        <v>-762.04800000000023</v>
      </c>
      <c r="W17" s="74">
        <f t="shared" si="16"/>
        <v>-762.04800000000023</v>
      </c>
      <c r="X17" s="74">
        <f t="shared" si="16"/>
        <v>-762.04800000000023</v>
      </c>
      <c r="Y17" s="74">
        <f t="shared" si="16"/>
        <v>-756.60480000000007</v>
      </c>
      <c r="Z17" s="74">
        <f t="shared" si="16"/>
        <v>-588.20579999999995</v>
      </c>
      <c r="AA17" s="74">
        <f t="shared" si="16"/>
        <v>-588.20579999999995</v>
      </c>
      <c r="AB17" s="74">
        <f t="shared" si="16"/>
        <v>-588.20579999999995</v>
      </c>
      <c r="AC17" s="74">
        <f t="shared" si="16"/>
        <v>-588.20579999999995</v>
      </c>
    </row>
    <row r="18" spans="1:29" ht="15" customHeight="1" x14ac:dyDescent="0.35">
      <c r="A18" s="62"/>
      <c r="B18" s="51" t="s">
        <v>186</v>
      </c>
      <c r="D18" s="54">
        <v>-341.19354838709677</v>
      </c>
      <c r="E18" s="54">
        <v>-341.19354838709677</v>
      </c>
      <c r="F18" s="54">
        <v>-341.19354838709677</v>
      </c>
      <c r="G18" s="54">
        <v>-341.19354838709677</v>
      </c>
      <c r="H18" s="54">
        <v>-650.46512925694014</v>
      </c>
      <c r="I18" s="54">
        <v>-704.65989999999999</v>
      </c>
      <c r="J18" s="54">
        <v>-704.65989999999999</v>
      </c>
      <c r="K18" s="54">
        <v>-704.65989999999999</v>
      </c>
      <c r="L18" s="54">
        <v>-704.65989999999999</v>
      </c>
      <c r="M18" s="54">
        <v>-645.74696774193501</v>
      </c>
      <c r="N18" s="54">
        <v>-737.84696774193526</v>
      </c>
      <c r="O18" s="54">
        <v>-737.84696774193526</v>
      </c>
      <c r="P18" s="54">
        <v>-737.84696774193526</v>
      </c>
      <c r="Q18" s="74">
        <f>Q$10*Q32*-1</f>
        <v>-827.30160000000012</v>
      </c>
      <c r="R18" s="74">
        <f t="shared" ref="R18:AC18" si="17">R$10*R32*-1</f>
        <v>-836.66520000000014</v>
      </c>
      <c r="S18" s="74">
        <f t="shared" si="17"/>
        <v>-836.66520000000014</v>
      </c>
      <c r="T18" s="74">
        <f t="shared" si="17"/>
        <v>-836.66520000000014</v>
      </c>
      <c r="U18" s="74">
        <f t="shared" si="17"/>
        <v>-869.55119999999999</v>
      </c>
      <c r="V18" s="74">
        <f t="shared" si="17"/>
        <v>-857.3040000000002</v>
      </c>
      <c r="W18" s="74">
        <f t="shared" si="17"/>
        <v>-857.3040000000002</v>
      </c>
      <c r="X18" s="74">
        <f t="shared" si="17"/>
        <v>-857.3040000000002</v>
      </c>
      <c r="Y18" s="74">
        <f t="shared" si="17"/>
        <v>-851.18040000000008</v>
      </c>
      <c r="Z18" s="74">
        <f t="shared" si="17"/>
        <v>-769.19220000000007</v>
      </c>
      <c r="AA18" s="74">
        <f t="shared" si="17"/>
        <v>-769.19220000000007</v>
      </c>
      <c r="AB18" s="74">
        <f t="shared" si="17"/>
        <v>-769.19220000000007</v>
      </c>
      <c r="AC18" s="74">
        <f t="shared" si="17"/>
        <v>-769.19220000000007</v>
      </c>
    </row>
    <row r="19" spans="1:29" ht="15" customHeight="1" x14ac:dyDescent="0.35">
      <c r="A19" s="62"/>
      <c r="B19" s="51" t="s">
        <v>79</v>
      </c>
      <c r="D19" s="49">
        <v>-15.129032258064516</v>
      </c>
      <c r="E19" s="49">
        <v>-15.129032258064516</v>
      </c>
      <c r="F19" s="49">
        <v>-15.129032258064516</v>
      </c>
      <c r="G19" s="49">
        <v>-15.129032258064516</v>
      </c>
      <c r="H19" s="49">
        <v>-15.633333333333333</v>
      </c>
      <c r="I19" s="49">
        <v>-15.633333333333333</v>
      </c>
      <c r="J19" s="49">
        <v>-15.633333333333333</v>
      </c>
      <c r="K19" s="49">
        <v>-15.633333333333333</v>
      </c>
      <c r="L19" s="49">
        <v>-15.129032258064516</v>
      </c>
      <c r="M19" s="49">
        <v>-15.129032258064516</v>
      </c>
      <c r="N19" s="49">
        <v>-15.129032258064516</v>
      </c>
      <c r="O19" s="49">
        <v>-15.129032258064516</v>
      </c>
      <c r="P19" s="49">
        <v>-15.129032258064516</v>
      </c>
      <c r="Q19" s="74">
        <f>Q$8*'Monthly Income Statement'!$H44+'Weekly IS'!Q$7*'Monthly Income Statement'!$I44</f>
        <v>-15.561290322580646</v>
      </c>
      <c r="R19" s="74">
        <f>R$8*'Monthly Income Statement'!$H44+'Weekly IS'!R$7*'Monthly Income Statement'!$I44</f>
        <v>-15.633333333333333</v>
      </c>
      <c r="S19" s="74">
        <f>S$8*'Monthly Income Statement'!$H44+'Weekly IS'!S$7*'Monthly Income Statement'!$I44</f>
        <v>-15.633333333333333</v>
      </c>
      <c r="T19" s="74">
        <f>T$8*'Monthly Income Statement'!$H44+'Weekly IS'!T$7*'Monthly Income Statement'!$I44</f>
        <v>-15.633333333333333</v>
      </c>
      <c r="U19" s="74">
        <f>U$8*'Monthly Income Statement'!$I44+'Weekly IS'!U$7*'Monthly Income Statement'!$J44</f>
        <v>-15.345161290322579</v>
      </c>
      <c r="V19" s="74">
        <f>V$8*'Monthly Income Statement'!$I44+'Weekly IS'!V$7*'Monthly Income Statement'!$J44</f>
        <v>-15.129032258064516</v>
      </c>
      <c r="W19" s="74">
        <f>W$8*'Monthly Income Statement'!$I44+'Weekly IS'!W$7*'Monthly Income Statement'!$J44</f>
        <v>-15.129032258064516</v>
      </c>
      <c r="X19" s="74">
        <f>X$8*'Monthly Income Statement'!$I44+'Weekly IS'!X$7*'Monthly Income Statement'!$J44</f>
        <v>-15.129032258064516</v>
      </c>
      <c r="Y19" s="74">
        <f>Y$8*'Monthly Income Statement'!$J44+'Weekly IS'!Y$7*'Monthly Income Statement'!$K44</f>
        <v>-15.129032258064516</v>
      </c>
      <c r="Z19" s="74">
        <f>Z$8*'Monthly Income Statement'!$J44+'Weekly IS'!Z$7*'Monthly Income Statement'!$K44</f>
        <v>-15.129032258064516</v>
      </c>
      <c r="AA19" s="74">
        <f>AA$8*'Monthly Income Statement'!$J44+'Weekly IS'!AA$7*'Monthly Income Statement'!$K44</f>
        <v>-15.129032258064516</v>
      </c>
      <c r="AB19" s="74">
        <f>AB$8*'Monthly Income Statement'!$J44+'Weekly IS'!AB$7*'Monthly Income Statement'!$K44</f>
        <v>-15.129032258064516</v>
      </c>
      <c r="AC19" s="74">
        <f>AC$8*'Monthly Income Statement'!$J44+'Weekly IS'!AC$7*'Monthly Income Statement'!$K44</f>
        <v>-15.129032258064516</v>
      </c>
    </row>
    <row r="20" spans="1:29" s="74" customFormat="1" ht="15" customHeight="1" x14ac:dyDescent="0.35">
      <c r="A20" s="62"/>
      <c r="B20" s="58" t="s">
        <v>55</v>
      </c>
      <c r="C20" s="47"/>
      <c r="D20" s="54">
        <v>11.741935483870968</v>
      </c>
      <c r="E20" s="54">
        <v>11.741935483870968</v>
      </c>
      <c r="F20" s="54">
        <v>11.741935483870968</v>
      </c>
      <c r="G20" s="54">
        <v>11.741935483870968</v>
      </c>
      <c r="H20" s="49">
        <v>13.832258064516129</v>
      </c>
      <c r="I20" s="49">
        <v>15.4</v>
      </c>
      <c r="J20" s="49">
        <v>15.4</v>
      </c>
      <c r="K20" s="49">
        <v>15.4</v>
      </c>
      <c r="L20" s="49">
        <v>15.838709677419356</v>
      </c>
      <c r="M20" s="49">
        <v>16.93548387096774</v>
      </c>
      <c r="N20" s="49">
        <v>16.93548387096774</v>
      </c>
      <c r="O20" s="49">
        <v>16.93548387096774</v>
      </c>
      <c r="P20" s="49">
        <v>16.93548387096774</v>
      </c>
      <c r="Q20" s="74">
        <f>Q$8*'Monthly Income Statement'!$H45+'Weekly IS'!Q$7*'Monthly Income Statement'!$I45</f>
        <v>17.419354838709676</v>
      </c>
      <c r="R20" s="74">
        <f>R$8*'Monthly Income Statement'!$H45+'Weekly IS'!R$7*'Monthly Income Statement'!$I45</f>
        <v>17.5</v>
      </c>
      <c r="S20" s="74">
        <f>S$8*'Monthly Income Statement'!$H45+'Weekly IS'!S$7*'Monthly Income Statement'!$I45</f>
        <v>17.5</v>
      </c>
      <c r="T20" s="74">
        <f>T$8*'Monthly Income Statement'!$H45+'Weekly IS'!T$7*'Monthly Income Statement'!$I45</f>
        <v>17.5</v>
      </c>
      <c r="U20" s="74">
        <f>U$8*'Monthly Income Statement'!$I45+'Weekly IS'!U$7*'Monthly Income Statement'!$J45</f>
        <v>17.177419354838712</v>
      </c>
      <c r="V20" s="74">
        <f>V$8*'Monthly Income Statement'!$I45+'Weekly IS'!V$7*'Monthly Income Statement'!$J45</f>
        <v>16.935483870967744</v>
      </c>
      <c r="W20" s="74">
        <f>W$8*'Monthly Income Statement'!$I45+'Weekly IS'!W$7*'Monthly Income Statement'!$J45</f>
        <v>16.935483870967744</v>
      </c>
      <c r="X20" s="74">
        <f>X$8*'Monthly Income Statement'!$I45+'Weekly IS'!X$7*'Monthly Income Statement'!$J45</f>
        <v>16.935483870967744</v>
      </c>
      <c r="Y20" s="74">
        <f>Y$8*'Monthly Income Statement'!$J45+'Weekly IS'!Y$7*'Monthly Income Statement'!$K45</f>
        <v>16.612903225806452</v>
      </c>
      <c r="Z20" s="74">
        <f>Z$8*'Monthly Income Statement'!$J45+'Weekly IS'!Z$7*'Monthly Income Statement'!$K45</f>
        <v>14.677419354838708</v>
      </c>
      <c r="AA20" s="74">
        <f>AA$8*'Monthly Income Statement'!$J45+'Weekly IS'!AA$7*'Monthly Income Statement'!$K45</f>
        <v>14.677419354838708</v>
      </c>
      <c r="AB20" s="74">
        <f>AB$8*'Monthly Income Statement'!$J45+'Weekly IS'!AB$7*'Monthly Income Statement'!$K45</f>
        <v>14.677419354838708</v>
      </c>
      <c r="AC20" s="74">
        <f>AC$8*'Monthly Income Statement'!$J45+'Weekly IS'!AC$7*'Monthly Income Statement'!$K45</f>
        <v>14.677419354838708</v>
      </c>
    </row>
    <row r="21" spans="1:29" ht="15" customHeight="1" x14ac:dyDescent="0.35">
      <c r="A21" s="62"/>
      <c r="B21" s="52" t="s">
        <v>54</v>
      </c>
      <c r="C21" s="52"/>
      <c r="D21" s="52">
        <f>D15+SUM(D17:D20)</f>
        <v>-114.40709677419341</v>
      </c>
      <c r="E21" s="52">
        <f t="shared" ref="E21:AC21" si="18">E15+SUM(E17:E20)</f>
        <v>624.72967741935474</v>
      </c>
      <c r="F21" s="52">
        <f t="shared" si="18"/>
        <v>410.76903225806484</v>
      </c>
      <c r="G21" s="52">
        <f t="shared" si="18"/>
        <v>99.553548387097408</v>
      </c>
      <c r="H21" s="52">
        <f t="shared" si="18"/>
        <v>427.05301758309724</v>
      </c>
      <c r="I21" s="52">
        <f t="shared" si="18"/>
        <v>409.84419300000013</v>
      </c>
      <c r="J21" s="52">
        <f t="shared" si="18"/>
        <v>100.8891403333339</v>
      </c>
      <c r="K21" s="52">
        <f t="shared" si="18"/>
        <v>-20.047187999999551</v>
      </c>
      <c r="L21" s="52">
        <f t="shared" si="18"/>
        <v>514.83282408602145</v>
      </c>
      <c r="M21" s="52">
        <f t="shared" si="18"/>
        <v>949.55404387096837</v>
      </c>
      <c r="N21" s="52">
        <f t="shared" si="18"/>
        <v>800.11900387096762</v>
      </c>
      <c r="O21" s="52">
        <f t="shared" si="18"/>
        <v>742.78396387096859</v>
      </c>
      <c r="P21" s="52">
        <f t="shared" si="18"/>
        <v>764.84708387096816</v>
      </c>
      <c r="Q21" s="52">
        <f t="shared" si="18"/>
        <v>515.9633845161286</v>
      </c>
      <c r="R21" s="52">
        <f t="shared" si="18"/>
        <v>484.14394000000061</v>
      </c>
      <c r="S21" s="52">
        <f t="shared" si="18"/>
        <v>434.92834000000016</v>
      </c>
      <c r="T21" s="52">
        <f t="shared" si="18"/>
        <v>434.92834000000016</v>
      </c>
      <c r="U21" s="52">
        <f t="shared" si="18"/>
        <v>609.38593974193645</v>
      </c>
      <c r="V21" s="52">
        <f t="shared" si="18"/>
        <v>607.34701954838715</v>
      </c>
      <c r="W21" s="52">
        <f t="shared" si="18"/>
        <v>559.71901954838745</v>
      </c>
      <c r="X21" s="52">
        <f t="shared" si="18"/>
        <v>559.71901954838745</v>
      </c>
      <c r="Y21" s="52">
        <f t="shared" si="18"/>
        <v>547.9157586432259</v>
      </c>
      <c r="Z21" s="52">
        <f t="shared" si="18"/>
        <v>612.83599321225802</v>
      </c>
      <c r="AA21" s="52">
        <f t="shared" si="18"/>
        <v>612.83599321225802</v>
      </c>
      <c r="AB21" s="52">
        <f t="shared" si="18"/>
        <v>612.83599321225802</v>
      </c>
      <c r="AC21" s="52">
        <f t="shared" si="18"/>
        <v>612.83599321225802</v>
      </c>
    </row>
    <row r="22" spans="1:29" ht="15" customHeight="1" x14ac:dyDescent="0.35">
      <c r="A22" s="62"/>
    </row>
    <row r="23" spans="1:29" s="74" customFormat="1" ht="15" customHeight="1" x14ac:dyDescent="0.35">
      <c r="A23" s="62"/>
      <c r="B23" s="51" t="s">
        <v>164</v>
      </c>
      <c r="D23" s="54">
        <v>0</v>
      </c>
      <c r="E23" s="54">
        <v>0</v>
      </c>
      <c r="F23" s="54">
        <v>0</v>
      </c>
      <c r="G23" s="54">
        <v>0</v>
      </c>
      <c r="H23" s="54">
        <v>0</v>
      </c>
      <c r="I23" s="54">
        <v>0</v>
      </c>
      <c r="J23" s="54">
        <v>0</v>
      </c>
      <c r="K23" s="54">
        <v>0</v>
      </c>
      <c r="L23" s="54">
        <v>0</v>
      </c>
      <c r="M23" s="54">
        <v>0</v>
      </c>
      <c r="N23" s="54">
        <v>0</v>
      </c>
      <c r="O23" s="54">
        <v>0</v>
      </c>
      <c r="P23" s="49">
        <v>-1000</v>
      </c>
      <c r="Q23" s="54">
        <v>0</v>
      </c>
      <c r="R23" s="54">
        <v>0</v>
      </c>
      <c r="S23" s="54">
        <v>0</v>
      </c>
      <c r="T23" s="54">
        <v>0</v>
      </c>
      <c r="U23" s="54">
        <v>0</v>
      </c>
      <c r="V23" s="54">
        <v>0</v>
      </c>
      <c r="W23" s="54">
        <v>0</v>
      </c>
      <c r="X23" s="54">
        <v>0</v>
      </c>
      <c r="Y23" s="54">
        <v>0</v>
      </c>
      <c r="Z23" s="54">
        <v>0</v>
      </c>
      <c r="AA23" s="54">
        <v>0</v>
      </c>
      <c r="AB23" s="54">
        <v>0</v>
      </c>
      <c r="AC23" s="49">
        <v>-1000</v>
      </c>
    </row>
    <row r="24" spans="1:29" ht="15" customHeight="1" x14ac:dyDescent="0.35">
      <c r="A24" s="62"/>
      <c r="B24" s="52" t="s">
        <v>56</v>
      </c>
      <c r="C24" s="52"/>
      <c r="D24" s="70">
        <f>SUM(D23,D21)</f>
        <v>-114.40709677419341</v>
      </c>
      <c r="E24" s="70">
        <f t="shared" ref="E24:AC24" si="19">SUM(E23,E21)</f>
        <v>624.72967741935474</v>
      </c>
      <c r="F24" s="70">
        <f t="shared" si="19"/>
        <v>410.76903225806484</v>
      </c>
      <c r="G24" s="70">
        <f t="shared" si="19"/>
        <v>99.553548387097408</v>
      </c>
      <c r="H24" s="70">
        <f t="shared" si="19"/>
        <v>427.05301758309724</v>
      </c>
      <c r="I24" s="70">
        <f t="shared" si="19"/>
        <v>409.84419300000013</v>
      </c>
      <c r="J24" s="70">
        <f t="shared" si="19"/>
        <v>100.8891403333339</v>
      </c>
      <c r="K24" s="70">
        <f t="shared" si="19"/>
        <v>-20.047187999999551</v>
      </c>
      <c r="L24" s="70">
        <f t="shared" si="19"/>
        <v>514.83282408602145</v>
      </c>
      <c r="M24" s="70">
        <f t="shared" si="19"/>
        <v>949.55404387096837</v>
      </c>
      <c r="N24" s="70">
        <f t="shared" si="19"/>
        <v>800.11900387096762</v>
      </c>
      <c r="O24" s="70">
        <f t="shared" si="19"/>
        <v>742.78396387096859</v>
      </c>
      <c r="P24" s="70">
        <f t="shared" si="19"/>
        <v>-235.15291612903184</v>
      </c>
      <c r="Q24" s="70">
        <f t="shared" si="19"/>
        <v>515.9633845161286</v>
      </c>
      <c r="R24" s="70">
        <f t="shared" si="19"/>
        <v>484.14394000000061</v>
      </c>
      <c r="S24" s="70">
        <f t="shared" si="19"/>
        <v>434.92834000000016</v>
      </c>
      <c r="T24" s="70">
        <f t="shared" si="19"/>
        <v>434.92834000000016</v>
      </c>
      <c r="U24" s="70">
        <f t="shared" si="19"/>
        <v>609.38593974193645</v>
      </c>
      <c r="V24" s="70">
        <f t="shared" si="19"/>
        <v>607.34701954838715</v>
      </c>
      <c r="W24" s="70">
        <f t="shared" si="19"/>
        <v>559.71901954838745</v>
      </c>
      <c r="X24" s="70">
        <f t="shared" si="19"/>
        <v>559.71901954838745</v>
      </c>
      <c r="Y24" s="70">
        <f t="shared" si="19"/>
        <v>547.9157586432259</v>
      </c>
      <c r="Z24" s="70">
        <f t="shared" si="19"/>
        <v>612.83599321225802</v>
      </c>
      <c r="AA24" s="70">
        <f t="shared" si="19"/>
        <v>612.83599321225802</v>
      </c>
      <c r="AB24" s="70">
        <f t="shared" si="19"/>
        <v>612.83599321225802</v>
      </c>
      <c r="AC24" s="70">
        <f t="shared" si="19"/>
        <v>-387.16400678774198</v>
      </c>
    </row>
    <row r="25" spans="1:29" s="74" customFormat="1" ht="15" customHeight="1" x14ac:dyDescent="0.35">
      <c r="A25" s="62"/>
      <c r="B25" s="53"/>
      <c r="C25" s="53"/>
      <c r="D25" s="76"/>
      <c r="E25" s="76"/>
      <c r="F25" s="76"/>
      <c r="G25" s="76"/>
      <c r="H25" s="76"/>
      <c r="I25" s="76"/>
      <c r="J25" s="76"/>
      <c r="K25" s="76"/>
      <c r="L25" s="76"/>
      <c r="M25" s="76"/>
      <c r="N25" s="76"/>
      <c r="O25" s="76"/>
      <c r="P25" s="76"/>
      <c r="Q25" s="76"/>
      <c r="R25" s="76"/>
      <c r="S25" s="76"/>
      <c r="T25" s="76"/>
      <c r="U25" s="76"/>
      <c r="V25" s="76"/>
      <c r="W25" s="76"/>
      <c r="X25" s="76"/>
      <c r="Y25" s="76"/>
      <c r="Z25" s="76"/>
      <c r="AA25" s="76"/>
      <c r="AB25" s="76"/>
      <c r="AC25" s="76"/>
    </row>
    <row r="26" spans="1:29" s="74" customFormat="1" ht="15" customHeight="1" x14ac:dyDescent="0.35">
      <c r="A26" s="62"/>
      <c r="B26" s="20" t="s">
        <v>169</v>
      </c>
      <c r="C26" s="53"/>
      <c r="D26" s="76">
        <f t="shared" ref="D26:O26" si="20">D24-D19-D14-D23</f>
        <v>1246.0767741935483</v>
      </c>
      <c r="E26" s="76">
        <f t="shared" si="20"/>
        <v>1985.2135483870966</v>
      </c>
      <c r="F26" s="76">
        <f t="shared" si="20"/>
        <v>1771.2529032258067</v>
      </c>
      <c r="G26" s="76">
        <f t="shared" si="20"/>
        <v>1460.0374193548391</v>
      </c>
      <c r="H26" s="76">
        <f t="shared" si="20"/>
        <v>1886.3196842497637</v>
      </c>
      <c r="I26" s="76">
        <f t="shared" si="20"/>
        <v>1898.7775263333333</v>
      </c>
      <c r="J26" s="76">
        <f t="shared" si="20"/>
        <v>1560.1558070000006</v>
      </c>
      <c r="K26" s="76">
        <f t="shared" si="20"/>
        <v>1439.2194786666671</v>
      </c>
      <c r="L26" s="76">
        <f t="shared" si="20"/>
        <v>1877.7218563440861</v>
      </c>
      <c r="M26" s="76">
        <f t="shared" si="20"/>
        <v>2323.9430761290332</v>
      </c>
      <c r="N26" s="76">
        <f t="shared" si="20"/>
        <v>2174.5080361290325</v>
      </c>
      <c r="O26" s="76">
        <f t="shared" si="20"/>
        <v>2117.1729961290334</v>
      </c>
      <c r="P26" s="76">
        <f>P24-P19-P14-P23</f>
        <v>2139.2361161290328</v>
      </c>
      <c r="Q26" s="76">
        <f t="shared" ref="Q26:AC26" si="21">Q24-Q19-Q14-Q23</f>
        <v>1915.3465548387094</v>
      </c>
      <c r="R26" s="76">
        <f t="shared" si="21"/>
        <v>1887.6928000000007</v>
      </c>
      <c r="S26" s="76">
        <f t="shared" si="21"/>
        <v>1838.4772000000003</v>
      </c>
      <c r="T26" s="76">
        <f t="shared" si="21"/>
        <v>1838.4772000000003</v>
      </c>
      <c r="U26" s="76">
        <f t="shared" si="21"/>
        <v>1978.4984593548397</v>
      </c>
      <c r="V26" s="76">
        <f t="shared" si="21"/>
        <v>1950.6322838709675</v>
      </c>
      <c r="W26" s="76">
        <f t="shared" si="21"/>
        <v>1903.0042838709678</v>
      </c>
      <c r="X26" s="76">
        <f t="shared" si="21"/>
        <v>1903.0042838709678</v>
      </c>
      <c r="Y26" s="76">
        <f t="shared" si="21"/>
        <v>1889.2097832258064</v>
      </c>
      <c r="Z26" s="76">
        <f t="shared" si="21"/>
        <v>1942.1825793548387</v>
      </c>
      <c r="AA26" s="76">
        <f t="shared" si="21"/>
        <v>1942.1825793548387</v>
      </c>
      <c r="AB26" s="76">
        <f t="shared" si="21"/>
        <v>1942.1825793548387</v>
      </c>
      <c r="AC26" s="76">
        <f t="shared" si="21"/>
        <v>1942.1825793548387</v>
      </c>
    </row>
    <row r="27" spans="1:29" s="74" customFormat="1" ht="15" customHeight="1" x14ac:dyDescent="0.35">
      <c r="A27" s="62"/>
      <c r="B27" s="53"/>
      <c r="C27" s="53"/>
      <c r="D27" s="76"/>
      <c r="E27" s="76"/>
      <c r="F27" s="76"/>
      <c r="G27" s="76"/>
      <c r="H27" s="76"/>
      <c r="I27" s="76"/>
      <c r="J27" s="76"/>
      <c r="K27" s="76"/>
      <c r="L27" s="76"/>
      <c r="M27" s="76"/>
      <c r="N27" s="76"/>
      <c r="O27" s="76"/>
      <c r="P27" s="76"/>
      <c r="Q27" s="76"/>
      <c r="R27" s="76"/>
      <c r="S27" s="76"/>
      <c r="T27" s="76"/>
      <c r="U27" s="76"/>
      <c r="V27" s="76"/>
      <c r="W27" s="76"/>
      <c r="X27" s="76"/>
      <c r="Y27" s="76"/>
      <c r="Z27" s="76"/>
      <c r="AA27" s="76"/>
      <c r="AB27" s="76"/>
      <c r="AC27" s="76"/>
    </row>
    <row r="28" spans="1:29" ht="15" customHeight="1" x14ac:dyDescent="0.35">
      <c r="A28" s="62"/>
      <c r="B28" s="66"/>
      <c r="C28" s="71"/>
      <c r="D28" s="66"/>
      <c r="E28" s="66"/>
      <c r="F28" s="66"/>
      <c r="G28" s="66"/>
      <c r="H28" s="66"/>
      <c r="I28" s="66"/>
      <c r="J28" s="66"/>
      <c r="K28" s="66"/>
      <c r="L28" s="66"/>
      <c r="M28" s="66"/>
      <c r="N28" s="66"/>
      <c r="O28" s="66"/>
      <c r="P28" s="66"/>
    </row>
    <row r="29" spans="1:29" ht="15" customHeight="1" x14ac:dyDescent="0.35">
      <c r="A29" s="62"/>
      <c r="B29" s="66" t="s">
        <v>81</v>
      </c>
      <c r="C29" s="53"/>
      <c r="D29" s="67">
        <f t="shared" ref="D29:P29" si="22">D12/D$10*-1</f>
        <v>0.26724694842065894</v>
      </c>
      <c r="E29" s="67">
        <f t="shared" si="22"/>
        <v>0.26724694842065894</v>
      </c>
      <c r="F29" s="67">
        <f t="shared" si="22"/>
        <v>0.26724694842065894</v>
      </c>
      <c r="G29" s="67">
        <f t="shared" si="22"/>
        <v>0.26724694842065894</v>
      </c>
      <c r="H29" s="67">
        <f t="shared" si="22"/>
        <v>0.26700000000000002</v>
      </c>
      <c r="I29" s="67">
        <f t="shared" si="22"/>
        <v>0.26700000000000002</v>
      </c>
      <c r="J29" s="67">
        <f t="shared" si="22"/>
        <v>0.26700000000000002</v>
      </c>
      <c r="K29" s="67">
        <f t="shared" si="22"/>
        <v>0.26700000000000002</v>
      </c>
      <c r="L29" s="67">
        <f t="shared" si="22"/>
        <v>0.26700000000000002</v>
      </c>
      <c r="M29" s="67">
        <f t="shared" si="22"/>
        <v>0.26700000000000002</v>
      </c>
      <c r="N29" s="67">
        <f t="shared" si="22"/>
        <v>0.26700000000000002</v>
      </c>
      <c r="O29" s="67">
        <f t="shared" si="22"/>
        <v>0.26700000000000002</v>
      </c>
      <c r="P29" s="67">
        <f t="shared" si="22"/>
        <v>0.26700000000000002</v>
      </c>
      <c r="Q29" s="68">
        <v>0.3</v>
      </c>
      <c r="R29" s="68">
        <v>0.3</v>
      </c>
      <c r="S29" s="68">
        <v>0.3</v>
      </c>
      <c r="T29" s="68">
        <v>0.3</v>
      </c>
      <c r="U29" s="68">
        <v>0.26700000000000002</v>
      </c>
      <c r="V29" s="68">
        <v>0.26700000000000002</v>
      </c>
      <c r="W29" s="68">
        <v>0.26700000000000002</v>
      </c>
      <c r="X29" s="68">
        <v>0.26700000000000002</v>
      </c>
      <c r="Y29" s="68">
        <v>0.26700000000000002</v>
      </c>
      <c r="Z29" s="68">
        <v>0.26700000000000002</v>
      </c>
      <c r="AA29" s="68">
        <v>0.26700000000000002</v>
      </c>
      <c r="AB29" s="68">
        <v>0.26700000000000002</v>
      </c>
      <c r="AC29" s="68">
        <v>0.26700000000000002</v>
      </c>
    </row>
    <row r="30" spans="1:29" ht="15" customHeight="1" x14ac:dyDescent="0.35">
      <c r="A30" s="62"/>
      <c r="B30" s="66" t="s">
        <v>87</v>
      </c>
      <c r="C30" s="53"/>
      <c r="D30" s="67">
        <f t="shared" ref="D30:P30" si="23">D13/D$10*-1</f>
        <v>0.37305769950018702</v>
      </c>
      <c r="E30" s="67">
        <f t="shared" si="23"/>
        <v>0.37305769950018702</v>
      </c>
      <c r="F30" s="67">
        <f t="shared" si="23"/>
        <v>0.37305769950018702</v>
      </c>
      <c r="G30" s="67">
        <f t="shared" si="23"/>
        <v>0.37305769950018702</v>
      </c>
      <c r="H30" s="67">
        <f t="shared" si="23"/>
        <v>0.36715688874794589</v>
      </c>
      <c r="I30" s="67">
        <f t="shared" si="23"/>
        <v>0.36715688874794589</v>
      </c>
      <c r="J30" s="67">
        <f t="shared" si="23"/>
        <v>0.36715688874794589</v>
      </c>
      <c r="K30" s="67">
        <f t="shared" si="23"/>
        <v>0.36715688874794589</v>
      </c>
      <c r="L30" s="67">
        <f t="shared" si="23"/>
        <v>0.35</v>
      </c>
      <c r="M30" s="67">
        <f t="shared" si="23"/>
        <v>0.35</v>
      </c>
      <c r="N30" s="67">
        <f t="shared" si="23"/>
        <v>0.35</v>
      </c>
      <c r="O30" s="67">
        <f t="shared" si="23"/>
        <v>0.35</v>
      </c>
      <c r="P30" s="67">
        <f t="shared" si="23"/>
        <v>0.35</v>
      </c>
      <c r="Q30" s="68">
        <v>0.35</v>
      </c>
      <c r="R30" s="68">
        <v>0.35499999999999998</v>
      </c>
      <c r="S30" s="68">
        <v>0.36</v>
      </c>
      <c r="T30" s="68">
        <v>0.36</v>
      </c>
      <c r="U30" s="68">
        <v>0.36</v>
      </c>
      <c r="V30" s="68">
        <v>0.36</v>
      </c>
      <c r="W30" s="68">
        <v>0.36499999999999999</v>
      </c>
      <c r="X30" s="68">
        <v>0.36499999999999999</v>
      </c>
      <c r="Y30" s="68">
        <v>0.36499999999999999</v>
      </c>
      <c r="Z30" s="68">
        <v>0.37</v>
      </c>
      <c r="AA30" s="68">
        <v>0.37</v>
      </c>
      <c r="AB30" s="68">
        <v>0.37</v>
      </c>
      <c r="AC30" s="68">
        <v>0.37</v>
      </c>
    </row>
    <row r="31" spans="1:29" ht="15" customHeight="1" x14ac:dyDescent="0.35">
      <c r="A31" s="62"/>
      <c r="B31" s="66" t="s">
        <v>82</v>
      </c>
      <c r="C31" s="53"/>
      <c r="D31" s="67">
        <f t="shared" ref="D31:P31" si="24">D17/D10*-1</f>
        <v>6.6811737105164734E-2</v>
      </c>
      <c r="E31" s="67">
        <f t="shared" si="24"/>
        <v>6.6811737105164734E-2</v>
      </c>
      <c r="F31" s="67">
        <f t="shared" si="24"/>
        <v>6.6811737105164734E-2</v>
      </c>
      <c r="G31" s="67">
        <f t="shared" si="24"/>
        <v>6.6811737105164734E-2</v>
      </c>
      <c r="H31" s="67">
        <f t="shared" si="24"/>
        <v>6.7000000000000004E-2</v>
      </c>
      <c r="I31" s="67">
        <f t="shared" si="24"/>
        <v>6.7000000000000004E-2</v>
      </c>
      <c r="J31" s="67">
        <f t="shared" si="24"/>
        <v>6.7000000000000004E-2</v>
      </c>
      <c r="K31" s="67">
        <f t="shared" si="24"/>
        <v>6.7000000000000004E-2</v>
      </c>
      <c r="L31" s="67">
        <f t="shared" si="24"/>
        <v>6.7000000000000004E-2</v>
      </c>
      <c r="M31" s="67">
        <f t="shared" si="24"/>
        <v>6.7000000000000004E-2</v>
      </c>
      <c r="N31" s="67">
        <f t="shared" si="24"/>
        <v>6.7000000000000004E-2</v>
      </c>
      <c r="O31" s="67">
        <f t="shared" si="24"/>
        <v>6.7000000000000004E-2</v>
      </c>
      <c r="P31" s="67">
        <f t="shared" si="24"/>
        <v>6.7000000000000004E-2</v>
      </c>
      <c r="Q31" s="68">
        <v>7.0000000000000007E-2</v>
      </c>
      <c r="R31" s="68">
        <v>7.0000000000000007E-2</v>
      </c>
      <c r="S31" s="68">
        <v>7.0000000000000007E-2</v>
      </c>
      <c r="T31" s="68">
        <v>7.0000000000000007E-2</v>
      </c>
      <c r="U31" s="68">
        <v>0.08</v>
      </c>
      <c r="V31" s="68">
        <v>0.08</v>
      </c>
      <c r="W31" s="68">
        <v>0.08</v>
      </c>
      <c r="X31" s="68">
        <v>0.08</v>
      </c>
      <c r="Y31" s="68">
        <v>0.08</v>
      </c>
      <c r="Z31" s="68">
        <v>6.5000000000000002E-2</v>
      </c>
      <c r="AA31" s="68">
        <v>6.5000000000000002E-2</v>
      </c>
      <c r="AB31" s="68">
        <v>6.5000000000000002E-2</v>
      </c>
      <c r="AC31" s="68">
        <v>6.5000000000000002E-2</v>
      </c>
    </row>
    <row r="32" spans="1:29" ht="15" customHeight="1" x14ac:dyDescent="0.35">
      <c r="A32" s="62"/>
      <c r="B32" s="66" t="s">
        <v>89</v>
      </c>
      <c r="C32" s="53"/>
      <c r="D32" s="67">
        <f t="shared" ref="D32:P32" si="25">D18/D10*-1</f>
        <v>6.3426340442876206E-2</v>
      </c>
      <c r="E32" s="67">
        <f t="shared" si="25"/>
        <v>4.3172551057756074E-2</v>
      </c>
      <c r="F32" s="67">
        <f t="shared" si="25"/>
        <v>4.7569755332157147E-2</v>
      </c>
      <c r="G32" s="67">
        <f t="shared" si="25"/>
        <v>5.5842756259488834E-2</v>
      </c>
      <c r="H32" s="67">
        <f t="shared" si="25"/>
        <v>7.7047434985967875E-2</v>
      </c>
      <c r="I32" s="67">
        <f t="shared" si="25"/>
        <v>8.136774018330549E-2</v>
      </c>
      <c r="J32" s="67">
        <f t="shared" si="25"/>
        <v>9.361664730767405E-2</v>
      </c>
      <c r="K32" s="67">
        <f t="shared" si="25"/>
        <v>9.8935774995610085E-2</v>
      </c>
      <c r="L32" s="67">
        <f t="shared" si="25"/>
        <v>8.675970920853987E-2</v>
      </c>
      <c r="M32" s="67">
        <f t="shared" si="25"/>
        <v>6.9107010982467659E-2</v>
      </c>
      <c r="N32" s="67">
        <f t="shared" si="25"/>
        <v>8.0527067043621905E-2</v>
      </c>
      <c r="O32" s="67">
        <f t="shared" si="25"/>
        <v>8.2153876478846574E-2</v>
      </c>
      <c r="P32" s="67">
        <f t="shared" si="25"/>
        <v>8.1520143158503963E-2</v>
      </c>
      <c r="Q32" s="68">
        <v>8.5000000000000006E-2</v>
      </c>
      <c r="R32" s="68">
        <v>8.5000000000000006E-2</v>
      </c>
      <c r="S32" s="68">
        <v>8.5000000000000006E-2</v>
      </c>
      <c r="T32" s="68">
        <v>8.5000000000000006E-2</v>
      </c>
      <c r="U32" s="68">
        <v>0.09</v>
      </c>
      <c r="V32" s="68">
        <v>0.09</v>
      </c>
      <c r="W32" s="68">
        <v>0.09</v>
      </c>
      <c r="X32" s="68">
        <v>0.09</v>
      </c>
      <c r="Y32" s="68">
        <v>0.09</v>
      </c>
      <c r="Z32" s="68">
        <v>8.5000000000000006E-2</v>
      </c>
      <c r="AA32" s="68">
        <v>8.5000000000000006E-2</v>
      </c>
      <c r="AB32" s="68">
        <v>8.5000000000000006E-2</v>
      </c>
      <c r="AC32" s="68">
        <v>8.5000000000000006E-2</v>
      </c>
    </row>
    <row r="33" spans="1:3" ht="15" customHeight="1" x14ac:dyDescent="0.35">
      <c r="A33" s="62"/>
      <c r="B33" s="57"/>
      <c r="C33" s="53"/>
    </row>
    <row r="34" spans="1:3" ht="15" customHeight="1" x14ac:dyDescent="0.35">
      <c r="A34" s="62"/>
      <c r="B34" s="60"/>
      <c r="C34" s="53"/>
    </row>
    <row r="35" spans="1:3" ht="15" customHeight="1" x14ac:dyDescent="0.35">
      <c r="A35" s="62"/>
      <c r="B35" s="60"/>
      <c r="C35" s="53"/>
    </row>
    <row r="36" spans="1:3" ht="15" customHeight="1" x14ac:dyDescent="0.35">
      <c r="A36" s="62"/>
      <c r="B36" s="53"/>
      <c r="C36" s="53"/>
    </row>
  </sheetData>
  <pageMargins left="0.7" right="0.7" top="0.75" bottom="0.75" header="0.3" footer="0.3"/>
  <pageSetup paperSize="9" orientation="landscape" verticalDpi="1200" r:id="rId1"/>
  <headerFooter>
    <oddHeader xml:space="preserve">&amp;R&amp;10&amp;F 
&amp;A
</oddHeader>
    <oddFooter>&amp;L&amp;10© 2020&amp;C&amp;10Page &amp;P of &amp;N&amp;R&amp;G</oddFooter>
  </headerFooter>
  <legacyDrawingHF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CE072A-4448-42E3-9308-EDC448C0F37B}">
  <dimension ref="A1:AC59"/>
  <sheetViews>
    <sheetView zoomScaleNormal="100" workbookViewId="0">
      <pane xSplit="2" ySplit="8" topLeftCell="C9" activePane="bottomRight" state="frozen"/>
      <selection sqref="A1:N1"/>
      <selection pane="topRight" sqref="A1:N1"/>
      <selection pane="bottomLeft" sqref="A1:N1"/>
      <selection pane="bottomRight" sqref="A1:N1"/>
    </sheetView>
  </sheetViews>
  <sheetFormatPr defaultColWidth="9.08984375" defaultRowHeight="15" customHeight="1" x14ac:dyDescent="0.35"/>
  <cols>
    <col min="1" max="1" width="1.54296875" style="12" customWidth="1"/>
    <col min="2" max="2" width="40.54296875" style="66" customWidth="1"/>
    <col min="3" max="10" width="11.54296875" style="66" customWidth="1"/>
    <col min="11" max="29" width="11.6328125" style="66" customWidth="1"/>
    <col min="30" max="16384" width="9.08984375" style="66"/>
  </cols>
  <sheetData>
    <row r="1" spans="1:29" ht="45" customHeight="1" x14ac:dyDescent="0.65">
      <c r="A1" s="4" t="str">
        <f>Welcome!A2</f>
        <v>13-Week Cash Flow Model</v>
      </c>
      <c r="B1" s="7"/>
      <c r="C1" s="9"/>
      <c r="D1" s="9"/>
      <c r="E1" s="9"/>
      <c r="F1" s="9"/>
      <c r="G1" s="9"/>
      <c r="H1" s="9"/>
      <c r="I1" s="9"/>
      <c r="J1" s="9"/>
      <c r="K1" s="9"/>
      <c r="L1" s="9"/>
      <c r="M1" s="9"/>
      <c r="N1" s="9"/>
      <c r="O1" s="9"/>
      <c r="P1" s="9"/>
      <c r="Q1" s="9"/>
      <c r="R1" s="9"/>
      <c r="S1" s="9"/>
      <c r="T1" s="9"/>
      <c r="U1" s="9"/>
      <c r="V1" s="9"/>
      <c r="W1" s="9"/>
      <c r="X1" s="9"/>
      <c r="Y1" s="9"/>
      <c r="Z1" s="9"/>
      <c r="AA1" s="9"/>
      <c r="AB1" s="9"/>
      <c r="AC1" s="9"/>
    </row>
    <row r="2" spans="1:29" ht="21" x14ac:dyDescent="0.5">
      <c r="A2" s="11"/>
      <c r="B2" s="6"/>
      <c r="C2" s="56"/>
      <c r="D2" s="56" t="s">
        <v>73</v>
      </c>
      <c r="E2" s="56" t="s">
        <v>73</v>
      </c>
      <c r="F2" s="56" t="s">
        <v>73</v>
      </c>
      <c r="G2" s="56" t="s">
        <v>73</v>
      </c>
      <c r="H2" s="56" t="s">
        <v>73</v>
      </c>
      <c r="I2" s="56" t="s">
        <v>73</v>
      </c>
      <c r="J2" s="56" t="s">
        <v>73</v>
      </c>
      <c r="K2" s="56" t="s">
        <v>73</v>
      </c>
      <c r="L2" s="56" t="s">
        <v>73</v>
      </c>
      <c r="M2" s="56" t="s">
        <v>73</v>
      </c>
      <c r="N2" s="56" t="s">
        <v>73</v>
      </c>
      <c r="O2" s="56" t="s">
        <v>73</v>
      </c>
      <c r="P2" s="56" t="s">
        <v>73</v>
      </c>
      <c r="Q2" s="56" t="s">
        <v>74</v>
      </c>
      <c r="R2" s="56" t="s">
        <v>74</v>
      </c>
      <c r="S2" s="56" t="s">
        <v>74</v>
      </c>
      <c r="T2" s="56" t="s">
        <v>74</v>
      </c>
      <c r="U2" s="56" t="s">
        <v>74</v>
      </c>
      <c r="V2" s="56" t="s">
        <v>74</v>
      </c>
      <c r="W2" s="56" t="s">
        <v>74</v>
      </c>
      <c r="X2" s="56" t="s">
        <v>74</v>
      </c>
      <c r="Y2" s="56" t="s">
        <v>74</v>
      </c>
      <c r="Z2" s="56" t="s">
        <v>74</v>
      </c>
      <c r="AA2" s="56" t="s">
        <v>74</v>
      </c>
      <c r="AB2" s="56" t="s">
        <v>74</v>
      </c>
      <c r="AC2" s="56" t="s">
        <v>74</v>
      </c>
    </row>
    <row r="3" spans="1:29" ht="21" x14ac:dyDescent="0.5">
      <c r="A3" s="11"/>
      <c r="B3" s="6"/>
      <c r="C3" s="56">
        <v>0</v>
      </c>
      <c r="D3" s="56">
        <v>1</v>
      </c>
      <c r="E3" s="56">
        <f>D3+1</f>
        <v>2</v>
      </c>
      <c r="F3" s="56">
        <f t="shared" ref="F3:P3" si="0">E3+1</f>
        <v>3</v>
      </c>
      <c r="G3" s="56">
        <f t="shared" si="0"/>
        <v>4</v>
      </c>
      <c r="H3" s="56">
        <f t="shared" si="0"/>
        <v>5</v>
      </c>
      <c r="I3" s="56">
        <f t="shared" si="0"/>
        <v>6</v>
      </c>
      <c r="J3" s="56">
        <f t="shared" si="0"/>
        <v>7</v>
      </c>
      <c r="K3" s="56">
        <f t="shared" si="0"/>
        <v>8</v>
      </c>
      <c r="L3" s="56">
        <f t="shared" si="0"/>
        <v>9</v>
      </c>
      <c r="M3" s="56">
        <f t="shared" si="0"/>
        <v>10</v>
      </c>
      <c r="N3" s="56">
        <f t="shared" si="0"/>
        <v>11</v>
      </c>
      <c r="O3" s="56">
        <f t="shared" si="0"/>
        <v>12</v>
      </c>
      <c r="P3" s="56">
        <f t="shared" si="0"/>
        <v>13</v>
      </c>
      <c r="Q3" s="56">
        <v>1</v>
      </c>
      <c r="R3" s="56">
        <f>Q3+1</f>
        <v>2</v>
      </c>
      <c r="S3" s="56">
        <f t="shared" ref="S3:AC3" si="1">R3+1</f>
        <v>3</v>
      </c>
      <c r="T3" s="56">
        <f t="shared" si="1"/>
        <v>4</v>
      </c>
      <c r="U3" s="56">
        <f t="shared" si="1"/>
        <v>5</v>
      </c>
      <c r="V3" s="56">
        <f t="shared" si="1"/>
        <v>6</v>
      </c>
      <c r="W3" s="56">
        <f t="shared" si="1"/>
        <v>7</v>
      </c>
      <c r="X3" s="56">
        <f t="shared" si="1"/>
        <v>8</v>
      </c>
      <c r="Y3" s="56">
        <f t="shared" si="1"/>
        <v>9</v>
      </c>
      <c r="Z3" s="56">
        <f t="shared" si="1"/>
        <v>10</v>
      </c>
      <c r="AA3" s="56">
        <f t="shared" si="1"/>
        <v>11</v>
      </c>
      <c r="AB3" s="56">
        <f t="shared" si="1"/>
        <v>12</v>
      </c>
      <c r="AC3" s="56">
        <f t="shared" si="1"/>
        <v>13</v>
      </c>
    </row>
    <row r="4" spans="1:29" ht="21" x14ac:dyDescent="0.5">
      <c r="A4" s="11"/>
      <c r="B4" s="6"/>
      <c r="C4" s="8"/>
      <c r="D4" s="8">
        <v>44050</v>
      </c>
      <c r="E4" s="8">
        <f>D4+7</f>
        <v>44057</v>
      </c>
      <c r="F4" s="8">
        <f t="shared" ref="F4:AC4" si="2">E4+7</f>
        <v>44064</v>
      </c>
      <c r="G4" s="8">
        <f t="shared" si="2"/>
        <v>44071</v>
      </c>
      <c r="H4" s="8">
        <f t="shared" si="2"/>
        <v>44078</v>
      </c>
      <c r="I4" s="8">
        <f t="shared" si="2"/>
        <v>44085</v>
      </c>
      <c r="J4" s="8">
        <f t="shared" si="2"/>
        <v>44092</v>
      </c>
      <c r="K4" s="8">
        <f t="shared" si="2"/>
        <v>44099</v>
      </c>
      <c r="L4" s="8">
        <f t="shared" si="2"/>
        <v>44106</v>
      </c>
      <c r="M4" s="8">
        <f t="shared" si="2"/>
        <v>44113</v>
      </c>
      <c r="N4" s="8">
        <f t="shared" si="2"/>
        <v>44120</v>
      </c>
      <c r="O4" s="8">
        <f t="shared" si="2"/>
        <v>44127</v>
      </c>
      <c r="P4" s="8">
        <f t="shared" si="2"/>
        <v>44134</v>
      </c>
      <c r="Q4" s="8">
        <f>P4+7</f>
        <v>44141</v>
      </c>
      <c r="R4" s="8">
        <f t="shared" si="2"/>
        <v>44148</v>
      </c>
      <c r="S4" s="8">
        <f t="shared" si="2"/>
        <v>44155</v>
      </c>
      <c r="T4" s="8">
        <f t="shared" si="2"/>
        <v>44162</v>
      </c>
      <c r="U4" s="8">
        <f t="shared" si="2"/>
        <v>44169</v>
      </c>
      <c r="V4" s="8">
        <f t="shared" si="2"/>
        <v>44176</v>
      </c>
      <c r="W4" s="8">
        <f t="shared" si="2"/>
        <v>44183</v>
      </c>
      <c r="X4" s="8">
        <f t="shared" si="2"/>
        <v>44190</v>
      </c>
      <c r="Y4" s="8">
        <f t="shared" si="2"/>
        <v>44197</v>
      </c>
      <c r="Z4" s="8">
        <f t="shared" si="2"/>
        <v>44204</v>
      </c>
      <c r="AA4" s="8">
        <f t="shared" si="2"/>
        <v>44211</v>
      </c>
      <c r="AB4" s="8">
        <f t="shared" si="2"/>
        <v>44218</v>
      </c>
      <c r="AC4" s="8">
        <f t="shared" si="2"/>
        <v>44225</v>
      </c>
    </row>
    <row r="5" spans="1:29" ht="15" customHeight="1" x14ac:dyDescent="0.35">
      <c r="A5" s="62"/>
      <c r="B5" s="53"/>
      <c r="C5" s="53"/>
      <c r="D5"/>
      <c r="E5" s="53"/>
      <c r="F5" s="53"/>
      <c r="G5" s="53"/>
    </row>
    <row r="6" spans="1:29" ht="15" customHeight="1" x14ac:dyDescent="0.35">
      <c r="B6" s="53" t="s">
        <v>113</v>
      </c>
      <c r="C6" s="75">
        <v>44043</v>
      </c>
      <c r="D6" s="72">
        <f>$C$6+31</f>
        <v>44074</v>
      </c>
      <c r="E6" s="72">
        <f t="shared" ref="E6:G6" si="3">$C$6+31</f>
        <v>44074</v>
      </c>
      <c r="F6" s="72">
        <f t="shared" si="3"/>
        <v>44074</v>
      </c>
      <c r="G6" s="72">
        <f t="shared" si="3"/>
        <v>44074</v>
      </c>
      <c r="H6" s="73">
        <f>$G$6+30</f>
        <v>44104</v>
      </c>
      <c r="I6" s="73">
        <f t="shared" ref="I6:K6" si="4">$G$6+30</f>
        <v>44104</v>
      </c>
      <c r="J6" s="73">
        <f t="shared" si="4"/>
        <v>44104</v>
      </c>
      <c r="K6" s="73">
        <f t="shared" si="4"/>
        <v>44104</v>
      </c>
      <c r="L6" s="73">
        <f>$K$6+31</f>
        <v>44135</v>
      </c>
      <c r="M6" s="73">
        <f t="shared" ref="M6:P6" si="5">$K$6+31</f>
        <v>44135</v>
      </c>
      <c r="N6" s="73">
        <f t="shared" si="5"/>
        <v>44135</v>
      </c>
      <c r="O6" s="73">
        <f t="shared" si="5"/>
        <v>44135</v>
      </c>
      <c r="P6" s="73">
        <f t="shared" si="5"/>
        <v>44135</v>
      </c>
      <c r="Q6" s="73">
        <f>$P$6+30</f>
        <v>44165</v>
      </c>
      <c r="R6" s="73">
        <f t="shared" ref="R6:T6" si="6">$P$6+30</f>
        <v>44165</v>
      </c>
      <c r="S6" s="73">
        <f t="shared" si="6"/>
        <v>44165</v>
      </c>
      <c r="T6" s="73">
        <f t="shared" si="6"/>
        <v>44165</v>
      </c>
      <c r="U6" s="73">
        <f>$Q$6+31</f>
        <v>44196</v>
      </c>
      <c r="V6" s="73">
        <f t="shared" ref="V6:X6" si="7">$Q$6+31</f>
        <v>44196</v>
      </c>
      <c r="W6" s="73">
        <f t="shared" si="7"/>
        <v>44196</v>
      </c>
      <c r="X6" s="73">
        <f t="shared" si="7"/>
        <v>44196</v>
      </c>
      <c r="Y6" s="73">
        <f>$U$6+31</f>
        <v>44227</v>
      </c>
      <c r="Z6" s="73">
        <f t="shared" ref="Z6:AC6" si="8">$U$6+31</f>
        <v>44227</v>
      </c>
      <c r="AA6" s="73">
        <f t="shared" si="8"/>
        <v>44227</v>
      </c>
      <c r="AB6" s="73">
        <f t="shared" si="8"/>
        <v>44227</v>
      </c>
      <c r="AC6" s="73">
        <f t="shared" si="8"/>
        <v>44227</v>
      </c>
    </row>
    <row r="7" spans="1:29" ht="15" customHeight="1" x14ac:dyDescent="0.35">
      <c r="B7" s="53" t="s">
        <v>96</v>
      </c>
      <c r="D7" s="66">
        <f>IF(D4-$C$6&gt;=7,7,D4-$C$6)</f>
        <v>7</v>
      </c>
      <c r="E7" s="66">
        <f t="shared" ref="E7:G7" si="9">IF(E4-$C$6&gt;=7,7,E4-$C$6)</f>
        <v>7</v>
      </c>
      <c r="F7" s="66">
        <f t="shared" si="9"/>
        <v>7</v>
      </c>
      <c r="G7" s="66">
        <f t="shared" si="9"/>
        <v>7</v>
      </c>
      <c r="H7" s="66">
        <f>IF(H4-$G$6&gt;=7,7,H4-$G$6)</f>
        <v>4</v>
      </c>
      <c r="I7" s="66">
        <f t="shared" ref="I7:K7" si="10">IF(I4-$G$6&gt;=7,7,I4-$G$6)</f>
        <v>7</v>
      </c>
      <c r="J7" s="66">
        <f t="shared" si="10"/>
        <v>7</v>
      </c>
      <c r="K7" s="66">
        <f t="shared" si="10"/>
        <v>7</v>
      </c>
      <c r="L7" s="66">
        <f>IF(L4-$K$6&gt;=7,7,L4-$K$6)</f>
        <v>2</v>
      </c>
      <c r="M7" s="66">
        <f t="shared" ref="M7:P7" si="11">IF(M4-$K$6&gt;=7,7,M4-$K$6)</f>
        <v>7</v>
      </c>
      <c r="N7" s="66">
        <f t="shared" si="11"/>
        <v>7</v>
      </c>
      <c r="O7" s="66">
        <f t="shared" si="11"/>
        <v>7</v>
      </c>
      <c r="P7" s="66">
        <f t="shared" si="11"/>
        <v>7</v>
      </c>
      <c r="Q7" s="66">
        <f>IF(Q4-$P$6&gt;=7,7,Q4-$P$6)</f>
        <v>6</v>
      </c>
      <c r="R7" s="66">
        <f t="shared" ref="R7:T7" si="12">IF(R4-$P$6&gt;=7,7,R4-$P$6)</f>
        <v>7</v>
      </c>
      <c r="S7" s="66">
        <f t="shared" si="12"/>
        <v>7</v>
      </c>
      <c r="T7" s="66">
        <f t="shared" si="12"/>
        <v>7</v>
      </c>
      <c r="U7" s="66">
        <f>IF(U4-$T$6&gt;=7,7,U4-$T$6)</f>
        <v>4</v>
      </c>
      <c r="V7" s="66">
        <f t="shared" ref="V7:X7" si="13">IF(V4-$T$6&gt;=7,7,V4-$T$6)</f>
        <v>7</v>
      </c>
      <c r="W7" s="66">
        <f t="shared" si="13"/>
        <v>7</v>
      </c>
      <c r="X7" s="66">
        <f t="shared" si="13"/>
        <v>7</v>
      </c>
      <c r="Y7" s="66">
        <f>IF(Y4-$X$6&gt;=7,7,Y4-$X$6)</f>
        <v>1</v>
      </c>
      <c r="Z7" s="66">
        <f t="shared" ref="Z7:AC7" si="14">IF(Z4-$X$6&gt;=7,7,Z4-$X$6)</f>
        <v>7</v>
      </c>
      <c r="AA7" s="66">
        <f t="shared" si="14"/>
        <v>7</v>
      </c>
      <c r="AB7" s="66">
        <f t="shared" si="14"/>
        <v>7</v>
      </c>
      <c r="AC7" s="66">
        <f t="shared" si="14"/>
        <v>7</v>
      </c>
    </row>
    <row r="8" spans="1:29" ht="15" customHeight="1" x14ac:dyDescent="0.35">
      <c r="B8" s="53" t="s">
        <v>97</v>
      </c>
      <c r="D8" s="66">
        <f>7-D7</f>
        <v>0</v>
      </c>
      <c r="E8" s="66">
        <f t="shared" ref="E8:P8" si="15">7-E7</f>
        <v>0</v>
      </c>
      <c r="F8" s="66">
        <f t="shared" si="15"/>
        <v>0</v>
      </c>
      <c r="G8" s="66">
        <f t="shared" si="15"/>
        <v>0</v>
      </c>
      <c r="H8" s="66">
        <f t="shared" si="15"/>
        <v>3</v>
      </c>
      <c r="I8" s="66">
        <f t="shared" si="15"/>
        <v>0</v>
      </c>
      <c r="J8" s="66">
        <f t="shared" si="15"/>
        <v>0</v>
      </c>
      <c r="K8" s="66">
        <f t="shared" si="15"/>
        <v>0</v>
      </c>
      <c r="L8" s="66">
        <f t="shared" si="15"/>
        <v>5</v>
      </c>
      <c r="M8" s="66">
        <f t="shared" si="15"/>
        <v>0</v>
      </c>
      <c r="N8" s="66">
        <f t="shared" si="15"/>
        <v>0</v>
      </c>
      <c r="O8" s="66">
        <f t="shared" si="15"/>
        <v>0</v>
      </c>
      <c r="P8" s="66">
        <f t="shared" si="15"/>
        <v>0</v>
      </c>
      <c r="Q8" s="66">
        <f t="shared" ref="Q8:AC8" si="16">7-Q7</f>
        <v>1</v>
      </c>
      <c r="R8" s="66">
        <f t="shared" si="16"/>
        <v>0</v>
      </c>
      <c r="S8" s="66">
        <f t="shared" si="16"/>
        <v>0</v>
      </c>
      <c r="T8" s="66">
        <f t="shared" si="16"/>
        <v>0</v>
      </c>
      <c r="U8" s="66">
        <f t="shared" si="16"/>
        <v>3</v>
      </c>
      <c r="V8" s="66">
        <f t="shared" si="16"/>
        <v>0</v>
      </c>
      <c r="W8" s="66">
        <f t="shared" si="16"/>
        <v>0</v>
      </c>
      <c r="X8" s="66">
        <f t="shared" si="16"/>
        <v>0</v>
      </c>
      <c r="Y8" s="66">
        <f t="shared" si="16"/>
        <v>6</v>
      </c>
      <c r="Z8" s="66">
        <f t="shared" si="16"/>
        <v>0</v>
      </c>
      <c r="AA8" s="66">
        <f t="shared" si="16"/>
        <v>0</v>
      </c>
      <c r="AB8" s="66">
        <f t="shared" si="16"/>
        <v>0</v>
      </c>
      <c r="AC8" s="66">
        <f t="shared" si="16"/>
        <v>0</v>
      </c>
    </row>
    <row r="9" spans="1:29" ht="15" customHeight="1" x14ac:dyDescent="0.35">
      <c r="A9" s="62"/>
      <c r="B9" s="53"/>
      <c r="C9" s="53"/>
      <c r="D9" s="53"/>
      <c r="E9" s="53"/>
      <c r="F9" s="53"/>
      <c r="G9" s="53"/>
    </row>
    <row r="10" spans="1:29" ht="15" customHeight="1" x14ac:dyDescent="0.35">
      <c r="A10" s="62" t="s">
        <v>98</v>
      </c>
      <c r="B10" s="53"/>
      <c r="C10" s="53"/>
      <c r="D10" s="53"/>
      <c r="E10" s="53"/>
      <c r="F10" s="53"/>
      <c r="G10" s="53"/>
    </row>
    <row r="11" spans="1:29" ht="15" customHeight="1" x14ac:dyDescent="0.35">
      <c r="A11" s="62"/>
      <c r="B11" s="57" t="s">
        <v>99</v>
      </c>
      <c r="C11" s="53"/>
      <c r="D11" s="76">
        <f>C14</f>
        <v>53480</v>
      </c>
      <c r="E11" s="76">
        <f t="shared" ref="E11:P11" si="17">D14</f>
        <v>54860.36677419355</v>
      </c>
      <c r="F11" s="76">
        <f t="shared" si="17"/>
        <v>58607.387096774197</v>
      </c>
      <c r="G11" s="76">
        <f t="shared" si="17"/>
        <v>61214.876129032258</v>
      </c>
      <c r="H11" s="76">
        <f t="shared" si="17"/>
        <v>61478.974193548391</v>
      </c>
      <c r="I11" s="76">
        <f t="shared" si="17"/>
        <v>63820.682752688175</v>
      </c>
      <c r="J11" s="76">
        <f t="shared" si="17"/>
        <v>64919.610419354845</v>
      </c>
      <c r="K11" s="76">
        <f t="shared" si="17"/>
        <v>64514.779419354847</v>
      </c>
      <c r="L11" s="76">
        <f t="shared" si="17"/>
        <v>64766.886752688173</v>
      </c>
      <c r="M11" s="76">
        <f t="shared" si="17"/>
        <v>65858.60761290323</v>
      </c>
      <c r="N11" s="76">
        <f t="shared" si="17"/>
        <v>66350.21196774194</v>
      </c>
      <c r="O11" s="76">
        <f t="shared" si="17"/>
        <v>67277.996483870971</v>
      </c>
      <c r="P11" s="76">
        <f t="shared" si="17"/>
        <v>67859.642290322576</v>
      </c>
      <c r="Q11" s="76">
        <f>P14</f>
        <v>68840.505516129037</v>
      </c>
      <c r="R11" s="76">
        <f>Q14</f>
        <v>73692.411428571431</v>
      </c>
      <c r="S11" s="76">
        <f t="shared" ref="S11:AC11" si="18">R14</f>
        <v>74526.48000000001</v>
      </c>
      <c r="T11" s="76">
        <f t="shared" si="18"/>
        <v>80151.12000000001</v>
      </c>
      <c r="U11" s="76">
        <f t="shared" si="18"/>
        <v>84369.600000000006</v>
      </c>
      <c r="V11" s="76">
        <f t="shared" si="18"/>
        <v>82814.400000000009</v>
      </c>
      <c r="W11" s="76">
        <f t="shared" si="18"/>
        <v>81648.000000000015</v>
      </c>
      <c r="X11" s="76">
        <f t="shared" si="18"/>
        <v>81648.000000000015</v>
      </c>
      <c r="Y11" s="76">
        <f t="shared" si="18"/>
        <v>81648.000000000015</v>
      </c>
      <c r="Z11" s="76">
        <f t="shared" si="18"/>
        <v>87820.200000000026</v>
      </c>
      <c r="AA11" s="76">
        <f t="shared" si="18"/>
        <v>84029.4</v>
      </c>
      <c r="AB11" s="76">
        <f t="shared" si="18"/>
        <v>84029.4</v>
      </c>
      <c r="AC11" s="76">
        <f t="shared" si="18"/>
        <v>84029.4</v>
      </c>
    </row>
    <row r="12" spans="1:29" ht="15" customHeight="1" x14ac:dyDescent="0.35">
      <c r="A12" s="62"/>
      <c r="B12" s="57" t="s">
        <v>100</v>
      </c>
      <c r="C12" s="53"/>
      <c r="D12" s="53">
        <f>'Weekly IS'!D10</f>
        <v>5379.3667741935487</v>
      </c>
      <c r="E12" s="53">
        <f>'Weekly IS'!E10</f>
        <v>7903.0203225806445</v>
      </c>
      <c r="F12" s="53">
        <f>'Weekly IS'!F10</f>
        <v>7172.489032258065</v>
      </c>
      <c r="G12" s="53">
        <f>'Weekly IS'!G10</f>
        <v>6109.8980645161291</v>
      </c>
      <c r="H12" s="53">
        <f>'Weekly IS'!H10</f>
        <v>8442.3982365591401</v>
      </c>
      <c r="I12" s="53">
        <f>'Weekly IS'!I10</f>
        <v>8660.1876666666667</v>
      </c>
      <c r="J12" s="53">
        <f>'Weekly IS'!J10</f>
        <v>7527.0790000000006</v>
      </c>
      <c r="K12" s="53">
        <f>'Weekly IS'!K10</f>
        <v>7122.3973333333333</v>
      </c>
      <c r="L12" s="53">
        <f>'Weekly IS'!L10</f>
        <v>8121.9716666666673</v>
      </c>
      <c r="M12" s="53">
        <f>'Weekly IS'!M10</f>
        <v>9344.16</v>
      </c>
      <c r="N12" s="53">
        <f>'Weekly IS'!N10</f>
        <v>9162.7199999999993</v>
      </c>
      <c r="O12" s="53">
        <f>'Weekly IS'!O10</f>
        <v>8981.2800000000007</v>
      </c>
      <c r="P12" s="53">
        <f>'Weekly IS'!P10</f>
        <v>9051.1</v>
      </c>
      <c r="Q12" s="53">
        <f>'Weekly IS'!Q10</f>
        <v>9732.9600000000009</v>
      </c>
      <c r="R12" s="53">
        <f>'Weekly IS'!R10</f>
        <v>9843.1200000000008</v>
      </c>
      <c r="S12" s="53">
        <f>'Weekly IS'!S10</f>
        <v>9843.1200000000008</v>
      </c>
      <c r="T12" s="53">
        <f>'Weekly IS'!T10</f>
        <v>9843.1200000000008</v>
      </c>
      <c r="U12" s="53">
        <f>'Weekly IS'!U10</f>
        <v>9661.68</v>
      </c>
      <c r="V12" s="53">
        <f>'Weekly IS'!V10</f>
        <v>9525.6000000000022</v>
      </c>
      <c r="W12" s="53">
        <f>'Weekly IS'!W10</f>
        <v>9525.6000000000022</v>
      </c>
      <c r="X12" s="53">
        <f>'Weekly IS'!X10</f>
        <v>9525.6000000000022</v>
      </c>
      <c r="Y12" s="53">
        <f>'Weekly IS'!Y10</f>
        <v>9457.5600000000013</v>
      </c>
      <c r="Z12" s="53">
        <f>'Weekly IS'!Z10</f>
        <v>9049.32</v>
      </c>
      <c r="AA12" s="53">
        <f>'Weekly IS'!AA10</f>
        <v>9049.32</v>
      </c>
      <c r="AB12" s="53">
        <f>'Weekly IS'!AB10</f>
        <v>9049.32</v>
      </c>
      <c r="AC12" s="53">
        <f>'Weekly IS'!AC10</f>
        <v>9049.32</v>
      </c>
    </row>
    <row r="13" spans="1:29" ht="15" customHeight="1" x14ac:dyDescent="0.35">
      <c r="A13" s="62"/>
      <c r="B13" s="57" t="s">
        <v>225</v>
      </c>
      <c r="C13" s="53"/>
      <c r="D13" s="54">
        <v>-3999</v>
      </c>
      <c r="E13" s="54">
        <v>-4156</v>
      </c>
      <c r="F13" s="54">
        <v>-4565</v>
      </c>
      <c r="G13" s="54">
        <v>-5845.8</v>
      </c>
      <c r="H13" s="54">
        <v>-6100.6896774193547</v>
      </c>
      <c r="I13" s="54">
        <v>-7561.26</v>
      </c>
      <c r="J13" s="54">
        <v>-7931.9100000000008</v>
      </c>
      <c r="K13" s="54">
        <v>-6870.29</v>
      </c>
      <c r="L13" s="54">
        <v>-7030.2508064516132</v>
      </c>
      <c r="M13" s="54">
        <v>-8852.5556451612902</v>
      </c>
      <c r="N13" s="54">
        <v>-8234.9354838709678</v>
      </c>
      <c r="O13" s="54">
        <v>-8399.634193548387</v>
      </c>
      <c r="P13" s="54">
        <v>-8070.2367741935486</v>
      </c>
      <c r="Q13" s="53">
        <f>Q14-(Q11+Q12)</f>
        <v>-4881.0540875576116</v>
      </c>
      <c r="R13" s="53">
        <f>R14-(R11+R12)</f>
        <v>-9009.0514285714162</v>
      </c>
      <c r="S13" s="53">
        <f t="shared" ref="S13:AC13" si="19">S14-(S11+S12)</f>
        <v>-4218.4799999999959</v>
      </c>
      <c r="T13" s="53">
        <f t="shared" si="19"/>
        <v>-5624.6399999999994</v>
      </c>
      <c r="U13" s="53">
        <f t="shared" si="19"/>
        <v>-11216.87999999999</v>
      </c>
      <c r="V13" s="53">
        <f t="shared" si="19"/>
        <v>-10692</v>
      </c>
      <c r="W13" s="53">
        <f t="shared" si="19"/>
        <v>-9525.6000000000058</v>
      </c>
      <c r="X13" s="53">
        <f t="shared" si="19"/>
        <v>-9525.6000000000058</v>
      </c>
      <c r="Y13" s="53">
        <f t="shared" si="19"/>
        <v>-3285.359999999986</v>
      </c>
      <c r="Z13" s="53">
        <f t="shared" si="19"/>
        <v>-12840.120000000024</v>
      </c>
      <c r="AA13" s="53">
        <f t="shared" si="19"/>
        <v>-9049.320000000007</v>
      </c>
      <c r="AB13" s="53">
        <f t="shared" si="19"/>
        <v>-9049.320000000007</v>
      </c>
      <c r="AC13" s="53">
        <f t="shared" si="19"/>
        <v>-9049.320000000007</v>
      </c>
    </row>
    <row r="14" spans="1:29" ht="15" customHeight="1" x14ac:dyDescent="0.35">
      <c r="A14" s="62"/>
      <c r="B14" s="57" t="s">
        <v>112</v>
      </c>
      <c r="C14" s="53">
        <f>'Monthly Balance Sheet'!E8</f>
        <v>53480</v>
      </c>
      <c r="D14" s="76">
        <f>SUM(D11:D13)</f>
        <v>54860.36677419355</v>
      </c>
      <c r="E14" s="76">
        <f t="shared" ref="E14:G14" si="20">SUM(E11:E13)</f>
        <v>58607.387096774197</v>
      </c>
      <c r="F14" s="76">
        <f t="shared" si="20"/>
        <v>61214.876129032258</v>
      </c>
      <c r="G14" s="76">
        <f t="shared" si="20"/>
        <v>61478.974193548391</v>
      </c>
      <c r="H14" s="76">
        <f t="shared" ref="H14" si="21">SUM(H11:H13)</f>
        <v>63820.682752688175</v>
      </c>
      <c r="I14" s="76">
        <f t="shared" ref="I14" si="22">SUM(I11:I13)</f>
        <v>64919.610419354845</v>
      </c>
      <c r="J14" s="76">
        <f t="shared" ref="J14" si="23">SUM(J11:J13)</f>
        <v>64514.779419354847</v>
      </c>
      <c r="K14" s="76">
        <f t="shared" ref="K14" si="24">SUM(K11:K13)</f>
        <v>64766.886752688173</v>
      </c>
      <c r="L14" s="76">
        <f t="shared" ref="L14" si="25">SUM(L11:L13)</f>
        <v>65858.60761290323</v>
      </c>
      <c r="M14" s="76">
        <f t="shared" ref="M14" si="26">SUM(M11:M13)</f>
        <v>66350.21196774194</v>
      </c>
      <c r="N14" s="76">
        <f t="shared" ref="N14" si="27">SUM(N11:N13)</f>
        <v>67277.996483870971</v>
      </c>
      <c r="O14" s="76">
        <f t="shared" ref="O14" si="28">SUM(O11:O13)</f>
        <v>67859.642290322576</v>
      </c>
      <c r="P14" s="91">
        <f>SUM(P11:P13)</f>
        <v>68840.505516129037</v>
      </c>
      <c r="Q14" s="76">
        <f>Q16*Q12/7</f>
        <v>73692.411428571431</v>
      </c>
      <c r="R14" s="66">
        <f>R16*R12/7</f>
        <v>74526.48000000001</v>
      </c>
      <c r="S14" s="74">
        <f t="shared" ref="S14:AC14" si="29">S16*S12/7</f>
        <v>80151.12000000001</v>
      </c>
      <c r="T14" s="74">
        <f t="shared" si="29"/>
        <v>84369.600000000006</v>
      </c>
      <c r="U14" s="74">
        <f t="shared" si="29"/>
        <v>82814.400000000009</v>
      </c>
      <c r="V14" s="74">
        <f t="shared" si="29"/>
        <v>81648.000000000015</v>
      </c>
      <c r="W14" s="74">
        <f t="shared" si="29"/>
        <v>81648.000000000015</v>
      </c>
      <c r="X14" s="74">
        <f t="shared" si="29"/>
        <v>81648.000000000015</v>
      </c>
      <c r="Y14" s="74">
        <f t="shared" si="29"/>
        <v>87820.200000000026</v>
      </c>
      <c r="Z14" s="74">
        <f t="shared" si="29"/>
        <v>84029.4</v>
      </c>
      <c r="AA14" s="74">
        <f t="shared" si="29"/>
        <v>84029.4</v>
      </c>
      <c r="AB14" s="74">
        <f t="shared" si="29"/>
        <v>84029.4</v>
      </c>
      <c r="AC14" s="74">
        <f t="shared" si="29"/>
        <v>84029.4</v>
      </c>
    </row>
    <row r="15" spans="1:29" ht="15" customHeight="1" x14ac:dyDescent="0.35">
      <c r="A15" s="62"/>
      <c r="B15" s="57"/>
      <c r="C15" s="53"/>
      <c r="D15" s="76"/>
      <c r="E15" s="76"/>
      <c r="F15" s="76"/>
      <c r="G15" s="76"/>
      <c r="H15" s="76"/>
      <c r="I15" s="76"/>
      <c r="J15" s="76"/>
      <c r="K15" s="76"/>
      <c r="L15" s="76"/>
      <c r="M15" s="76"/>
      <c r="N15" s="76"/>
      <c r="O15" s="76"/>
      <c r="P15" s="76"/>
      <c r="Q15" s="54"/>
    </row>
    <row r="16" spans="1:29" ht="15" customHeight="1" x14ac:dyDescent="0.35">
      <c r="A16" s="62"/>
      <c r="B16" s="57" t="s">
        <v>115</v>
      </c>
      <c r="C16" s="53"/>
      <c r="D16" s="76">
        <f>D14/D12*7</f>
        <v>71.388061743926329</v>
      </c>
      <c r="E16" s="76">
        <f t="shared" ref="E16:P16" si="30">E14/E12*7</f>
        <v>51.910749679491673</v>
      </c>
      <c r="F16" s="76">
        <f t="shared" si="30"/>
        <v>59.742737977854084</v>
      </c>
      <c r="G16" s="76">
        <f t="shared" si="30"/>
        <v>70.435351753928217</v>
      </c>
      <c r="H16" s="76">
        <f t="shared" si="30"/>
        <v>52.916809507306134</v>
      </c>
      <c r="I16" s="76">
        <f t="shared" si="30"/>
        <v>52.47429852872903</v>
      </c>
      <c r="J16" s="76">
        <f t="shared" si="30"/>
        <v>59.997172334113131</v>
      </c>
      <c r="K16" s="76">
        <f t="shared" si="30"/>
        <v>63.653877486871068</v>
      </c>
      <c r="L16" s="76">
        <f t="shared" si="30"/>
        <v>56.76087928037866</v>
      </c>
      <c r="M16" s="76">
        <f t="shared" si="30"/>
        <v>49.705001174444099</v>
      </c>
      <c r="N16" s="76">
        <f t="shared" si="30"/>
        <v>51.398053786113387</v>
      </c>
      <c r="O16" s="76">
        <f t="shared" si="30"/>
        <v>52.889732424805594</v>
      </c>
      <c r="P16" s="76">
        <f t="shared" si="30"/>
        <v>53.240328646562659</v>
      </c>
      <c r="Q16" s="69">
        <v>53</v>
      </c>
      <c r="R16" s="69">
        <v>53</v>
      </c>
      <c r="S16" s="69">
        <v>57</v>
      </c>
      <c r="T16" s="69">
        <v>60</v>
      </c>
      <c r="U16" s="69">
        <v>60</v>
      </c>
      <c r="V16" s="69">
        <v>60</v>
      </c>
      <c r="W16" s="69">
        <v>60</v>
      </c>
      <c r="X16" s="69">
        <v>60</v>
      </c>
      <c r="Y16" s="69">
        <v>65</v>
      </c>
      <c r="Z16" s="69">
        <v>65</v>
      </c>
      <c r="AA16" s="69">
        <v>65</v>
      </c>
      <c r="AB16" s="69">
        <v>65</v>
      </c>
      <c r="AC16" s="69">
        <v>65</v>
      </c>
    </row>
    <row r="17" spans="1:29" ht="15" customHeight="1" x14ac:dyDescent="0.35">
      <c r="A17" s="62"/>
      <c r="B17" s="57" t="s">
        <v>116</v>
      </c>
      <c r="C17" s="53"/>
      <c r="D17" s="76"/>
      <c r="E17" s="76"/>
      <c r="F17" s="76"/>
      <c r="G17" s="76">
        <f>G14/SUM(D12:G12)*28</f>
        <v>64.800523613613962</v>
      </c>
      <c r="H17" s="76">
        <f t="shared" ref="H17:Q17" si="31">H14/SUM(E12:H12)*28</f>
        <v>60.314258093513985</v>
      </c>
      <c r="I17" s="76">
        <f t="shared" si="31"/>
        <v>59.823949547098024</v>
      </c>
      <c r="J17" s="76">
        <f t="shared" si="31"/>
        <v>58.765110799967601</v>
      </c>
      <c r="K17" s="76">
        <f t="shared" si="31"/>
        <v>57.113544801107324</v>
      </c>
      <c r="L17" s="76">
        <f t="shared" si="31"/>
        <v>58.668312165405403</v>
      </c>
      <c r="M17" s="76">
        <f t="shared" si="31"/>
        <v>57.847447107237521</v>
      </c>
      <c r="N17" s="76">
        <f t="shared" si="31"/>
        <v>55.813753782812213</v>
      </c>
      <c r="O17" s="76">
        <f t="shared" si="31"/>
        <v>53.357566939512822</v>
      </c>
      <c r="P17" s="76">
        <f t="shared" si="31"/>
        <v>52.752413553301665</v>
      </c>
      <c r="Q17" s="76">
        <f t="shared" si="31"/>
        <v>55.875871085564746</v>
      </c>
      <c r="R17" s="76">
        <f t="shared" ref="R17" si="32">R14/SUM(O12:R12)*28</f>
        <v>55.485958212593651</v>
      </c>
      <c r="S17" s="76">
        <f t="shared" ref="S17" si="33">S14/SUM(P12:S12)*28</f>
        <v>58.336726253759394</v>
      </c>
      <c r="T17" s="76">
        <f t="shared" ref="T17" si="34">T14/SUM(Q12:T12)*28</f>
        <v>60.168344611321992</v>
      </c>
      <c r="U17" s="76">
        <f t="shared" ref="U17" si="35">U14/SUM(R12:U12)*28</f>
        <v>59.166666666666671</v>
      </c>
      <c r="V17" s="76">
        <f t="shared" ref="V17" si="36">V14/SUM(S12:V12)*28</f>
        <v>58.809801633605602</v>
      </c>
      <c r="W17" s="76">
        <f t="shared" ref="W17" si="37">W14/SUM(T12:W12)*28</f>
        <v>59.294117647058826</v>
      </c>
      <c r="X17" s="76">
        <f t="shared" ref="X17" si="38">X14/SUM(U12:X12)*28</f>
        <v>59.786476868327398</v>
      </c>
      <c r="Y17" s="76">
        <f t="shared" ref="Y17" si="39">Y14/SUM(V12:Y12)*28</f>
        <v>64.651162790697683</v>
      </c>
      <c r="Z17" s="76">
        <f t="shared" ref="Z17" si="40">Z14/SUM(W12:Z12)*28</f>
        <v>62.644927536231876</v>
      </c>
      <c r="AA17" s="76">
        <f t="shared" ref="AA17" si="41">AA14/SUM(X12:AA12)*28</f>
        <v>63.449541284403658</v>
      </c>
      <c r="AB17" s="76">
        <f t="shared" ref="AB17" si="42">AB14/SUM(Y12:AB12)*28</f>
        <v>64.275092936802963</v>
      </c>
      <c r="AC17" s="76">
        <f t="shared" ref="AC17" si="43">AC14/SUM(Z12:AC12)*28</f>
        <v>65</v>
      </c>
    </row>
    <row r="18" spans="1:29" ht="15" customHeight="1" x14ac:dyDescent="0.35">
      <c r="A18" s="62"/>
      <c r="B18" s="57" t="s">
        <v>117</v>
      </c>
      <c r="C18" s="53"/>
      <c r="D18" s="76"/>
      <c r="E18" s="76"/>
      <c r="F18" s="76"/>
      <c r="G18" s="76"/>
      <c r="H18" s="76"/>
      <c r="I18" s="76"/>
      <c r="J18" s="76"/>
      <c r="K18" s="76"/>
      <c r="L18" s="76"/>
      <c r="M18" s="76"/>
      <c r="N18" s="76"/>
      <c r="O18" s="76"/>
      <c r="P18" s="76">
        <f>P14/SUM(D12:P12)*(13*7)</f>
        <v>60.833205727657052</v>
      </c>
      <c r="Q18" s="54"/>
      <c r="T18" s="76"/>
      <c r="U18" s="76"/>
      <c r="V18" s="76"/>
      <c r="W18" s="76"/>
      <c r="X18" s="76"/>
      <c r="Y18" s="76"/>
      <c r="Z18" s="76"/>
      <c r="AA18" s="76"/>
      <c r="AB18" s="76"/>
      <c r="AC18" s="76">
        <f>AC14/SUM(Q12:AC12)*(13*7)</f>
        <v>62.089526715950619</v>
      </c>
    </row>
    <row r="19" spans="1:29" ht="15" customHeight="1" x14ac:dyDescent="0.35">
      <c r="A19" s="62"/>
      <c r="B19" s="55"/>
      <c r="C19" s="53"/>
      <c r="D19" s="54"/>
      <c r="E19" s="54"/>
      <c r="F19" s="54"/>
      <c r="G19" s="54"/>
    </row>
    <row r="20" spans="1:29" ht="15" customHeight="1" x14ac:dyDescent="0.35">
      <c r="A20" s="62" t="s">
        <v>25</v>
      </c>
      <c r="B20" s="55"/>
      <c r="C20" s="53"/>
      <c r="D20" s="81"/>
      <c r="E20" s="81"/>
      <c r="F20" s="81"/>
      <c r="G20" s="82"/>
      <c r="H20" s="80"/>
      <c r="I20" s="80"/>
      <c r="J20" s="80"/>
      <c r="K20" s="80"/>
      <c r="L20" s="80"/>
      <c r="M20" s="80"/>
      <c r="N20" s="80"/>
      <c r="O20" s="80"/>
      <c r="P20" s="80"/>
    </row>
    <row r="21" spans="1:29" ht="15" customHeight="1" x14ac:dyDescent="0.35">
      <c r="A21" s="62"/>
      <c r="B21" s="57" t="s">
        <v>99</v>
      </c>
      <c r="C21" s="53"/>
      <c r="D21" s="76">
        <f>C24</f>
        <v>88448.000000000029</v>
      </c>
      <c r="E21" s="76">
        <f t="shared" ref="E21:G21" si="44">D24</f>
        <v>90357.572903225839</v>
      </c>
      <c r="F21" s="76">
        <f t="shared" si="44"/>
        <v>89367.483870967772</v>
      </c>
      <c r="G21" s="76">
        <f t="shared" si="44"/>
        <v>88405.150967741967</v>
      </c>
      <c r="H21" s="76">
        <f>G24</f>
        <v>88328.774193548423</v>
      </c>
      <c r="I21" s="76">
        <f t="shared" ref="I21:K21" si="45">H24</f>
        <v>86909.929977850828</v>
      </c>
      <c r="J21" s="76">
        <f t="shared" si="45"/>
        <v>85075.049034850817</v>
      </c>
      <c r="K21" s="76">
        <f t="shared" si="45"/>
        <v>86614.683301184152</v>
      </c>
      <c r="L21" s="76">
        <f t="shared" ref="L21:P21" si="46">K24</f>
        <v>87325.253898867493</v>
      </c>
      <c r="M21" s="76">
        <f t="shared" si="46"/>
        <v>87524.295963437384</v>
      </c>
      <c r="N21" s="76">
        <f t="shared" si="46"/>
        <v>86671.699215050277</v>
      </c>
      <c r="O21" s="76">
        <f t="shared" si="46"/>
        <v>86316.283008598664</v>
      </c>
      <c r="P21" s="76">
        <f t="shared" si="46"/>
        <v>86799.623886018016</v>
      </c>
      <c r="Q21" s="76">
        <f>P24</f>
        <v>90885.316640856734</v>
      </c>
      <c r="R21" s="76">
        <f>Q24</f>
        <v>97329.599999999991</v>
      </c>
      <c r="S21" s="76">
        <f t="shared" ref="S21:AC21" si="47">R24</f>
        <v>99837.36</v>
      </c>
      <c r="T21" s="76">
        <f t="shared" si="47"/>
        <v>101243.52</v>
      </c>
      <c r="U21" s="76">
        <f t="shared" si="47"/>
        <v>101243.52</v>
      </c>
      <c r="V21" s="76">
        <f t="shared" si="47"/>
        <v>99377.279999999999</v>
      </c>
      <c r="W21" s="76">
        <f t="shared" si="47"/>
        <v>97977.60000000002</v>
      </c>
      <c r="X21" s="76">
        <f t="shared" si="47"/>
        <v>99338.400000000009</v>
      </c>
      <c r="Y21" s="76">
        <f t="shared" si="47"/>
        <v>99338.400000000009</v>
      </c>
      <c r="Z21" s="76">
        <f t="shared" si="47"/>
        <v>98628.840000000011</v>
      </c>
      <c r="AA21" s="76">
        <f t="shared" si="47"/>
        <v>90881.028000000006</v>
      </c>
      <c r="AB21" s="76">
        <f t="shared" si="47"/>
        <v>90881.028000000006</v>
      </c>
      <c r="AC21" s="76">
        <f t="shared" si="47"/>
        <v>90881.028000000006</v>
      </c>
    </row>
    <row r="22" spans="1:29" ht="15" customHeight="1" x14ac:dyDescent="0.35">
      <c r="A22" s="62"/>
      <c r="B22" s="57" t="s">
        <v>103</v>
      </c>
      <c r="C22" s="53"/>
      <c r="D22" s="54">
        <v>3916.3870967741941</v>
      </c>
      <c r="E22" s="54">
        <v>1958.1935483870971</v>
      </c>
      <c r="F22" s="54">
        <v>1713.4193548387098</v>
      </c>
      <c r="G22" s="54">
        <v>2202.9677419354844</v>
      </c>
      <c r="H22" s="49">
        <v>1680.8404544086018</v>
      </c>
      <c r="I22" s="49">
        <v>1344.7666166666661</v>
      </c>
      <c r="J22" s="49">
        <v>4303.2531733333317</v>
      </c>
      <c r="K22" s="49">
        <v>3325.6078430166649</v>
      </c>
      <c r="L22" s="49">
        <v>3041.7321479032248</v>
      </c>
      <c r="M22" s="49">
        <v>2417.859251612902</v>
      </c>
      <c r="N22" s="49">
        <v>2851.5357935483853</v>
      </c>
      <c r="O22" s="49">
        <v>3626.7888774193534</v>
      </c>
      <c r="P22" s="49">
        <v>7253.5777548387068</v>
      </c>
      <c r="Q22" s="66">
        <f>Q24-(Q21+Q23)</f>
        <v>9850.81935914325</v>
      </c>
      <c r="R22" s="66">
        <f>R24-(R21+R23)</f>
        <v>6002.0676000000094</v>
      </c>
      <c r="S22" s="74">
        <f t="shared" ref="S22:AC22" si="48">S24-(S21+S23)</f>
        <v>4949.6831999999995</v>
      </c>
      <c r="T22" s="74">
        <f t="shared" si="48"/>
        <v>3543.523199999996</v>
      </c>
      <c r="U22" s="74">
        <f t="shared" si="48"/>
        <v>1611.9648000000016</v>
      </c>
      <c r="V22" s="74">
        <f t="shared" si="48"/>
        <v>2029.5360000000219</v>
      </c>
      <c r="W22" s="74">
        <f t="shared" si="48"/>
        <v>4837.6439999999857</v>
      </c>
      <c r="X22" s="74">
        <f t="shared" si="48"/>
        <v>3476.8439999999973</v>
      </c>
      <c r="Y22" s="74">
        <f t="shared" si="48"/>
        <v>2742.4493999999977</v>
      </c>
      <c r="Z22" s="74">
        <f t="shared" si="48"/>
        <v>-4399.5636000000086</v>
      </c>
      <c r="AA22" s="74">
        <f t="shared" si="48"/>
        <v>3348.2483999999968</v>
      </c>
      <c r="AB22" s="74">
        <f t="shared" si="48"/>
        <v>3348.2483999999968</v>
      </c>
      <c r="AC22" s="74">
        <f t="shared" si="48"/>
        <v>3348.2483999999968</v>
      </c>
    </row>
    <row r="23" spans="1:29" ht="15" customHeight="1" x14ac:dyDescent="0.35">
      <c r="A23" s="62"/>
      <c r="B23" s="57" t="s">
        <v>222</v>
      </c>
      <c r="C23" s="53"/>
      <c r="D23" s="53">
        <f>'Weekly IS'!D13</f>
        <v>-2006.8141935483873</v>
      </c>
      <c r="E23" s="53">
        <f>'Weekly IS'!E13</f>
        <v>-2948.282580645161</v>
      </c>
      <c r="F23" s="53">
        <f>'Weekly IS'!F13</f>
        <v>-2675.7522580645164</v>
      </c>
      <c r="G23" s="53">
        <f>'Weekly IS'!G13</f>
        <v>-2279.3445161290324</v>
      </c>
      <c r="H23" s="53">
        <f>'Weekly IS'!H13</f>
        <v>-3099.6846701061986</v>
      </c>
      <c r="I23" s="53">
        <f>'Weekly IS'!I13</f>
        <v>-3179.6475596666664</v>
      </c>
      <c r="J23" s="53">
        <f>'Weekly IS'!J13</f>
        <v>-2763.618907</v>
      </c>
      <c r="K23" s="53">
        <f>'Weekly IS'!K13</f>
        <v>-2615.037245333333</v>
      </c>
      <c r="L23" s="53">
        <f>'Weekly IS'!L13</f>
        <v>-2842.6900833333334</v>
      </c>
      <c r="M23" s="53">
        <f>'Weekly IS'!M13</f>
        <v>-3270.4559999999997</v>
      </c>
      <c r="N23" s="53">
        <f>'Weekly IS'!N13</f>
        <v>-3206.9519999999998</v>
      </c>
      <c r="O23" s="53">
        <f>'Weekly IS'!O13</f>
        <v>-3143.4479999999999</v>
      </c>
      <c r="P23" s="53">
        <f>'Weekly IS'!P13</f>
        <v>-3167.8849999999998</v>
      </c>
      <c r="Q23" s="66">
        <f>'Weekly IS'!Q13</f>
        <v>-3406.5360000000001</v>
      </c>
      <c r="R23" s="66">
        <f>'Weekly IS'!R13</f>
        <v>-3494.3076000000001</v>
      </c>
      <c r="S23" s="74">
        <f>'Weekly IS'!S13</f>
        <v>-3543.5232000000001</v>
      </c>
      <c r="T23" s="74">
        <f>'Weekly IS'!T13</f>
        <v>-3543.5232000000001</v>
      </c>
      <c r="U23" s="74">
        <f>'Weekly IS'!U13</f>
        <v>-3478.2048</v>
      </c>
      <c r="V23" s="74">
        <f>'Weekly IS'!V13</f>
        <v>-3429.2160000000008</v>
      </c>
      <c r="W23" s="74">
        <f>'Weekly IS'!W13</f>
        <v>-3476.8440000000005</v>
      </c>
      <c r="X23" s="74">
        <f>'Weekly IS'!X13</f>
        <v>-3476.8440000000005</v>
      </c>
      <c r="Y23" s="74">
        <f>'Weekly IS'!Y13</f>
        <v>-3452.0094000000004</v>
      </c>
      <c r="Z23" s="74">
        <f>'Weekly IS'!Z13</f>
        <v>-3348.2483999999999</v>
      </c>
      <c r="AA23" s="74">
        <f>'Weekly IS'!AA13</f>
        <v>-3348.2483999999999</v>
      </c>
      <c r="AB23" s="74">
        <f>'Weekly IS'!AB13</f>
        <v>-3348.2483999999999</v>
      </c>
      <c r="AC23" s="74">
        <f>'Weekly IS'!AC13</f>
        <v>-3348.2483999999999</v>
      </c>
    </row>
    <row r="24" spans="1:29" ht="15" customHeight="1" x14ac:dyDescent="0.35">
      <c r="A24" s="62"/>
      <c r="B24" s="57" t="s">
        <v>105</v>
      </c>
      <c r="C24" s="53">
        <f>'Monthly Balance Sheet'!E9</f>
        <v>88448.000000000029</v>
      </c>
      <c r="D24" s="53">
        <f>SUM(D21:D23)</f>
        <v>90357.572903225839</v>
      </c>
      <c r="E24" s="53">
        <f t="shared" ref="E24:G24" si="49">SUM(E21:E23)</f>
        <v>89367.483870967772</v>
      </c>
      <c r="F24" s="53">
        <f t="shared" si="49"/>
        <v>88405.150967741967</v>
      </c>
      <c r="G24" s="53">
        <f t="shared" si="49"/>
        <v>88328.774193548423</v>
      </c>
      <c r="H24" s="53">
        <f t="shared" ref="H24" si="50">SUM(H21:H23)</f>
        <v>86909.929977850828</v>
      </c>
      <c r="I24" s="53">
        <f t="shared" ref="I24" si="51">SUM(I21:I23)</f>
        <v>85075.049034850817</v>
      </c>
      <c r="J24" s="53">
        <f t="shared" ref="J24" si="52">SUM(J21:J23)</f>
        <v>86614.683301184152</v>
      </c>
      <c r="K24" s="53">
        <f t="shared" ref="K24" si="53">SUM(K21:K23)</f>
        <v>87325.253898867493</v>
      </c>
      <c r="L24" s="53">
        <f t="shared" ref="L24" si="54">SUM(L21:L23)</f>
        <v>87524.295963437384</v>
      </c>
      <c r="M24" s="53">
        <f t="shared" ref="M24" si="55">SUM(M21:M23)</f>
        <v>86671.699215050277</v>
      </c>
      <c r="N24" s="53">
        <f t="shared" ref="N24" si="56">SUM(N21:N23)</f>
        <v>86316.283008598664</v>
      </c>
      <c r="O24" s="53">
        <f t="shared" ref="O24" si="57">SUM(O21:O23)</f>
        <v>86799.623886018016</v>
      </c>
      <c r="P24" s="92">
        <f>SUM(P21:P23)</f>
        <v>90885.316640856734</v>
      </c>
      <c r="Q24" s="20">
        <f>Q26*-Q23/7</f>
        <v>97329.599999999991</v>
      </c>
      <c r="R24" s="20">
        <f>R26*-R23/7</f>
        <v>99837.36</v>
      </c>
      <c r="S24" s="20">
        <f t="shared" ref="S24:AC24" si="58">S26*-S23/7</f>
        <v>101243.52</v>
      </c>
      <c r="T24" s="20">
        <f t="shared" si="58"/>
        <v>101243.52</v>
      </c>
      <c r="U24" s="20">
        <f t="shared" si="58"/>
        <v>99377.279999999999</v>
      </c>
      <c r="V24" s="20">
        <f t="shared" si="58"/>
        <v>97977.60000000002</v>
      </c>
      <c r="W24" s="20">
        <f t="shared" si="58"/>
        <v>99338.400000000009</v>
      </c>
      <c r="X24" s="20">
        <f t="shared" si="58"/>
        <v>99338.400000000009</v>
      </c>
      <c r="Y24" s="20">
        <f t="shared" si="58"/>
        <v>98628.840000000011</v>
      </c>
      <c r="Z24" s="20">
        <f t="shared" si="58"/>
        <v>90881.028000000006</v>
      </c>
      <c r="AA24" s="20">
        <f t="shared" si="58"/>
        <v>90881.028000000006</v>
      </c>
      <c r="AB24" s="20">
        <f t="shared" si="58"/>
        <v>90881.028000000006</v>
      </c>
      <c r="AC24" s="20">
        <f t="shared" si="58"/>
        <v>90881.028000000006</v>
      </c>
    </row>
    <row r="25" spans="1:29" ht="15" customHeight="1" x14ac:dyDescent="0.35">
      <c r="A25" s="62"/>
      <c r="B25" s="57"/>
      <c r="C25" s="53"/>
      <c r="D25" s="53"/>
      <c r="E25" s="53"/>
      <c r="F25" s="53"/>
      <c r="G25" s="20"/>
      <c r="H25" s="53"/>
      <c r="I25" s="53"/>
      <c r="J25" s="53"/>
      <c r="K25" s="20"/>
      <c r="L25" s="53"/>
      <c r="M25" s="53"/>
      <c r="N25" s="53"/>
      <c r="O25" s="20"/>
      <c r="P25" s="20"/>
    </row>
    <row r="26" spans="1:29" ht="15" customHeight="1" x14ac:dyDescent="0.35">
      <c r="A26" s="62"/>
      <c r="B26" s="57" t="s">
        <v>120</v>
      </c>
      <c r="C26" s="53"/>
      <c r="D26" s="53">
        <f>D24/-D23*7</f>
        <v>315.17766435775923</v>
      </c>
      <c r="E26" s="53">
        <f t="shared" ref="E26:P26" si="59">E24/-E23*7</f>
        <v>212.18196356194693</v>
      </c>
      <c r="F26" s="53">
        <f t="shared" si="59"/>
        <v>231.2755431333631</v>
      </c>
      <c r="G26" s="53">
        <f t="shared" si="59"/>
        <v>271.26281919193531</v>
      </c>
      <c r="H26" s="53">
        <f t="shared" si="59"/>
        <v>196.26819324951282</v>
      </c>
      <c r="I26" s="53">
        <f t="shared" si="59"/>
        <v>187.29287824163339</v>
      </c>
      <c r="J26" s="53">
        <f t="shared" si="59"/>
        <v>219.38726123655408</v>
      </c>
      <c r="K26" s="53">
        <f t="shared" si="59"/>
        <v>233.75452046923112</v>
      </c>
      <c r="L26" s="53">
        <f t="shared" si="59"/>
        <v>215.52475077608383</v>
      </c>
      <c r="M26" s="53">
        <f t="shared" si="59"/>
        <v>185.50987828772259</v>
      </c>
      <c r="N26" s="53">
        <f t="shared" si="59"/>
        <v>188.40755367095943</v>
      </c>
      <c r="O26" s="53">
        <f t="shared" si="59"/>
        <v>193.29009648071994</v>
      </c>
      <c r="P26" s="53">
        <f t="shared" si="59"/>
        <v>200.82711856206814</v>
      </c>
      <c r="Q26" s="69">
        <v>200</v>
      </c>
      <c r="R26" s="69">
        <v>200</v>
      </c>
      <c r="S26" s="69">
        <v>200</v>
      </c>
      <c r="T26" s="69">
        <v>200</v>
      </c>
      <c r="U26" s="69">
        <v>200</v>
      </c>
      <c r="V26" s="69">
        <v>200</v>
      </c>
      <c r="W26" s="69">
        <v>200</v>
      </c>
      <c r="X26" s="69">
        <v>200</v>
      </c>
      <c r="Y26" s="69">
        <v>200</v>
      </c>
      <c r="Z26" s="69">
        <v>190</v>
      </c>
      <c r="AA26" s="69">
        <v>190</v>
      </c>
      <c r="AB26" s="69">
        <v>190</v>
      </c>
      <c r="AC26" s="69">
        <v>190</v>
      </c>
    </row>
    <row r="27" spans="1:29" ht="15" customHeight="1" x14ac:dyDescent="0.35">
      <c r="A27" s="62"/>
      <c r="B27" s="57" t="s">
        <v>118</v>
      </c>
      <c r="C27" s="53"/>
      <c r="D27" s="53"/>
      <c r="E27" s="53"/>
      <c r="F27" s="53"/>
      <c r="G27" s="20">
        <f>G24/-SUM(D23:G23)*28</f>
        <v>249.56179365658048</v>
      </c>
      <c r="H27" s="20">
        <f t="shared" ref="H27:P27" si="60">H24/-SUM(E23:H23)*28</f>
        <v>221.16367167026527</v>
      </c>
      <c r="I27" s="20">
        <f t="shared" si="60"/>
        <v>212.03582061311715</v>
      </c>
      <c r="J27" s="20">
        <f t="shared" si="60"/>
        <v>214.19782761206878</v>
      </c>
      <c r="K27" s="20">
        <f t="shared" si="60"/>
        <v>209.73662256528542</v>
      </c>
      <c r="L27" s="20">
        <f t="shared" si="60"/>
        <v>214.95321644498765</v>
      </c>
      <c r="M27" s="20">
        <f t="shared" si="60"/>
        <v>211.17728344553458</v>
      </c>
      <c r="N27" s="20">
        <f t="shared" si="60"/>
        <v>202.49924761521424</v>
      </c>
      <c r="O27" s="20">
        <f t="shared" si="60"/>
        <v>194.99983813262438</v>
      </c>
      <c r="P27" s="20">
        <f t="shared" si="60"/>
        <v>198.98666068411177</v>
      </c>
      <c r="Q27" s="20">
        <f t="shared" ref="Q27" si="61">Q24/-SUM(N23:Q23)*28</f>
        <v>210.85234371911221</v>
      </c>
      <c r="R27" s="20">
        <f t="shared" ref="R27" si="62">R24/-SUM(O23:R23)*28</f>
        <v>211.58104108296587</v>
      </c>
      <c r="S27" s="20">
        <f t="shared" ref="S27" si="63">S24/-SUM(P23:S23)*28</f>
        <v>208.2549310467501</v>
      </c>
      <c r="T27" s="20">
        <f t="shared" ref="T27" si="64">T24/-SUM(Q23:T23)*28</f>
        <v>202.66234292663157</v>
      </c>
      <c r="U27" s="20">
        <f t="shared" ref="U27" si="65">U24/-SUM(R23:U23)*28</f>
        <v>197.91260021616043</v>
      </c>
      <c r="V27" s="20">
        <f t="shared" ref="V27" si="66">V24/-SUM(S23:V23)*28</f>
        <v>196.0326721120187</v>
      </c>
      <c r="W27" s="20">
        <f t="shared" ref="W27" si="67">W24/-SUM(T23:W23)*28</f>
        <v>199.70688812896921</v>
      </c>
      <c r="X27" s="20">
        <f t="shared" ref="X27" si="68">X24/-SUM(U23:X23)*28</f>
        <v>200.66758295699978</v>
      </c>
      <c r="Y27" s="20">
        <f t="shared" ref="Y27" si="69">Y24/-SUM(V23:Y23)*28</f>
        <v>199.61147859443773</v>
      </c>
      <c r="Z27" s="20">
        <f t="shared" ref="Z27" si="70">Z24/-SUM(W23:Z23)*28</f>
        <v>185.01372776967028</v>
      </c>
      <c r="AA27" s="20">
        <f t="shared" ref="AA27" si="71">AA24/-SUM(X23:AA23)*28</f>
        <v>186.7598811515318</v>
      </c>
      <c r="AB27" s="20">
        <f t="shared" ref="AB27" si="72">AB24/-SUM(Y23:AB23)*28</f>
        <v>188.53930884984752</v>
      </c>
      <c r="AC27" s="20">
        <f t="shared" ref="AC27" si="73">AC24/-SUM(Z23:AC23)*28</f>
        <v>190.00000000000003</v>
      </c>
    </row>
    <row r="28" spans="1:29" ht="15" customHeight="1" x14ac:dyDescent="0.35">
      <c r="A28" s="62"/>
      <c r="B28" s="57" t="s">
        <v>119</v>
      </c>
      <c r="C28" s="53"/>
      <c r="D28" s="53"/>
      <c r="E28" s="53"/>
      <c r="F28" s="53"/>
      <c r="G28" s="20"/>
      <c r="H28" s="53"/>
      <c r="I28" s="53"/>
      <c r="J28" s="53"/>
      <c r="K28" s="20"/>
      <c r="L28" s="53"/>
      <c r="M28" s="53"/>
      <c r="N28" s="53"/>
      <c r="O28" s="20"/>
      <c r="P28" s="20">
        <f>P24/-SUM(D23:P23)*(13*7)</f>
        <v>222.32929711510434</v>
      </c>
      <c r="AC28" s="20">
        <f>AC24/-SUM(Q23:AC23)*(13*7)</f>
        <v>185.03989830689099</v>
      </c>
    </row>
    <row r="29" spans="1:29" ht="15" customHeight="1" x14ac:dyDescent="0.35">
      <c r="A29" s="62"/>
      <c r="B29" s="57"/>
      <c r="C29" s="53"/>
      <c r="D29" s="53"/>
      <c r="E29" s="53"/>
      <c r="F29" s="53"/>
      <c r="G29" s="20"/>
      <c r="H29" s="53"/>
      <c r="I29" s="53"/>
      <c r="J29" s="53"/>
      <c r="K29" s="20"/>
      <c r="L29" s="53"/>
      <c r="M29" s="53"/>
      <c r="N29" s="53"/>
      <c r="O29" s="20"/>
      <c r="P29" s="20"/>
    </row>
    <row r="30" spans="1:29" ht="15" customHeight="1" x14ac:dyDescent="0.35">
      <c r="A30" s="62" t="s">
        <v>101</v>
      </c>
      <c r="B30" s="57"/>
      <c r="C30" s="53"/>
      <c r="D30" s="54"/>
      <c r="E30" s="54"/>
      <c r="F30" s="54"/>
      <c r="G30" s="54"/>
      <c r="H30" s="54"/>
      <c r="I30" s="54"/>
      <c r="J30" s="54"/>
      <c r="K30" s="54"/>
      <c r="L30" s="54"/>
      <c r="M30" s="54"/>
      <c r="N30" s="54"/>
      <c r="P30" s="54"/>
    </row>
    <row r="31" spans="1:29" ht="15" customHeight="1" x14ac:dyDescent="0.35">
      <c r="A31" s="62"/>
      <c r="B31" s="57" t="s">
        <v>99</v>
      </c>
      <c r="C31" s="53"/>
      <c r="D31" s="53">
        <f>C34</f>
        <v>48883.000000000022</v>
      </c>
      <c r="E31" s="53">
        <f t="shared" ref="E31:P31" si="74">D34</f>
        <v>52024.1483870968</v>
      </c>
      <c r="F31" s="53">
        <f t="shared" si="74"/>
        <v>50881.387096774219</v>
      </c>
      <c r="G31" s="53">
        <f t="shared" si="74"/>
        <v>51819.567741935512</v>
      </c>
      <c r="H31" s="53">
        <f t="shared" si="74"/>
        <v>50921.580645161317</v>
      </c>
      <c r="I31" s="53">
        <f t="shared" si="74"/>
        <v>51455.745538279596</v>
      </c>
      <c r="J31" s="53">
        <f t="shared" si="74"/>
        <v>47099.499354946267</v>
      </c>
      <c r="K31" s="53">
        <f t="shared" si="74"/>
        <v>49977.499328279599</v>
      </c>
      <c r="L31" s="53">
        <f t="shared" si="74"/>
        <v>48019.994371296263</v>
      </c>
      <c r="M31" s="53">
        <f t="shared" si="74"/>
        <v>49812.617267586582</v>
      </c>
      <c r="N31" s="53">
        <f t="shared" si="74"/>
        <v>48824.279770812384</v>
      </c>
      <c r="O31" s="53">
        <f t="shared" si="74"/>
        <v>50053.817112747864</v>
      </c>
      <c r="P31" s="53">
        <f t="shared" si="74"/>
        <v>53287.506764360769</v>
      </c>
      <c r="Q31" s="20">
        <f>P34</f>
        <v>57714.987615973667</v>
      </c>
      <c r="R31" s="20">
        <f t="shared" ref="R31:AC31" si="75">Q34</f>
        <v>58397.760000000002</v>
      </c>
      <c r="S31" s="20">
        <f t="shared" si="75"/>
        <v>59902.416000000005</v>
      </c>
      <c r="T31" s="20">
        <f t="shared" si="75"/>
        <v>60746.112000000001</v>
      </c>
      <c r="U31" s="20">
        <f t="shared" si="75"/>
        <v>60746.112000000001</v>
      </c>
      <c r="V31" s="20">
        <f t="shared" si="75"/>
        <v>59626.368000000002</v>
      </c>
      <c r="W31" s="20">
        <f t="shared" si="75"/>
        <v>58786.560000000012</v>
      </c>
      <c r="X31" s="20">
        <f t="shared" si="75"/>
        <v>59603.040000000015</v>
      </c>
      <c r="Y31" s="20">
        <f t="shared" si="75"/>
        <v>59603.040000000015</v>
      </c>
      <c r="Z31" s="20">
        <f t="shared" si="75"/>
        <v>59177.304000000004</v>
      </c>
      <c r="AA31" s="20">
        <f t="shared" si="75"/>
        <v>62181.756000000001</v>
      </c>
      <c r="AB31" s="20">
        <f t="shared" si="75"/>
        <v>62181.756000000001</v>
      </c>
      <c r="AC31" s="20">
        <f t="shared" si="75"/>
        <v>62181.756000000001</v>
      </c>
    </row>
    <row r="32" spans="1:29" ht="15" customHeight="1" x14ac:dyDescent="0.35">
      <c r="A32" s="62"/>
      <c r="B32" s="57" t="s">
        <v>103</v>
      </c>
      <c r="C32" s="53"/>
      <c r="D32" s="53">
        <f>D22</f>
        <v>3916.3870967741941</v>
      </c>
      <c r="E32" s="53">
        <f t="shared" ref="E32:P32" si="76">E22</f>
        <v>1958.1935483870971</v>
      </c>
      <c r="F32" s="53">
        <f t="shared" si="76"/>
        <v>1713.4193548387098</v>
      </c>
      <c r="G32" s="53">
        <f t="shared" si="76"/>
        <v>2202.9677419354844</v>
      </c>
      <c r="H32" s="53">
        <f t="shared" si="76"/>
        <v>1680.8404544086018</v>
      </c>
      <c r="I32" s="53">
        <f t="shared" si="76"/>
        <v>1344.7666166666661</v>
      </c>
      <c r="J32" s="53">
        <f t="shared" si="76"/>
        <v>4303.2531733333317</v>
      </c>
      <c r="K32" s="53">
        <f t="shared" si="76"/>
        <v>3325.6078430166649</v>
      </c>
      <c r="L32" s="53">
        <f t="shared" si="76"/>
        <v>3041.7321479032248</v>
      </c>
      <c r="M32" s="53">
        <f t="shared" si="76"/>
        <v>2417.859251612902</v>
      </c>
      <c r="N32" s="53">
        <f t="shared" si="76"/>
        <v>2851.5357935483853</v>
      </c>
      <c r="O32" s="53">
        <f t="shared" si="76"/>
        <v>3626.7888774193534</v>
      </c>
      <c r="P32" s="53">
        <f t="shared" si="76"/>
        <v>7253.5777548387068</v>
      </c>
      <c r="Q32" s="20">
        <f>Q22</f>
        <v>9850.81935914325</v>
      </c>
      <c r="R32" s="53">
        <f t="shared" ref="R32:AC32" si="77">R22</f>
        <v>6002.0676000000094</v>
      </c>
      <c r="S32" s="53">
        <f t="shared" si="77"/>
        <v>4949.6831999999995</v>
      </c>
      <c r="T32" s="53">
        <f t="shared" si="77"/>
        <v>3543.523199999996</v>
      </c>
      <c r="U32" s="53">
        <f t="shared" si="77"/>
        <v>1611.9648000000016</v>
      </c>
      <c r="V32" s="53">
        <f t="shared" si="77"/>
        <v>2029.5360000000219</v>
      </c>
      <c r="W32" s="53">
        <f t="shared" si="77"/>
        <v>4837.6439999999857</v>
      </c>
      <c r="X32" s="53">
        <f t="shared" si="77"/>
        <v>3476.8439999999973</v>
      </c>
      <c r="Y32" s="53">
        <f t="shared" si="77"/>
        <v>2742.4493999999977</v>
      </c>
      <c r="Z32" s="53">
        <f t="shared" si="77"/>
        <v>-4399.5636000000086</v>
      </c>
      <c r="AA32" s="53">
        <f t="shared" si="77"/>
        <v>3348.2483999999968</v>
      </c>
      <c r="AB32" s="53">
        <f t="shared" si="77"/>
        <v>3348.2483999999968</v>
      </c>
      <c r="AC32" s="53">
        <f t="shared" si="77"/>
        <v>3348.2483999999968</v>
      </c>
    </row>
    <row r="33" spans="1:29" ht="15" customHeight="1" x14ac:dyDescent="0.35">
      <c r="A33" s="62"/>
      <c r="B33" s="57" t="s">
        <v>223</v>
      </c>
      <c r="C33" s="53"/>
      <c r="D33" s="54">
        <v>-775.23870967741937</v>
      </c>
      <c r="E33" s="54">
        <v>-3100.9548387096775</v>
      </c>
      <c r="F33" s="54">
        <v>-775.23870967741937</v>
      </c>
      <c r="G33" s="54">
        <v>-3100.9548387096775</v>
      </c>
      <c r="H33" s="54">
        <v>-1146.6755612903225</v>
      </c>
      <c r="I33" s="54">
        <v>-5701.0128000000004</v>
      </c>
      <c r="J33" s="54">
        <v>-1425.2532000000001</v>
      </c>
      <c r="K33" s="54">
        <v>-5283.1128000000008</v>
      </c>
      <c r="L33" s="54">
        <v>-1249.1092516129033</v>
      </c>
      <c r="M33" s="54">
        <v>-3406.1967483870962</v>
      </c>
      <c r="N33" s="54">
        <v>-1621.998451612903</v>
      </c>
      <c r="O33" s="54">
        <v>-393.0992258064515</v>
      </c>
      <c r="P33" s="54">
        <v>-2826.0969032258058</v>
      </c>
      <c r="Q33" s="66">
        <f>Q34-(Q31+Q32)</f>
        <v>-9168.0469751169221</v>
      </c>
      <c r="R33" s="66">
        <f t="shared" ref="R33:AC33" si="78">R34-(R31+R32)</f>
        <v>-4497.4116000000067</v>
      </c>
      <c r="S33" s="66">
        <f t="shared" si="78"/>
        <v>-4105.9872000000032</v>
      </c>
      <c r="T33" s="66">
        <f t="shared" si="78"/>
        <v>-3543.523199999996</v>
      </c>
      <c r="U33" s="66">
        <f t="shared" si="78"/>
        <v>-2731.7088000000003</v>
      </c>
      <c r="V33" s="66">
        <f t="shared" si="78"/>
        <v>-2869.3440000000119</v>
      </c>
      <c r="W33" s="66">
        <f t="shared" si="78"/>
        <v>-4021.1639999999825</v>
      </c>
      <c r="X33" s="66">
        <f t="shared" si="78"/>
        <v>-3476.8439999999973</v>
      </c>
      <c r="Y33" s="66">
        <f t="shared" si="78"/>
        <v>-3168.1854000000094</v>
      </c>
      <c r="Z33" s="66">
        <f t="shared" si="78"/>
        <v>7404.0156000000061</v>
      </c>
      <c r="AA33" s="66">
        <f t="shared" si="78"/>
        <v>-3348.2483999999968</v>
      </c>
      <c r="AB33" s="66">
        <f t="shared" si="78"/>
        <v>-3348.2483999999968</v>
      </c>
      <c r="AC33" s="66">
        <f t="shared" si="78"/>
        <v>-3348.2483999999968</v>
      </c>
    </row>
    <row r="34" spans="1:29" ht="15" customHeight="1" x14ac:dyDescent="0.35">
      <c r="A34" s="62"/>
      <c r="B34" s="57" t="s">
        <v>104</v>
      </c>
      <c r="C34" s="53">
        <f>'Monthly Balance Sheet'!E22</f>
        <v>48883.000000000022</v>
      </c>
      <c r="D34" s="53">
        <f>SUM(D31:D33)</f>
        <v>52024.1483870968</v>
      </c>
      <c r="E34" s="53">
        <f t="shared" ref="E34:P34" si="79">SUM(E31:E33)</f>
        <v>50881.387096774219</v>
      </c>
      <c r="F34" s="53">
        <f t="shared" si="79"/>
        <v>51819.567741935512</v>
      </c>
      <c r="G34" s="53">
        <f t="shared" si="79"/>
        <v>50921.580645161317</v>
      </c>
      <c r="H34" s="53">
        <f t="shared" si="79"/>
        <v>51455.745538279596</v>
      </c>
      <c r="I34" s="53">
        <f t="shared" si="79"/>
        <v>47099.499354946267</v>
      </c>
      <c r="J34" s="53">
        <f t="shared" si="79"/>
        <v>49977.499328279599</v>
      </c>
      <c r="K34" s="53">
        <f t="shared" si="79"/>
        <v>48019.994371296263</v>
      </c>
      <c r="L34" s="53">
        <f t="shared" si="79"/>
        <v>49812.617267586582</v>
      </c>
      <c r="M34" s="53">
        <f t="shared" si="79"/>
        <v>48824.279770812384</v>
      </c>
      <c r="N34" s="53">
        <f t="shared" si="79"/>
        <v>50053.817112747864</v>
      </c>
      <c r="O34" s="53">
        <f t="shared" si="79"/>
        <v>53287.506764360769</v>
      </c>
      <c r="P34" s="92">
        <f t="shared" si="79"/>
        <v>57714.987615973667</v>
      </c>
      <c r="Q34" s="20">
        <f>-Q23*Q36/7</f>
        <v>58397.760000000002</v>
      </c>
      <c r="R34" s="20">
        <f t="shared" ref="R34:AC34" si="80">-R23*R36/7</f>
        <v>59902.416000000005</v>
      </c>
      <c r="S34" s="20">
        <f t="shared" si="80"/>
        <v>60746.112000000001</v>
      </c>
      <c r="T34" s="20">
        <f t="shared" si="80"/>
        <v>60746.112000000001</v>
      </c>
      <c r="U34" s="20">
        <f t="shared" si="80"/>
        <v>59626.368000000002</v>
      </c>
      <c r="V34" s="20">
        <f t="shared" si="80"/>
        <v>58786.560000000012</v>
      </c>
      <c r="W34" s="20">
        <f t="shared" si="80"/>
        <v>59603.040000000015</v>
      </c>
      <c r="X34" s="20">
        <f t="shared" si="80"/>
        <v>59603.040000000015</v>
      </c>
      <c r="Y34" s="20">
        <f t="shared" si="80"/>
        <v>59177.304000000004</v>
      </c>
      <c r="Z34" s="20">
        <f t="shared" si="80"/>
        <v>62181.756000000001</v>
      </c>
      <c r="AA34" s="20">
        <f t="shared" si="80"/>
        <v>62181.756000000001</v>
      </c>
      <c r="AB34" s="20">
        <f t="shared" si="80"/>
        <v>62181.756000000001</v>
      </c>
      <c r="AC34" s="20">
        <f t="shared" si="80"/>
        <v>62181.756000000001</v>
      </c>
    </row>
    <row r="35" spans="1:29" ht="15" customHeight="1" x14ac:dyDescent="0.35">
      <c r="A35" s="62"/>
      <c r="B35" s="57"/>
      <c r="C35" s="53"/>
      <c r="D35" s="53"/>
      <c r="E35" s="53"/>
      <c r="F35" s="53"/>
      <c r="G35" s="53"/>
      <c r="H35" s="53"/>
      <c r="I35" s="53"/>
      <c r="J35" s="53"/>
      <c r="K35" s="53"/>
      <c r="L35" s="53"/>
      <c r="M35" s="53"/>
      <c r="N35" s="53"/>
      <c r="P35" s="53"/>
    </row>
    <row r="36" spans="1:29" ht="15" customHeight="1" x14ac:dyDescent="0.35">
      <c r="A36" s="62"/>
      <c r="B36" s="57" t="s">
        <v>122</v>
      </c>
      <c r="C36" s="53"/>
      <c r="D36" s="53">
        <f>D34/-D23*7</f>
        <v>181.46624629247069</v>
      </c>
      <c r="E36" s="53">
        <f t="shared" ref="E36:P36" si="81">E34/-E23*7</f>
        <v>120.80582506425836</v>
      </c>
      <c r="F36" s="53">
        <f t="shared" si="81"/>
        <v>135.56448400642722</v>
      </c>
      <c r="G36" s="53">
        <f t="shared" si="81"/>
        <v>156.38314523926522</v>
      </c>
      <c r="H36" s="53">
        <f t="shared" si="81"/>
        <v>116.20221316112669</v>
      </c>
      <c r="I36" s="53">
        <f t="shared" si="81"/>
        <v>103.68963518685923</v>
      </c>
      <c r="J36" s="53">
        <f t="shared" si="81"/>
        <v>126.58854461150101</v>
      </c>
      <c r="K36" s="53">
        <f t="shared" si="81"/>
        <v>128.54117515876024</v>
      </c>
      <c r="L36" s="53">
        <f t="shared" si="81"/>
        <v>122.66139137623991</v>
      </c>
      <c r="M36" s="53">
        <f t="shared" si="81"/>
        <v>104.50223406023096</v>
      </c>
      <c r="N36" s="53">
        <f t="shared" si="81"/>
        <v>109.25536764792085</v>
      </c>
      <c r="O36" s="53">
        <f t="shared" si="81"/>
        <v>118.66350178228663</v>
      </c>
      <c r="P36" s="53">
        <f t="shared" si="81"/>
        <v>127.53143289981034</v>
      </c>
      <c r="Q36" s="69">
        <v>120</v>
      </c>
      <c r="R36" s="69">
        <v>120</v>
      </c>
      <c r="S36" s="69">
        <v>120</v>
      </c>
      <c r="T36" s="69">
        <v>120</v>
      </c>
      <c r="U36" s="69">
        <v>120</v>
      </c>
      <c r="V36" s="69">
        <v>120</v>
      </c>
      <c r="W36" s="69">
        <v>120</v>
      </c>
      <c r="X36" s="69">
        <v>120</v>
      </c>
      <c r="Y36" s="69">
        <v>120</v>
      </c>
      <c r="Z36" s="69">
        <v>130</v>
      </c>
      <c r="AA36" s="69">
        <v>130</v>
      </c>
      <c r="AB36" s="69">
        <v>130</v>
      </c>
      <c r="AC36" s="69">
        <v>130</v>
      </c>
    </row>
    <row r="37" spans="1:29" ht="15" customHeight="1" x14ac:dyDescent="0.35">
      <c r="A37" s="62"/>
      <c r="B37" s="57" t="s">
        <v>124</v>
      </c>
      <c r="C37" s="53"/>
      <c r="D37" s="53"/>
      <c r="E37" s="53"/>
      <c r="F37" s="53"/>
      <c r="G37" s="53">
        <f>G34/-SUM(D23:G23)*28</f>
        <v>143.87249362012403</v>
      </c>
      <c r="H37" s="53">
        <f t="shared" ref="H37:P37" si="82">H34/-SUM(E23:H23)*28</f>
        <v>130.94178783341602</v>
      </c>
      <c r="I37" s="53">
        <f t="shared" si="82"/>
        <v>117.3878958577144</v>
      </c>
      <c r="J37" s="53">
        <f t="shared" si="82"/>
        <v>123.59419185747646</v>
      </c>
      <c r="K37" s="53">
        <f t="shared" si="82"/>
        <v>115.333777863431</v>
      </c>
      <c r="L37" s="53">
        <f t="shared" si="82"/>
        <v>122.33611459935416</v>
      </c>
      <c r="M37" s="53">
        <f t="shared" si="82"/>
        <v>118.96130872664982</v>
      </c>
      <c r="N37" s="53">
        <f t="shared" si="82"/>
        <v>117.42697846003475</v>
      </c>
      <c r="O37" s="53">
        <f t="shared" si="82"/>
        <v>119.71313616734811</v>
      </c>
      <c r="P37" s="53">
        <f t="shared" si="82"/>
        <v>126.36268521250548</v>
      </c>
      <c r="Q37" s="53">
        <f t="shared" ref="Q37" si="83">Q34/-SUM(N23:Q23)*28</f>
        <v>126.51140623146736</v>
      </c>
      <c r="R37" s="53">
        <f t="shared" ref="R37" si="84">R34/-SUM(O23:R23)*28</f>
        <v>126.94862464977953</v>
      </c>
      <c r="S37" s="53">
        <f t="shared" ref="S37" si="85">S34/-SUM(P23:S23)*28</f>
        <v>124.95295862805007</v>
      </c>
      <c r="T37" s="53">
        <f t="shared" ref="T37" si="86">T34/-SUM(Q23:T23)*28</f>
        <v>121.59740575597894</v>
      </c>
      <c r="U37" s="53">
        <f t="shared" ref="U37" si="87">U34/-SUM(R23:U23)*28</f>
        <v>118.74756012969625</v>
      </c>
      <c r="V37" s="53">
        <f t="shared" ref="V37" si="88">V34/-SUM(S23:V23)*28</f>
        <v>117.61960326721123</v>
      </c>
      <c r="W37" s="53">
        <f t="shared" ref="W37" si="89">W34/-SUM(T23:W23)*28</f>
        <v>119.82413287738154</v>
      </c>
      <c r="X37" s="53">
        <f t="shared" ref="X37" si="90">X34/-SUM(U23:X23)*28</f>
        <v>120.4005497741999</v>
      </c>
      <c r="Y37" s="53">
        <f t="shared" ref="Y37" si="91">Y34/-SUM(V23:Y23)*28</f>
        <v>119.76688715666265</v>
      </c>
      <c r="Z37" s="53">
        <f t="shared" ref="Z37" si="92">Z34/-SUM(W23:Z23)*28</f>
        <v>126.5883400529323</v>
      </c>
      <c r="AA37" s="53">
        <f t="shared" ref="AA37" si="93">AA34/-SUM(X23:AA23)*28</f>
        <v>127.78307657736386</v>
      </c>
      <c r="AB37" s="53">
        <f t="shared" ref="AB37" si="94">AB34/-SUM(Y23:AB23)*28</f>
        <v>129.00057973936936</v>
      </c>
      <c r="AC37" s="53">
        <f t="shared" ref="AC37" si="95">AC34/-SUM(Z23:AC23)*28</f>
        <v>130</v>
      </c>
    </row>
    <row r="38" spans="1:29" ht="15" customHeight="1" x14ac:dyDescent="0.35">
      <c r="A38" s="62"/>
      <c r="B38" s="57" t="s">
        <v>123</v>
      </c>
      <c r="C38" s="53"/>
      <c r="D38" s="53"/>
      <c r="E38" s="53"/>
      <c r="F38" s="53"/>
      <c r="G38" s="53"/>
      <c r="H38" s="53"/>
      <c r="I38" s="53"/>
      <c r="J38" s="53"/>
      <c r="K38" s="53"/>
      <c r="L38" s="53"/>
      <c r="M38" s="53"/>
      <c r="N38" s="53"/>
      <c r="P38" s="53">
        <f>P34/-SUM(D23:P23)*(13*7)</f>
        <v>141.18598145366397</v>
      </c>
      <c r="AC38" s="53">
        <f>AC34/-SUM(Q23:AC23)*(13*7)</f>
        <v>126.60624620997804</v>
      </c>
    </row>
    <row r="39" spans="1:29" ht="15" customHeight="1" x14ac:dyDescent="0.35">
      <c r="A39" s="62"/>
      <c r="B39" s="57"/>
      <c r="C39" s="53"/>
      <c r="D39" s="53"/>
      <c r="E39" s="53"/>
      <c r="F39" s="53"/>
      <c r="G39" s="53"/>
      <c r="H39" s="53"/>
      <c r="I39" s="53"/>
      <c r="J39" s="53"/>
      <c r="K39" s="53"/>
      <c r="L39" s="53"/>
      <c r="M39" s="53"/>
      <c r="N39" s="53"/>
      <c r="P39" s="53"/>
    </row>
    <row r="40" spans="1:29" ht="15" customHeight="1" x14ac:dyDescent="0.35">
      <c r="A40" s="62" t="s">
        <v>106</v>
      </c>
      <c r="B40" s="57"/>
      <c r="C40" s="53"/>
      <c r="D40" s="53"/>
      <c r="E40" s="53"/>
      <c r="F40" s="53"/>
      <c r="G40" s="53"/>
    </row>
    <row r="41" spans="1:29" ht="15" customHeight="1" x14ac:dyDescent="0.35">
      <c r="A41" s="62"/>
      <c r="B41" s="57" t="s">
        <v>99</v>
      </c>
      <c r="C41" s="53"/>
      <c r="D41" s="53">
        <f>C44</f>
        <v>9952</v>
      </c>
      <c r="E41" s="53">
        <f t="shared" ref="E41:P41" si="96">D44</f>
        <v>9138.1370967741932</v>
      </c>
      <c r="F41" s="53">
        <f t="shared" si="96"/>
        <v>10211.677419354837</v>
      </c>
      <c r="G41" s="53">
        <f t="shared" si="96"/>
        <v>9996.8225806451592</v>
      </c>
      <c r="H41" s="53">
        <f t="shared" si="96"/>
        <v>10471.354838709674</v>
      </c>
      <c r="I41" s="53">
        <f t="shared" si="96"/>
        <v>10097.421236817201</v>
      </c>
      <c r="J41" s="53">
        <f t="shared" si="96"/>
        <v>10891.243767483867</v>
      </c>
      <c r="K41" s="53">
        <f t="shared" si="96"/>
        <v>9907.4879034838668</v>
      </c>
      <c r="L41" s="53">
        <f t="shared" si="96"/>
        <v>10187.688462817201</v>
      </c>
      <c r="M41" s="53">
        <f t="shared" si="96"/>
        <v>9612.6979285161269</v>
      </c>
      <c r="N41" s="53">
        <f t="shared" si="96"/>
        <v>10918.120865290321</v>
      </c>
      <c r="O41" s="53">
        <f t="shared" si="96"/>
        <v>10866.138196903223</v>
      </c>
      <c r="P41" s="53">
        <f t="shared" si="96"/>
        <v>12050.359213677417</v>
      </c>
      <c r="Q41" s="20">
        <f>P44</f>
        <v>11990.295465290321</v>
      </c>
      <c r="R41" s="20">
        <f>Q44</f>
        <v>13433.237481538063</v>
      </c>
      <c r="S41" s="20">
        <f t="shared" ref="S41:AC41" si="97">R44</f>
        <v>13313.885386707405</v>
      </c>
      <c r="T41" s="20">
        <f t="shared" si="97"/>
        <v>14559.340417100073</v>
      </c>
      <c r="U41" s="20">
        <f t="shared" si="97"/>
        <v>14124.679500312055</v>
      </c>
      <c r="V41" s="20">
        <f t="shared" si="97"/>
        <v>14934.840150255885</v>
      </c>
      <c r="W41" s="20">
        <f t="shared" si="97"/>
        <v>14058.468108184235</v>
      </c>
      <c r="X41" s="20">
        <f t="shared" si="97"/>
        <v>14833.327048711073</v>
      </c>
      <c r="Y41" s="20">
        <f t="shared" si="97"/>
        <v>13985.378675071974</v>
      </c>
      <c r="Z41" s="20">
        <f t="shared" si="97"/>
        <v>14749.783833559019</v>
      </c>
      <c r="AA41" s="20">
        <f t="shared" si="97"/>
        <v>13624.218600162492</v>
      </c>
      <c r="AB41" s="20">
        <f t="shared" si="97"/>
        <v>14176.233492133244</v>
      </c>
      <c r="AC41" s="20">
        <f t="shared" si="97"/>
        <v>13211.262354335937</v>
      </c>
    </row>
    <row r="42" spans="1:29" ht="15" customHeight="1" x14ac:dyDescent="0.35">
      <c r="A42" s="62"/>
      <c r="B42" s="57" t="s">
        <v>107</v>
      </c>
      <c r="C42" s="53"/>
      <c r="D42" s="53">
        <f>('Weekly IS'!D12+'Weekly IS'!D17)*-1</f>
        <v>1797.0241935483873</v>
      </c>
      <c r="E42" s="53">
        <f>('Weekly IS'!E12+'Weekly IS'!E17)*-1</f>
        <v>2640.072580645161</v>
      </c>
      <c r="F42" s="53">
        <f>('Weekly IS'!F12+'Weekly IS'!F17)*-1</f>
        <v>2396.0322580645161</v>
      </c>
      <c r="G42" s="53">
        <f>('Weekly IS'!G12+'Weekly IS'!G17)*-1</f>
        <v>2041.0645161290322</v>
      </c>
      <c r="H42" s="53">
        <f>('Weekly IS'!H12+'Weekly IS'!H17)*-1</f>
        <v>2819.761011010753</v>
      </c>
      <c r="I42" s="53">
        <f>('Weekly IS'!I12+'Weekly IS'!I17)*-1</f>
        <v>2892.5026806666669</v>
      </c>
      <c r="J42" s="53">
        <f>('Weekly IS'!J12+'Weekly IS'!J17)*-1</f>
        <v>2514.0443860000005</v>
      </c>
      <c r="K42" s="53">
        <f>('Weekly IS'!K12+'Weekly IS'!K17)*-1</f>
        <v>2378.8807093333335</v>
      </c>
      <c r="L42" s="53">
        <f>('Weekly IS'!L12+'Weekly IS'!L17)*-1</f>
        <v>2712.7385366666667</v>
      </c>
      <c r="M42" s="53">
        <f>('Weekly IS'!M12+'Weekly IS'!M17)*-1</f>
        <v>3120.9494400000003</v>
      </c>
      <c r="N42" s="53">
        <f>('Weekly IS'!N12+'Weekly IS'!N17)*-1</f>
        <v>3060.3484799999997</v>
      </c>
      <c r="O42" s="53">
        <f>('Weekly IS'!O12+'Weekly IS'!O17)*-1</f>
        <v>2999.7475200000003</v>
      </c>
      <c r="P42" s="53">
        <f>('Weekly IS'!P12+'Weekly IS'!P17)*-1</f>
        <v>3023.0673999999999</v>
      </c>
      <c r="Q42" s="53">
        <f>('Weekly IS'!Q12+'Weekly IS'!Q17)*-1</f>
        <v>3601.1952000000006</v>
      </c>
      <c r="R42" s="53">
        <f>('Weekly IS'!R12+'Weekly IS'!R17)*-1</f>
        <v>3641.9544000000005</v>
      </c>
      <c r="S42" s="53">
        <f>('Weekly IS'!S12+'Weekly IS'!S17)*-1</f>
        <v>3641.9544000000005</v>
      </c>
      <c r="T42" s="53">
        <f>('Weekly IS'!T12+'Weekly IS'!T17)*-1</f>
        <v>3641.9544000000005</v>
      </c>
      <c r="U42" s="53">
        <f>('Weekly IS'!U12+'Weekly IS'!U17)*-1</f>
        <v>3352.6029600000002</v>
      </c>
      <c r="V42" s="53">
        <f>('Weekly IS'!V12+'Weekly IS'!V17)*-1</f>
        <v>3305.3832000000011</v>
      </c>
      <c r="W42" s="53">
        <f>('Weekly IS'!W12+'Weekly IS'!W17)*-1</f>
        <v>3305.3832000000011</v>
      </c>
      <c r="X42" s="53">
        <f>('Weekly IS'!X12+'Weekly IS'!X17)*-1</f>
        <v>3305.3832000000011</v>
      </c>
      <c r="Y42" s="53">
        <f>('Weekly IS'!Y12+'Weekly IS'!Y17)*-1</f>
        <v>3281.7733200000007</v>
      </c>
      <c r="Z42" s="53">
        <f>('Weekly IS'!Z12+'Weekly IS'!Z17)*-1</f>
        <v>3004.3742400000001</v>
      </c>
      <c r="AA42" s="53">
        <f>('Weekly IS'!AA12+'Weekly IS'!AA17)*-1</f>
        <v>3004.3742400000001</v>
      </c>
      <c r="AB42" s="53">
        <f>('Weekly IS'!AB12+'Weekly IS'!AB17)*-1</f>
        <v>3004.3742400000001</v>
      </c>
      <c r="AC42" s="53">
        <f>('Weekly IS'!AC12+'Weekly IS'!AC17)*-1</f>
        <v>3004.3742400000001</v>
      </c>
    </row>
    <row r="43" spans="1:29" ht="15" customHeight="1" x14ac:dyDescent="0.35">
      <c r="A43" s="62"/>
      <c r="B43" s="57" t="s">
        <v>224</v>
      </c>
      <c r="C43" s="53"/>
      <c r="D43" s="54">
        <v>-2610.8870967741932</v>
      </c>
      <c r="E43" s="54">
        <v>-1566.5322580645161</v>
      </c>
      <c r="F43" s="54">
        <v>-2610.8870967741932</v>
      </c>
      <c r="G43" s="54">
        <v>-1566.5322580645161</v>
      </c>
      <c r="H43" s="54">
        <v>-3193.6946129032258</v>
      </c>
      <c r="I43" s="54">
        <v>-2098.6801499999997</v>
      </c>
      <c r="J43" s="54">
        <v>-3497.8002499999998</v>
      </c>
      <c r="K43" s="54">
        <v>-2098.6801499999997</v>
      </c>
      <c r="L43" s="54">
        <v>-3287.7290709677413</v>
      </c>
      <c r="M43" s="54">
        <v>-1815.5265032258062</v>
      </c>
      <c r="N43" s="54">
        <v>-3112.3311483870962</v>
      </c>
      <c r="O43" s="54">
        <v>-1815.5265032258062</v>
      </c>
      <c r="P43" s="54">
        <v>-3083.1311483870963</v>
      </c>
      <c r="Q43" s="66">
        <f>-Q46*Q41</f>
        <v>-2158.2531837522579</v>
      </c>
      <c r="R43" s="66">
        <f>-R46*R41</f>
        <v>-3761.3064948306578</v>
      </c>
      <c r="S43" s="74">
        <f t="shared" ref="S43:AC43" si="98">-S46*S41</f>
        <v>-2396.4993696073329</v>
      </c>
      <c r="T43" s="74">
        <f t="shared" si="98"/>
        <v>-4076.6153167880207</v>
      </c>
      <c r="U43" s="74">
        <f t="shared" si="98"/>
        <v>-2542.4423100561698</v>
      </c>
      <c r="V43" s="74">
        <f t="shared" si="98"/>
        <v>-4181.7552420716484</v>
      </c>
      <c r="W43" s="74">
        <f t="shared" si="98"/>
        <v>-2530.5242594731621</v>
      </c>
      <c r="X43" s="74">
        <f t="shared" si="98"/>
        <v>-4153.3315736391005</v>
      </c>
      <c r="Y43" s="74">
        <f t="shared" si="98"/>
        <v>-2517.3681615129553</v>
      </c>
      <c r="Z43" s="74">
        <f t="shared" si="98"/>
        <v>-4129.9394733965255</v>
      </c>
      <c r="AA43" s="74">
        <f t="shared" si="98"/>
        <v>-2452.3593480292484</v>
      </c>
      <c r="AB43" s="74">
        <f t="shared" si="98"/>
        <v>-3969.3453777973086</v>
      </c>
      <c r="AC43" s="74">
        <f t="shared" si="98"/>
        <v>-2378.0272237804684</v>
      </c>
    </row>
    <row r="44" spans="1:29" ht="15" customHeight="1" x14ac:dyDescent="0.35">
      <c r="A44" s="62"/>
      <c r="B44" s="57" t="s">
        <v>114</v>
      </c>
      <c r="C44" s="53">
        <f>'Monthly Balance Sheet'!E23</f>
        <v>9952</v>
      </c>
      <c r="D44" s="53">
        <f>SUM(D41:D43)</f>
        <v>9138.1370967741932</v>
      </c>
      <c r="E44" s="53">
        <f t="shared" ref="E44:O44" si="99">SUM(E41:E43)</f>
        <v>10211.677419354837</v>
      </c>
      <c r="F44" s="53">
        <f t="shared" si="99"/>
        <v>9996.8225806451592</v>
      </c>
      <c r="G44" s="53">
        <f t="shared" si="99"/>
        <v>10471.354838709674</v>
      </c>
      <c r="H44" s="53">
        <f t="shared" si="99"/>
        <v>10097.421236817201</v>
      </c>
      <c r="I44" s="53">
        <f t="shared" si="99"/>
        <v>10891.243767483867</v>
      </c>
      <c r="J44" s="53">
        <f t="shared" si="99"/>
        <v>9907.4879034838668</v>
      </c>
      <c r="K44" s="53">
        <f t="shared" si="99"/>
        <v>10187.688462817201</v>
      </c>
      <c r="L44" s="53">
        <f t="shared" si="99"/>
        <v>9612.6979285161269</v>
      </c>
      <c r="M44" s="53">
        <f t="shared" si="99"/>
        <v>10918.120865290321</v>
      </c>
      <c r="N44" s="53">
        <f t="shared" si="99"/>
        <v>10866.138196903223</v>
      </c>
      <c r="O44" s="53">
        <f t="shared" si="99"/>
        <v>12050.359213677417</v>
      </c>
      <c r="P44" s="92">
        <f>SUM(P41:P43)</f>
        <v>11990.295465290321</v>
      </c>
      <c r="Q44" s="20">
        <f>SUM(Q41:Q43)</f>
        <v>13433.237481538063</v>
      </c>
      <c r="R44" s="20">
        <f>SUM(R41:R43)</f>
        <v>13313.885386707405</v>
      </c>
      <c r="S44" s="20">
        <f t="shared" ref="S44:AC44" si="100">SUM(S41:S43)</f>
        <v>14559.340417100073</v>
      </c>
      <c r="T44" s="20">
        <f t="shared" si="100"/>
        <v>14124.679500312055</v>
      </c>
      <c r="U44" s="20">
        <f t="shared" si="100"/>
        <v>14934.840150255885</v>
      </c>
      <c r="V44" s="20">
        <f t="shared" si="100"/>
        <v>14058.468108184235</v>
      </c>
      <c r="W44" s="20">
        <f t="shared" si="100"/>
        <v>14833.327048711073</v>
      </c>
      <c r="X44" s="20">
        <f t="shared" si="100"/>
        <v>13985.378675071974</v>
      </c>
      <c r="Y44" s="20">
        <f t="shared" si="100"/>
        <v>14749.783833559019</v>
      </c>
      <c r="Z44" s="20">
        <f t="shared" si="100"/>
        <v>13624.218600162492</v>
      </c>
      <c r="AA44" s="20">
        <f t="shared" si="100"/>
        <v>14176.233492133244</v>
      </c>
      <c r="AB44" s="20">
        <f t="shared" si="100"/>
        <v>13211.262354335937</v>
      </c>
      <c r="AC44" s="20">
        <f t="shared" si="100"/>
        <v>13837.60937055547</v>
      </c>
    </row>
    <row r="45" spans="1:29" ht="15" customHeight="1" x14ac:dyDescent="0.35">
      <c r="A45" s="62"/>
      <c r="B45" s="57"/>
      <c r="C45" s="53"/>
      <c r="D45" s="53"/>
      <c r="E45" s="53"/>
      <c r="F45" s="53"/>
      <c r="G45" s="53"/>
      <c r="H45" s="53"/>
      <c r="I45" s="53"/>
      <c r="J45" s="53"/>
      <c r="K45" s="53"/>
      <c r="L45" s="53"/>
      <c r="M45" s="53"/>
      <c r="N45" s="53"/>
      <c r="O45" s="53"/>
      <c r="P45" s="53"/>
    </row>
    <row r="46" spans="1:29" ht="15" customHeight="1" x14ac:dyDescent="0.35">
      <c r="A46" s="62"/>
      <c r="B46" s="57" t="s">
        <v>125</v>
      </c>
      <c r="C46" s="53"/>
      <c r="D46" s="79">
        <f>D43/D41*-1</f>
        <v>0.26234797998132969</v>
      </c>
      <c r="E46" s="79">
        <f t="shared" ref="E46:P46" si="101">E43/E41*-1</f>
        <v>0.17142796627744944</v>
      </c>
      <c r="F46" s="79">
        <f t="shared" si="101"/>
        <v>0.25567661311212336</v>
      </c>
      <c r="G46" s="79">
        <f t="shared" si="101"/>
        <v>0.15670301692634597</v>
      </c>
      <c r="H46" s="79">
        <f t="shared" si="101"/>
        <v>0.30499344756201258</v>
      </c>
      <c r="I46" s="79">
        <f t="shared" si="101"/>
        <v>0.20784318102406141</v>
      </c>
      <c r="J46" s="79">
        <f t="shared" si="101"/>
        <v>0.32115709873676562</v>
      </c>
      <c r="K46" s="79">
        <f t="shared" si="101"/>
        <v>0.21182767725227505</v>
      </c>
      <c r="L46" s="79">
        <f t="shared" si="101"/>
        <v>0.32271590194058464</v>
      </c>
      <c r="M46" s="79">
        <f t="shared" si="101"/>
        <v>0.18886752883808361</v>
      </c>
      <c r="N46" s="79">
        <f t="shared" si="101"/>
        <v>0.28506106378447177</v>
      </c>
      <c r="O46" s="79">
        <f t="shared" si="101"/>
        <v>0.16708111661447664</v>
      </c>
      <c r="P46" s="79">
        <f t="shared" si="101"/>
        <v>0.25585387901861684</v>
      </c>
      <c r="Q46" s="68">
        <v>0.18</v>
      </c>
      <c r="R46" s="68">
        <v>0.28000000000000003</v>
      </c>
      <c r="S46" s="68">
        <v>0.18</v>
      </c>
      <c r="T46" s="68">
        <v>0.28000000000000003</v>
      </c>
      <c r="U46" s="68">
        <v>0.18</v>
      </c>
      <c r="V46" s="68">
        <v>0.28000000000000003</v>
      </c>
      <c r="W46" s="68">
        <v>0.18</v>
      </c>
      <c r="X46" s="68">
        <v>0.28000000000000003</v>
      </c>
      <c r="Y46" s="68">
        <v>0.18</v>
      </c>
      <c r="Z46" s="68">
        <v>0.28000000000000003</v>
      </c>
      <c r="AA46" s="68">
        <v>0.18</v>
      </c>
      <c r="AB46" s="68">
        <v>0.28000000000000003</v>
      </c>
      <c r="AC46" s="68">
        <v>0.18</v>
      </c>
    </row>
    <row r="47" spans="1:29" ht="15" customHeight="1" x14ac:dyDescent="0.35">
      <c r="A47" s="62"/>
      <c r="B47" s="57"/>
      <c r="C47" s="53"/>
      <c r="D47" s="53"/>
      <c r="E47" s="53"/>
      <c r="F47" s="53"/>
      <c r="G47" s="53"/>
      <c r="H47" s="53"/>
      <c r="I47" s="53"/>
      <c r="J47" s="53"/>
      <c r="K47" s="53"/>
      <c r="L47" s="53"/>
      <c r="M47" s="53"/>
      <c r="N47" s="53"/>
      <c r="O47" s="53"/>
      <c r="P47" s="53"/>
    </row>
    <row r="48" spans="1:29" ht="15" customHeight="1" x14ac:dyDescent="0.35">
      <c r="A48" s="62" t="s">
        <v>38</v>
      </c>
      <c r="B48" s="53"/>
      <c r="C48" s="53"/>
      <c r="D48" s="53"/>
      <c r="E48" s="53"/>
      <c r="F48" s="53"/>
      <c r="G48" s="53"/>
    </row>
    <row r="49" spans="1:29" ht="15" customHeight="1" x14ac:dyDescent="0.35">
      <c r="A49" s="62"/>
      <c r="B49" s="57" t="s">
        <v>99</v>
      </c>
      <c r="C49" s="53"/>
      <c r="D49" s="53">
        <f>C52</f>
        <v>23332</v>
      </c>
      <c r="E49" s="53">
        <f t="shared" ref="E49:G49" si="102">D52</f>
        <v>23673.193548387098</v>
      </c>
      <c r="F49" s="53">
        <f t="shared" si="102"/>
        <v>24014.387096774197</v>
      </c>
      <c r="G49" s="53">
        <f t="shared" si="102"/>
        <v>24355.580645161295</v>
      </c>
      <c r="H49" s="53">
        <f t="shared" ref="H49:P49" si="103">G52</f>
        <v>24601.935483870973</v>
      </c>
      <c r="I49" s="53">
        <f t="shared" si="103"/>
        <v>25252.400613127913</v>
      </c>
      <c r="J49" s="53">
        <f t="shared" si="103"/>
        <v>25957.060513127912</v>
      </c>
      <c r="K49" s="53">
        <f t="shared" si="103"/>
        <v>26661.72041312791</v>
      </c>
      <c r="L49" s="53">
        <f t="shared" si="103"/>
        <v>27366.380313127909</v>
      </c>
      <c r="M49" s="53">
        <f t="shared" si="103"/>
        <v>27268.608938934358</v>
      </c>
      <c r="N49" s="53">
        <f t="shared" si="103"/>
        <v>27914.355906676294</v>
      </c>
      <c r="O49" s="53">
        <f t="shared" si="103"/>
        <v>28652.202874418228</v>
      </c>
      <c r="P49" s="53">
        <f t="shared" si="103"/>
        <v>29390.049842160162</v>
      </c>
      <c r="Q49" s="20">
        <f>P52</f>
        <v>28866.317971192417</v>
      </c>
      <c r="R49" s="20">
        <f t="shared" ref="R49:AC49" si="104">Q52</f>
        <v>29693.619571192416</v>
      </c>
      <c r="S49" s="20">
        <f t="shared" si="104"/>
        <v>30530.284771192415</v>
      </c>
      <c r="T49" s="20">
        <f t="shared" si="104"/>
        <v>31366.949971192415</v>
      </c>
      <c r="U49" s="20">
        <f t="shared" si="104"/>
        <v>32203.615171192414</v>
      </c>
      <c r="V49" s="20">
        <f t="shared" si="104"/>
        <v>31073.166371192412</v>
      </c>
      <c r="W49" s="20">
        <f t="shared" si="104"/>
        <v>31930.470371192412</v>
      </c>
      <c r="X49" s="20">
        <f t="shared" si="104"/>
        <v>32787.774371192412</v>
      </c>
      <c r="Y49" s="20">
        <f t="shared" si="104"/>
        <v>33645.078371192416</v>
      </c>
      <c r="Z49" s="20">
        <f t="shared" si="104"/>
        <v>31496.258771192413</v>
      </c>
      <c r="AA49" s="20">
        <f t="shared" si="104"/>
        <v>32265.450971192415</v>
      </c>
      <c r="AB49" s="20">
        <f t="shared" si="104"/>
        <v>33034.643171192416</v>
      </c>
      <c r="AC49" s="20">
        <f t="shared" si="104"/>
        <v>33803.835371192414</v>
      </c>
    </row>
    <row r="50" spans="1:29" ht="15" customHeight="1" x14ac:dyDescent="0.35">
      <c r="A50" s="62"/>
      <c r="B50" s="57" t="s">
        <v>108</v>
      </c>
      <c r="C50" s="53"/>
      <c r="D50" s="53">
        <f>'Weekly IS'!D18*-1</f>
        <v>341.19354838709677</v>
      </c>
      <c r="E50" s="53">
        <f>'Weekly IS'!E18*-1</f>
        <v>341.19354838709677</v>
      </c>
      <c r="F50" s="53">
        <f>'Weekly IS'!F18*-1</f>
        <v>341.19354838709677</v>
      </c>
      <c r="G50" s="53">
        <f>'Weekly IS'!G18*-1</f>
        <v>341.19354838709677</v>
      </c>
      <c r="H50" s="53">
        <f>'Weekly IS'!H18*-1</f>
        <v>650.46512925694014</v>
      </c>
      <c r="I50" s="53">
        <f>'Weekly IS'!I18*-1</f>
        <v>704.65989999999999</v>
      </c>
      <c r="J50" s="53">
        <f>'Weekly IS'!J18*-1</f>
        <v>704.65989999999999</v>
      </c>
      <c r="K50" s="53">
        <f>'Weekly IS'!K18*-1</f>
        <v>704.65989999999999</v>
      </c>
      <c r="L50" s="53">
        <f>'Weekly IS'!L18*-1</f>
        <v>704.65989999999999</v>
      </c>
      <c r="M50" s="53">
        <f>'Weekly IS'!M18*-1</f>
        <v>645.74696774193501</v>
      </c>
      <c r="N50" s="53">
        <f>'Weekly IS'!N18*-1</f>
        <v>737.84696774193526</v>
      </c>
      <c r="O50" s="53">
        <f>'Weekly IS'!O18*-1</f>
        <v>737.84696774193526</v>
      </c>
      <c r="P50" s="53">
        <f>'Weekly IS'!P18*-1</f>
        <v>737.84696774193526</v>
      </c>
      <c r="Q50" s="53">
        <f>-'Weekly IS'!Q18</f>
        <v>827.30160000000012</v>
      </c>
      <c r="R50" s="53">
        <f>-'Weekly IS'!R18</f>
        <v>836.66520000000014</v>
      </c>
      <c r="S50" s="53">
        <f>-'Weekly IS'!S18</f>
        <v>836.66520000000014</v>
      </c>
      <c r="T50" s="53">
        <f>-'Weekly IS'!T18</f>
        <v>836.66520000000014</v>
      </c>
      <c r="U50" s="53">
        <f>-'Weekly IS'!U18</f>
        <v>869.55119999999999</v>
      </c>
      <c r="V50" s="53">
        <f>-'Weekly IS'!V18</f>
        <v>857.3040000000002</v>
      </c>
      <c r="W50" s="53">
        <f>-'Weekly IS'!W18</f>
        <v>857.3040000000002</v>
      </c>
      <c r="X50" s="53">
        <f>-'Weekly IS'!X18</f>
        <v>857.3040000000002</v>
      </c>
      <c r="Y50" s="53">
        <f>-'Weekly IS'!Y18</f>
        <v>851.18040000000008</v>
      </c>
      <c r="Z50" s="53">
        <f>-'Weekly IS'!Z18</f>
        <v>769.19220000000007</v>
      </c>
      <c r="AA50" s="53">
        <f>-'Weekly IS'!AA18</f>
        <v>769.19220000000007</v>
      </c>
      <c r="AB50" s="53">
        <f>-'Weekly IS'!AB18</f>
        <v>769.19220000000007</v>
      </c>
      <c r="AC50" s="53">
        <f>-'Weekly IS'!AC18</f>
        <v>769.19220000000007</v>
      </c>
    </row>
    <row r="51" spans="1:29" ht="15" customHeight="1" x14ac:dyDescent="0.35">
      <c r="A51" s="62"/>
      <c r="B51" s="57" t="s">
        <v>109</v>
      </c>
      <c r="C51" s="104" t="s">
        <v>190</v>
      </c>
      <c r="D51" s="54">
        <v>0</v>
      </c>
      <c r="E51" s="54">
        <v>0</v>
      </c>
      <c r="F51" s="54">
        <v>0</v>
      </c>
      <c r="G51" s="54">
        <v>-94.838709677419359</v>
      </c>
      <c r="H51" s="54">
        <v>0</v>
      </c>
      <c r="I51" s="54">
        <v>0</v>
      </c>
      <c r="J51" s="54">
        <v>0</v>
      </c>
      <c r="K51" s="54">
        <v>0</v>
      </c>
      <c r="L51" s="54">
        <v>-802.43127419354869</v>
      </c>
      <c r="M51" s="54">
        <v>0</v>
      </c>
      <c r="N51" s="54">
        <v>0</v>
      </c>
      <c r="O51" s="54">
        <v>0</v>
      </c>
      <c r="P51" s="54">
        <v>-1261.5788387096802</v>
      </c>
      <c r="Q51" s="54">
        <v>0</v>
      </c>
      <c r="R51" s="54">
        <v>0</v>
      </c>
      <c r="S51" s="54">
        <v>0</v>
      </c>
      <c r="T51" s="54">
        <v>0</v>
      </c>
      <c r="U51" s="54">
        <v>-2000</v>
      </c>
      <c r="V51" s="54">
        <v>0</v>
      </c>
      <c r="W51" s="54">
        <v>0</v>
      </c>
      <c r="X51" s="54">
        <v>0</v>
      </c>
      <c r="Y51" s="54">
        <v>-3000</v>
      </c>
      <c r="Z51" s="54">
        <v>0</v>
      </c>
      <c r="AA51" s="54">
        <v>0</v>
      </c>
      <c r="AB51" s="54">
        <v>0</v>
      </c>
      <c r="AC51" s="54">
        <v>-2000</v>
      </c>
    </row>
    <row r="52" spans="1:29" ht="15" customHeight="1" x14ac:dyDescent="0.35">
      <c r="A52" s="62"/>
      <c r="B52" s="57" t="s">
        <v>110</v>
      </c>
      <c r="C52" s="53">
        <f>'Monthly Balance Sheet'!E24</f>
        <v>23332</v>
      </c>
      <c r="D52" s="53">
        <f>SUM(D49:D51)</f>
        <v>23673.193548387098</v>
      </c>
      <c r="E52" s="53">
        <f t="shared" ref="E52:G52" si="105">SUM(E49:E51)</f>
        <v>24014.387096774197</v>
      </c>
      <c r="F52" s="53">
        <f t="shared" si="105"/>
        <v>24355.580645161295</v>
      </c>
      <c r="G52" s="53">
        <f t="shared" si="105"/>
        <v>24601.935483870973</v>
      </c>
      <c r="H52" s="53">
        <f t="shared" ref="H52" si="106">SUM(H49:H51)</f>
        <v>25252.400613127913</v>
      </c>
      <c r="I52" s="53">
        <f t="shared" ref="I52" si="107">SUM(I49:I51)</f>
        <v>25957.060513127912</v>
      </c>
      <c r="J52" s="53">
        <f t="shared" ref="J52" si="108">SUM(J49:J51)</f>
        <v>26661.72041312791</v>
      </c>
      <c r="K52" s="53">
        <f t="shared" ref="K52" si="109">SUM(K49:K51)</f>
        <v>27366.380313127909</v>
      </c>
      <c r="L52" s="53">
        <f t="shared" ref="L52" si="110">SUM(L49:L51)</f>
        <v>27268.608938934358</v>
      </c>
      <c r="M52" s="53">
        <f t="shared" ref="M52" si="111">SUM(M49:M51)</f>
        <v>27914.355906676294</v>
      </c>
      <c r="N52" s="53">
        <f t="shared" ref="N52" si="112">SUM(N49:N51)</f>
        <v>28652.202874418228</v>
      </c>
      <c r="O52" s="53">
        <f t="shared" ref="O52" si="113">SUM(O49:O51)</f>
        <v>29390.049842160162</v>
      </c>
      <c r="P52" s="92">
        <f>SUM(P49:P51)</f>
        <v>28866.317971192417</v>
      </c>
      <c r="Q52" s="20">
        <f>SUM(Q49:Q51)</f>
        <v>29693.619571192416</v>
      </c>
      <c r="R52" s="20">
        <f t="shared" ref="R52:AC52" si="114">SUM(R49:R51)</f>
        <v>30530.284771192415</v>
      </c>
      <c r="S52" s="20">
        <f t="shared" si="114"/>
        <v>31366.949971192415</v>
      </c>
      <c r="T52" s="20">
        <f t="shared" si="114"/>
        <v>32203.615171192414</v>
      </c>
      <c r="U52" s="20">
        <f t="shared" si="114"/>
        <v>31073.166371192412</v>
      </c>
      <c r="V52" s="20">
        <f t="shared" si="114"/>
        <v>31930.470371192412</v>
      </c>
      <c r="W52" s="20">
        <f t="shared" si="114"/>
        <v>32787.774371192412</v>
      </c>
      <c r="X52" s="20">
        <f t="shared" si="114"/>
        <v>33645.078371192416</v>
      </c>
      <c r="Y52" s="20">
        <f t="shared" si="114"/>
        <v>31496.258771192413</v>
      </c>
      <c r="Z52" s="20">
        <f t="shared" si="114"/>
        <v>32265.450971192415</v>
      </c>
      <c r="AA52" s="20">
        <f t="shared" si="114"/>
        <v>33034.643171192416</v>
      </c>
      <c r="AB52" s="20">
        <f t="shared" si="114"/>
        <v>33803.835371192414</v>
      </c>
      <c r="AC52" s="20">
        <f t="shared" si="114"/>
        <v>32573.027571192411</v>
      </c>
    </row>
    <row r="53" spans="1:29" ht="15" customHeight="1" x14ac:dyDescent="0.35">
      <c r="A53" s="62"/>
      <c r="B53" s="60"/>
      <c r="C53" s="53"/>
      <c r="D53" s="53"/>
      <c r="E53" s="53"/>
      <c r="F53" s="53"/>
      <c r="G53" s="53"/>
    </row>
    <row r="55" spans="1:29" ht="15" customHeight="1" x14ac:dyDescent="0.35">
      <c r="A55" s="12" t="s">
        <v>155</v>
      </c>
    </row>
    <row r="56" spans="1:29" ht="15" customHeight="1" x14ac:dyDescent="0.35">
      <c r="B56" s="66" t="s">
        <v>156</v>
      </c>
      <c r="D56" s="66">
        <f>C59</f>
        <v>89139</v>
      </c>
      <c r="E56" s="66">
        <f t="shared" ref="E56:P56" si="115">D59</f>
        <v>88922.677419354834</v>
      </c>
      <c r="F56" s="66">
        <f t="shared" si="115"/>
        <v>88706.354838709667</v>
      </c>
      <c r="G56" s="66">
        <f t="shared" si="115"/>
        <v>88490.032258064501</v>
      </c>
      <c r="H56" s="66">
        <f t="shared" si="115"/>
        <v>88273.709677419334</v>
      </c>
      <c r="I56" s="66">
        <f t="shared" si="115"/>
        <v>87847.280645161271</v>
      </c>
      <c r="J56" s="66">
        <f t="shared" si="115"/>
        <v>87307.313978494596</v>
      </c>
      <c r="K56" s="66">
        <f t="shared" si="115"/>
        <v>86797.013978494593</v>
      </c>
      <c r="L56" s="66">
        <f t="shared" si="115"/>
        <v>86286.71397849459</v>
      </c>
      <c r="M56" s="66">
        <f t="shared" si="115"/>
        <v>85928.201290322555</v>
      </c>
      <c r="N56" s="66">
        <f t="shared" si="115"/>
        <v>85697.973548387075</v>
      </c>
      <c r="O56" s="66">
        <f t="shared" si="115"/>
        <v>85467.745806451596</v>
      </c>
      <c r="P56" s="66">
        <f t="shared" si="115"/>
        <v>85237.518064516116</v>
      </c>
      <c r="Q56" s="66">
        <f>P59</f>
        <v>85007.290322580637</v>
      </c>
      <c r="R56" s="74">
        <f t="shared" ref="R56:T56" si="116">Q59</f>
        <v>84784.758765161285</v>
      </c>
      <c r="S56" s="74">
        <f t="shared" si="116"/>
        <v>84563.509905161292</v>
      </c>
      <c r="T56" s="74">
        <f t="shared" si="116"/>
        <v>84342.2610451613</v>
      </c>
      <c r="U56" s="74">
        <f t="shared" ref="U56:X56" si="117">T59</f>
        <v>84121.012185161308</v>
      </c>
      <c r="V56" s="74">
        <f t="shared" si="117"/>
        <v>83912.406117161299</v>
      </c>
      <c r="W56" s="74">
        <f t="shared" si="117"/>
        <v>83713.282143161297</v>
      </c>
      <c r="X56" s="74">
        <f t="shared" si="117"/>
        <v>83514.158169161296</v>
      </c>
      <c r="Y56" s="74">
        <f t="shared" ref="Y56:AC56" si="118">X59</f>
        <v>83315.034195161294</v>
      </c>
      <c r="Z56" s="74">
        <f t="shared" si="118"/>
        <v>83117.901460901296</v>
      </c>
      <c r="AA56" s="74">
        <f t="shared" si="118"/>
        <v>82932.716165081292</v>
      </c>
      <c r="AB56" s="74">
        <f t="shared" si="118"/>
        <v>82747.530869261289</v>
      </c>
      <c r="AC56" s="74">
        <f t="shared" si="118"/>
        <v>82562.345573441286</v>
      </c>
    </row>
    <row r="57" spans="1:29" ht="15" customHeight="1" x14ac:dyDescent="0.35">
      <c r="B57" s="66" t="s">
        <v>157</v>
      </c>
      <c r="D57" s="76">
        <f>D7*'Monthly Rollforward'!$E$43</f>
        <v>1129.0322580645161</v>
      </c>
      <c r="E57" s="76">
        <f>E7*'Monthly Rollforward'!$E$43</f>
        <v>1129.0322580645161</v>
      </c>
      <c r="F57" s="76">
        <f>F7*'Monthly Rollforward'!$E$43</f>
        <v>1129.0322580645161</v>
      </c>
      <c r="G57" s="76">
        <f>G7*'Monthly Rollforward'!$E$43</f>
        <v>1129.0322580645161</v>
      </c>
      <c r="H57" s="66">
        <f>(H8*'Monthly Rollforward'!$F$43+H7*'Monthly Rollforward'!$G$43)</f>
        <v>1017.2043010752689</v>
      </c>
      <c r="I57" s="66">
        <f>(I8*'Monthly Rollforward'!$F$43+I7*'Monthly Rollforward'!$G$43)</f>
        <v>933.33333333333337</v>
      </c>
      <c r="J57" s="66">
        <f>(J8*'Monthly Rollforward'!$F$43+J7*'Monthly Rollforward'!$G$43)</f>
        <v>933.33333333333337</v>
      </c>
      <c r="K57" s="66">
        <f>(K8*'Monthly Rollforward'!$F$43+K7*'Monthly Rollforward'!$G$43)</f>
        <v>933.33333333333337</v>
      </c>
      <c r="L57" s="66">
        <f>(L8*'Monthly Rollforward'!$G$43+L7*'Monthly Rollforward'!$H$43)</f>
        <v>989.24731182795699</v>
      </c>
      <c r="M57" s="66">
        <f>(M8*'Monthly Rollforward'!$G$43+M7*'Monthly Rollforward'!$H$43)</f>
        <v>1129.0322580645161</v>
      </c>
      <c r="N57" s="66">
        <f>(N8*'Monthly Rollforward'!$G$43+N7*'Monthly Rollforward'!$H$43)</f>
        <v>1129.0322580645161</v>
      </c>
      <c r="O57" s="66">
        <f>(O8*'Monthly Rollforward'!$G$43+O7*'Monthly Rollforward'!$H$43)</f>
        <v>1129.0322580645161</v>
      </c>
      <c r="P57" s="66">
        <f>(P8*'Monthly Rollforward'!$G$43+P7*'Monthly Rollforward'!$H$43)</f>
        <v>1129.0322580645161</v>
      </c>
      <c r="Q57" s="66">
        <f>'Weekly Rollforward'!Q8*'Monthly Rollforward'!$H$43+'Monthly Rollforward'!$I$43*'Weekly Rollforward'!Q7</f>
        <v>1161.2903225806451</v>
      </c>
      <c r="R57" s="74">
        <f>'Weekly Rollforward'!R8*'Monthly Rollforward'!$H$43+'Monthly Rollforward'!$I$43*'Weekly Rollforward'!R7</f>
        <v>1166.6666666666665</v>
      </c>
      <c r="S57" s="74">
        <f>'Weekly Rollforward'!S8*'Monthly Rollforward'!$H$43+'Monthly Rollforward'!$I$43*'Weekly Rollforward'!S7</f>
        <v>1166.6666666666665</v>
      </c>
      <c r="T57" s="74">
        <f>'Weekly Rollforward'!T8*'Monthly Rollforward'!$H$43+'Monthly Rollforward'!$I$43*'Weekly Rollforward'!T7</f>
        <v>1166.6666666666665</v>
      </c>
      <c r="U57" s="74">
        <f>'Weekly Rollforward'!U8*'Monthly Rollforward'!$I$43+'Monthly Rollforward'!$J$43*'Weekly Rollforward'!U7</f>
        <v>1145.1612903225805</v>
      </c>
      <c r="V57" s="74">
        <f>'Weekly Rollforward'!V8*'Monthly Rollforward'!$I$43+'Monthly Rollforward'!$J$43*'Weekly Rollforward'!V7</f>
        <v>1129.0322580645161</v>
      </c>
      <c r="W57" s="74">
        <f>'Weekly Rollforward'!W8*'Monthly Rollforward'!$I$43+'Monthly Rollforward'!$J$43*'Weekly Rollforward'!W7</f>
        <v>1129.0322580645161</v>
      </c>
      <c r="X57" s="74">
        <f>'Weekly Rollforward'!X8*'Monthly Rollforward'!$I$43+'Monthly Rollforward'!$J$43*'Weekly Rollforward'!X7</f>
        <v>1129.0322580645161</v>
      </c>
      <c r="Y57" s="74">
        <f>'Weekly Rollforward'!Y8*'Monthly Rollforward'!$J$43+'Monthly Rollforward'!$K$43*'Weekly Rollforward'!Y7</f>
        <v>1129.0322580645161</v>
      </c>
      <c r="Z57" s="74">
        <f>'Weekly Rollforward'!Z8*'Monthly Rollforward'!$J$43+'Monthly Rollforward'!$K$43*'Weekly Rollforward'!Z7</f>
        <v>1129.0322580645161</v>
      </c>
      <c r="AA57" s="74">
        <f>'Weekly Rollforward'!AA8*'Monthly Rollforward'!$J$43+'Monthly Rollforward'!$K$43*'Weekly Rollforward'!AA7</f>
        <v>1129.0322580645161</v>
      </c>
      <c r="AB57" s="74">
        <f>'Weekly Rollforward'!AB8*'Monthly Rollforward'!$J$43+'Monthly Rollforward'!$K$43*'Weekly Rollforward'!AB7</f>
        <v>1129.0322580645161</v>
      </c>
      <c r="AC57" s="74">
        <f>'Weekly Rollforward'!AC8*'Monthly Rollforward'!$J$43+'Monthly Rollforward'!$K$43*'Weekly Rollforward'!AC7</f>
        <v>1129.0322580645161</v>
      </c>
    </row>
    <row r="58" spans="1:29" ht="15" customHeight="1" x14ac:dyDescent="0.35">
      <c r="B58" s="66" t="s">
        <v>158</v>
      </c>
      <c r="D58" s="66">
        <f>'Weekly IS'!D14</f>
        <v>-1345.3548387096773</v>
      </c>
      <c r="E58" s="66">
        <f>'Weekly IS'!E14</f>
        <v>-1345.3548387096773</v>
      </c>
      <c r="F58" s="66">
        <f>'Weekly IS'!F14</f>
        <v>-1345.3548387096773</v>
      </c>
      <c r="G58" s="66">
        <f>'Weekly IS'!G14</f>
        <v>-1345.3548387096773</v>
      </c>
      <c r="H58" s="66">
        <f>'Weekly IS'!H14</f>
        <v>-1443.6333333333332</v>
      </c>
      <c r="I58" s="66">
        <f>'Weekly IS'!I14</f>
        <v>-1473.3</v>
      </c>
      <c r="J58" s="66">
        <f>'Weekly IS'!J14</f>
        <v>-1443.6333333333332</v>
      </c>
      <c r="K58" s="66">
        <f>'Weekly IS'!K14</f>
        <v>-1443.6333333333332</v>
      </c>
      <c r="L58" s="66">
        <f>'Weekly IS'!L14</f>
        <v>-1347.76</v>
      </c>
      <c r="M58" s="66">
        <f>'Weekly IS'!M14</f>
        <v>-1359.2600000000002</v>
      </c>
      <c r="N58" s="66">
        <f>'Weekly IS'!N14</f>
        <v>-1359.2600000000002</v>
      </c>
      <c r="O58" s="66">
        <f>'Weekly IS'!O14</f>
        <v>-1359.2600000000002</v>
      </c>
      <c r="P58" s="66">
        <f>'Weekly IS'!P14</f>
        <v>-1359.2600000000002</v>
      </c>
      <c r="Q58" s="66">
        <f>'Weekly IS'!Q14</f>
        <v>-1383.8218800000002</v>
      </c>
      <c r="R58" s="74">
        <f>'Weekly IS'!R14</f>
        <v>-1387.9155266666667</v>
      </c>
      <c r="S58" s="74">
        <f>'Weekly IS'!S14</f>
        <v>-1387.9155266666667</v>
      </c>
      <c r="T58" s="74">
        <f>'Weekly IS'!T14</f>
        <v>-1387.9155266666667</v>
      </c>
      <c r="U58" s="74">
        <f>'Weekly IS'!U14</f>
        <v>-1353.7673583225805</v>
      </c>
      <c r="V58" s="74">
        <f>'Weekly IS'!V14</f>
        <v>-1328.156232064516</v>
      </c>
      <c r="W58" s="74">
        <f>'Weekly IS'!W14</f>
        <v>-1328.156232064516</v>
      </c>
      <c r="X58" s="74">
        <f>'Weekly IS'!X14</f>
        <v>-1328.156232064516</v>
      </c>
      <c r="Y58" s="74">
        <f>'Weekly IS'!Y14</f>
        <v>-1326.1649923245161</v>
      </c>
      <c r="Z58" s="74">
        <f>'Weekly IS'!Z14</f>
        <v>-1314.2175538845161</v>
      </c>
      <c r="AA58" s="74">
        <f>'Weekly IS'!AA14</f>
        <v>-1314.2175538845161</v>
      </c>
      <c r="AB58" s="74">
        <f>'Weekly IS'!AB14</f>
        <v>-1314.2175538845161</v>
      </c>
      <c r="AC58" s="74">
        <f>'Weekly IS'!AC14</f>
        <v>-1314.2175538845161</v>
      </c>
    </row>
    <row r="59" spans="1:29" ht="15" customHeight="1" x14ac:dyDescent="0.35">
      <c r="B59" s="66" t="s">
        <v>159</v>
      </c>
      <c r="C59" s="66">
        <f>'Monthly Rollforward'!E41</f>
        <v>89139</v>
      </c>
      <c r="D59" s="66">
        <f>SUM(D56:D58)</f>
        <v>88922.677419354834</v>
      </c>
      <c r="E59" s="66">
        <f t="shared" ref="E59:O59" si="119">SUM(E56:E58)</f>
        <v>88706.354838709667</v>
      </c>
      <c r="F59" s="66">
        <f t="shared" si="119"/>
        <v>88490.032258064501</v>
      </c>
      <c r="G59" s="66">
        <f t="shared" si="119"/>
        <v>88273.709677419334</v>
      </c>
      <c r="H59" s="66">
        <f t="shared" si="119"/>
        <v>87847.280645161271</v>
      </c>
      <c r="I59" s="66">
        <f t="shared" si="119"/>
        <v>87307.313978494596</v>
      </c>
      <c r="J59" s="66">
        <f t="shared" si="119"/>
        <v>86797.013978494593</v>
      </c>
      <c r="K59" s="66">
        <f t="shared" si="119"/>
        <v>86286.71397849459</v>
      </c>
      <c r="L59" s="66">
        <f t="shared" si="119"/>
        <v>85928.201290322555</v>
      </c>
      <c r="M59" s="66">
        <f t="shared" si="119"/>
        <v>85697.973548387075</v>
      </c>
      <c r="N59" s="66">
        <f t="shared" si="119"/>
        <v>85467.745806451596</v>
      </c>
      <c r="O59" s="66">
        <f t="shared" si="119"/>
        <v>85237.518064516116</v>
      </c>
      <c r="P59" s="92">
        <f>SUM(P56:P58)</f>
        <v>85007.290322580637</v>
      </c>
      <c r="Q59" s="20">
        <f>SUM(Q56:Q58)</f>
        <v>84784.758765161285</v>
      </c>
      <c r="R59" s="20">
        <f t="shared" ref="R59:U59" si="120">SUM(R56:R58)</f>
        <v>84563.509905161292</v>
      </c>
      <c r="S59" s="20">
        <f t="shared" si="120"/>
        <v>84342.2610451613</v>
      </c>
      <c r="T59" s="20">
        <f t="shared" si="120"/>
        <v>84121.012185161308</v>
      </c>
      <c r="U59" s="20">
        <f t="shared" si="120"/>
        <v>83912.406117161299</v>
      </c>
      <c r="V59" s="20">
        <f t="shared" ref="V59" si="121">SUM(V56:V58)</f>
        <v>83713.282143161297</v>
      </c>
      <c r="W59" s="20">
        <f t="shared" ref="W59" si="122">SUM(W56:W58)</f>
        <v>83514.158169161296</v>
      </c>
      <c r="X59" s="20">
        <f t="shared" ref="X59:Y59" si="123">SUM(X56:X58)</f>
        <v>83315.034195161294</v>
      </c>
      <c r="Y59" s="20">
        <f t="shared" si="123"/>
        <v>83117.901460901296</v>
      </c>
      <c r="Z59" s="20">
        <f t="shared" ref="Z59" si="124">SUM(Z56:Z58)</f>
        <v>82932.716165081292</v>
      </c>
      <c r="AA59" s="20">
        <f t="shared" ref="AA59" si="125">SUM(AA56:AA58)</f>
        <v>82747.530869261289</v>
      </c>
      <c r="AB59" s="20">
        <f t="shared" ref="AB59" si="126">SUM(AB56:AB58)</f>
        <v>82562.345573441286</v>
      </c>
      <c r="AC59" s="20">
        <f t="shared" ref="AC59" si="127">SUM(AC56:AC58)</f>
        <v>82377.160277621282</v>
      </c>
    </row>
  </sheetData>
  <pageMargins left="0.7" right="0.7" top="0.75" bottom="0.75" header="0.3" footer="0.3"/>
  <pageSetup paperSize="9" orientation="landscape" verticalDpi="1200" r:id="rId1"/>
  <headerFooter>
    <oddHeader xml:space="preserve">&amp;R&amp;10&amp;F 
&amp;A
</oddHeader>
    <oddFooter>&amp;L&amp;10© 2020&amp;C&amp;10Page &amp;P of &amp;N&amp;R&amp;G</oddFooter>
  </headerFooter>
  <legacyDrawing r:id="rId2"/>
  <legacyDrawingHF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0CF7D9-6A4B-4533-8AA6-7F4CF83047C2}">
  <dimension ref="A1:AC26"/>
  <sheetViews>
    <sheetView zoomScaleNormal="100" workbookViewId="0"/>
  </sheetViews>
  <sheetFormatPr defaultColWidth="9.08984375" defaultRowHeight="15" customHeight="1" x14ac:dyDescent="0.35"/>
  <cols>
    <col min="1" max="1" width="1.54296875" style="12" customWidth="1"/>
    <col min="2" max="2" width="40.54296875" style="66" customWidth="1"/>
    <col min="3" max="29" width="11.6328125" style="66" customWidth="1"/>
    <col min="30" max="16384" width="9.08984375" style="66"/>
  </cols>
  <sheetData>
    <row r="1" spans="1:29" ht="45" customHeight="1" x14ac:dyDescent="0.65">
      <c r="A1" s="4" t="str">
        <f>Welcome!A2</f>
        <v>13-Week Cash Flow Model</v>
      </c>
      <c r="B1" s="7"/>
      <c r="C1" s="9"/>
      <c r="D1" s="9"/>
      <c r="E1" s="9"/>
      <c r="F1" s="9"/>
      <c r="G1" s="9"/>
      <c r="H1" s="9"/>
      <c r="I1" s="9"/>
      <c r="J1" s="9"/>
      <c r="K1" s="9"/>
      <c r="L1" s="9"/>
      <c r="M1" s="9"/>
      <c r="N1" s="9"/>
      <c r="O1" s="9"/>
      <c r="P1" s="9"/>
      <c r="Q1" s="9"/>
      <c r="R1" s="9"/>
      <c r="S1" s="9"/>
      <c r="T1" s="9"/>
      <c r="U1" s="9"/>
      <c r="V1" s="9"/>
      <c r="W1" s="9"/>
      <c r="X1" s="9"/>
      <c r="Y1" s="9"/>
      <c r="Z1" s="9"/>
      <c r="AA1" s="9"/>
      <c r="AB1" s="9"/>
      <c r="AC1" s="9"/>
    </row>
    <row r="2" spans="1:29" ht="21" x14ac:dyDescent="0.5">
      <c r="A2" s="11"/>
      <c r="B2" s="6"/>
      <c r="C2" s="56"/>
      <c r="D2" s="56" t="s">
        <v>73</v>
      </c>
      <c r="E2" s="56" t="s">
        <v>73</v>
      </c>
      <c r="F2" s="56" t="s">
        <v>73</v>
      </c>
      <c r="G2" s="56" t="s">
        <v>73</v>
      </c>
      <c r="H2" s="56" t="s">
        <v>73</v>
      </c>
      <c r="I2" s="56" t="s">
        <v>73</v>
      </c>
      <c r="J2" s="56" t="s">
        <v>73</v>
      </c>
      <c r="K2" s="56" t="s">
        <v>73</v>
      </c>
      <c r="L2" s="56" t="s">
        <v>73</v>
      </c>
      <c r="M2" s="56" t="s">
        <v>73</v>
      </c>
      <c r="N2" s="56" t="s">
        <v>73</v>
      </c>
      <c r="O2" s="56" t="s">
        <v>73</v>
      </c>
      <c r="P2" s="56" t="s">
        <v>73</v>
      </c>
      <c r="Q2" s="56" t="s">
        <v>74</v>
      </c>
      <c r="R2" s="56" t="s">
        <v>74</v>
      </c>
      <c r="S2" s="56" t="s">
        <v>74</v>
      </c>
      <c r="T2" s="56" t="s">
        <v>74</v>
      </c>
      <c r="U2" s="56" t="s">
        <v>74</v>
      </c>
      <c r="V2" s="56" t="s">
        <v>74</v>
      </c>
      <c r="W2" s="56" t="s">
        <v>74</v>
      </c>
      <c r="X2" s="56" t="s">
        <v>74</v>
      </c>
      <c r="Y2" s="56" t="s">
        <v>74</v>
      </c>
      <c r="Z2" s="56" t="s">
        <v>74</v>
      </c>
      <c r="AA2" s="56" t="s">
        <v>74</v>
      </c>
      <c r="AB2" s="56" t="s">
        <v>74</v>
      </c>
      <c r="AC2" s="56" t="s">
        <v>74</v>
      </c>
    </row>
    <row r="3" spans="1:29" ht="21" x14ac:dyDescent="0.5">
      <c r="A3" s="11"/>
      <c r="B3" s="6"/>
      <c r="C3" s="56">
        <v>0</v>
      </c>
      <c r="D3" s="56">
        <v>1</v>
      </c>
      <c r="E3" s="56">
        <f>D3+1</f>
        <v>2</v>
      </c>
      <c r="F3" s="56">
        <f t="shared" ref="F3:M3" si="0">E3+1</f>
        <v>3</v>
      </c>
      <c r="G3" s="56">
        <f t="shared" si="0"/>
        <v>4</v>
      </c>
      <c r="H3" s="56">
        <f t="shared" si="0"/>
        <v>5</v>
      </c>
      <c r="I3" s="56">
        <f t="shared" si="0"/>
        <v>6</v>
      </c>
      <c r="J3" s="56">
        <f t="shared" si="0"/>
        <v>7</v>
      </c>
      <c r="K3" s="56">
        <f t="shared" si="0"/>
        <v>8</v>
      </c>
      <c r="L3" s="56">
        <f t="shared" si="0"/>
        <v>9</v>
      </c>
      <c r="M3" s="56">
        <f t="shared" si="0"/>
        <v>10</v>
      </c>
      <c r="N3" s="56">
        <f t="shared" ref="N3:P3" si="1">M3+1</f>
        <v>11</v>
      </c>
      <c r="O3" s="56">
        <f t="shared" si="1"/>
        <v>12</v>
      </c>
      <c r="P3" s="56">
        <f t="shared" si="1"/>
        <v>13</v>
      </c>
      <c r="Q3" s="56">
        <v>1</v>
      </c>
      <c r="R3" s="56">
        <f t="shared" ref="R3:AC3" si="2">Q3+1</f>
        <v>2</v>
      </c>
      <c r="S3" s="56">
        <f t="shared" si="2"/>
        <v>3</v>
      </c>
      <c r="T3" s="56">
        <f t="shared" si="2"/>
        <v>4</v>
      </c>
      <c r="U3" s="56">
        <f t="shared" si="2"/>
        <v>5</v>
      </c>
      <c r="V3" s="56">
        <f t="shared" si="2"/>
        <v>6</v>
      </c>
      <c r="W3" s="56">
        <f t="shared" si="2"/>
        <v>7</v>
      </c>
      <c r="X3" s="56">
        <f t="shared" si="2"/>
        <v>8</v>
      </c>
      <c r="Y3" s="56">
        <f t="shared" si="2"/>
        <v>9</v>
      </c>
      <c r="Z3" s="56">
        <f t="shared" si="2"/>
        <v>10</v>
      </c>
      <c r="AA3" s="56">
        <f t="shared" si="2"/>
        <v>11</v>
      </c>
      <c r="AB3" s="56">
        <f t="shared" si="2"/>
        <v>12</v>
      </c>
      <c r="AC3" s="56">
        <f t="shared" si="2"/>
        <v>13</v>
      </c>
    </row>
    <row r="4" spans="1:29" ht="21" x14ac:dyDescent="0.5">
      <c r="A4" s="11"/>
      <c r="B4" s="6"/>
      <c r="C4" s="8"/>
      <c r="D4" s="8">
        <v>44050</v>
      </c>
      <c r="E4" s="8">
        <f>D4+7</f>
        <v>44057</v>
      </c>
      <c r="F4" s="8">
        <f t="shared" ref="F4:O4" si="3">E4+7</f>
        <v>44064</v>
      </c>
      <c r="G4" s="8">
        <f t="shared" si="3"/>
        <v>44071</v>
      </c>
      <c r="H4" s="8">
        <f t="shared" si="3"/>
        <v>44078</v>
      </c>
      <c r="I4" s="8">
        <f t="shared" si="3"/>
        <v>44085</v>
      </c>
      <c r="J4" s="8">
        <f t="shared" si="3"/>
        <v>44092</v>
      </c>
      <c r="K4" s="8">
        <f t="shared" si="3"/>
        <v>44099</v>
      </c>
      <c r="L4" s="8">
        <f t="shared" si="3"/>
        <v>44106</v>
      </c>
      <c r="M4" s="8">
        <f t="shared" si="3"/>
        <v>44113</v>
      </c>
      <c r="N4" s="8">
        <f t="shared" si="3"/>
        <v>44120</v>
      </c>
      <c r="O4" s="8">
        <f t="shared" si="3"/>
        <v>44127</v>
      </c>
      <c r="P4" s="8">
        <f>O4+7</f>
        <v>44134</v>
      </c>
      <c r="Q4" s="8">
        <f t="shared" ref="Q4:AC4" si="4">P4+7</f>
        <v>44141</v>
      </c>
      <c r="R4" s="8">
        <f t="shared" si="4"/>
        <v>44148</v>
      </c>
      <c r="S4" s="8">
        <f t="shared" si="4"/>
        <v>44155</v>
      </c>
      <c r="T4" s="8">
        <f t="shared" si="4"/>
        <v>44162</v>
      </c>
      <c r="U4" s="8">
        <f t="shared" si="4"/>
        <v>44169</v>
      </c>
      <c r="V4" s="8">
        <f t="shared" si="4"/>
        <v>44176</v>
      </c>
      <c r="W4" s="8">
        <f t="shared" si="4"/>
        <v>44183</v>
      </c>
      <c r="X4" s="8">
        <f t="shared" si="4"/>
        <v>44190</v>
      </c>
      <c r="Y4" s="8">
        <f t="shared" si="4"/>
        <v>44197</v>
      </c>
      <c r="Z4" s="8">
        <f t="shared" si="4"/>
        <v>44204</v>
      </c>
      <c r="AA4" s="8">
        <f t="shared" si="4"/>
        <v>44211</v>
      </c>
      <c r="AB4" s="8">
        <f t="shared" si="4"/>
        <v>44218</v>
      </c>
      <c r="AC4" s="8">
        <f t="shared" si="4"/>
        <v>44225</v>
      </c>
    </row>
    <row r="5" spans="1:29" ht="15" customHeight="1" x14ac:dyDescent="0.35">
      <c r="B5" s="58"/>
    </row>
    <row r="6" spans="1:29" ht="15" customHeight="1" x14ac:dyDescent="0.35">
      <c r="A6" s="12" t="s">
        <v>98</v>
      </c>
    </row>
    <row r="7" spans="1:29" ht="15" customHeight="1" x14ac:dyDescent="0.35">
      <c r="B7" s="66" t="s">
        <v>130</v>
      </c>
      <c r="D7" s="49">
        <v>53480</v>
      </c>
      <c r="E7" s="66">
        <f>D12</f>
        <v>54860.36677419355</v>
      </c>
      <c r="F7" s="66">
        <f>E12</f>
        <v>58607.387096774197</v>
      </c>
      <c r="G7" s="66">
        <f>F12</f>
        <v>61214.876129032258</v>
      </c>
      <c r="H7" s="66">
        <f t="shared" ref="H7:P7" si="5">G12</f>
        <v>61478.974193548391</v>
      </c>
      <c r="I7" s="66">
        <f t="shared" si="5"/>
        <v>63820.682752688175</v>
      </c>
      <c r="J7" s="66">
        <f t="shared" si="5"/>
        <v>64919.610419354845</v>
      </c>
      <c r="K7" s="66">
        <f t="shared" si="5"/>
        <v>64514.779419354847</v>
      </c>
      <c r="L7" s="66">
        <f t="shared" si="5"/>
        <v>64766.886752688173</v>
      </c>
      <c r="M7" s="66">
        <f t="shared" si="5"/>
        <v>65858.60761290323</v>
      </c>
      <c r="N7" s="66">
        <f t="shared" si="5"/>
        <v>66350.21196774194</v>
      </c>
      <c r="O7" s="66">
        <f t="shared" si="5"/>
        <v>67277.996483870971</v>
      </c>
      <c r="P7" s="66">
        <f t="shared" si="5"/>
        <v>67859.642290322576</v>
      </c>
      <c r="Q7" s="66">
        <f>P12</f>
        <v>68840.505516129037</v>
      </c>
      <c r="R7" s="74">
        <f t="shared" ref="R7:AC7" si="6">Q12</f>
        <v>73692.411428571431</v>
      </c>
      <c r="S7" s="74">
        <f t="shared" si="6"/>
        <v>74526.48000000001</v>
      </c>
      <c r="T7" s="74">
        <f t="shared" si="6"/>
        <v>80151.12000000001</v>
      </c>
      <c r="U7" s="74">
        <f t="shared" si="6"/>
        <v>84369.600000000006</v>
      </c>
      <c r="V7" s="74">
        <f t="shared" si="6"/>
        <v>82814.400000000009</v>
      </c>
      <c r="W7" s="74">
        <f t="shared" si="6"/>
        <v>81648.000000000015</v>
      </c>
      <c r="X7" s="74">
        <f t="shared" si="6"/>
        <v>81648.000000000015</v>
      </c>
      <c r="Y7" s="74">
        <f t="shared" si="6"/>
        <v>81648.000000000015</v>
      </c>
      <c r="Z7" s="74">
        <f t="shared" si="6"/>
        <v>87820.200000000026</v>
      </c>
      <c r="AA7" s="74">
        <f t="shared" si="6"/>
        <v>84029.4</v>
      </c>
      <c r="AB7" s="74">
        <f t="shared" si="6"/>
        <v>84029.4</v>
      </c>
      <c r="AC7" s="74">
        <f t="shared" si="6"/>
        <v>84029.4</v>
      </c>
    </row>
    <row r="8" spans="1:29" ht="15" customHeight="1" x14ac:dyDescent="0.35">
      <c r="B8" s="66" t="s">
        <v>131</v>
      </c>
      <c r="D8" s="49">
        <v>-20001.52</v>
      </c>
      <c r="E8" s="49">
        <v>-20517.777173548388</v>
      </c>
      <c r="F8" s="49">
        <v>-21919.162774193548</v>
      </c>
      <c r="G8" s="49">
        <v>-22894.363672258063</v>
      </c>
      <c r="H8" s="49">
        <v>-23484.968141935486</v>
      </c>
      <c r="I8" s="49">
        <v>-24379.500811526883</v>
      </c>
      <c r="J8" s="49">
        <v>-24799.291180193552</v>
      </c>
      <c r="K8" s="49">
        <v>-24644.645738193551</v>
      </c>
      <c r="L8" s="49">
        <v>-20142.501780086022</v>
      </c>
      <c r="M8" s="49">
        <v>-20482.026967612903</v>
      </c>
      <c r="N8" s="49">
        <v>-20634.915921967742</v>
      </c>
      <c r="O8" s="49">
        <v>-20923.456906483872</v>
      </c>
      <c r="P8" s="49">
        <v>-21104.34875229032</v>
      </c>
      <c r="Q8" s="49">
        <f>Q14*Q7*-1</f>
        <v>-24094.176930645161</v>
      </c>
      <c r="R8" s="49">
        <f t="shared" ref="R8:AC8" si="7">R14*R7*-1</f>
        <v>-25792.344000000001</v>
      </c>
      <c r="S8" s="49">
        <f t="shared" si="7"/>
        <v>-26084.268000000004</v>
      </c>
      <c r="T8" s="49">
        <f t="shared" si="7"/>
        <v>-28052.892000000003</v>
      </c>
      <c r="U8" s="49">
        <f t="shared" si="7"/>
        <v>-29529.360000000001</v>
      </c>
      <c r="V8" s="49">
        <f t="shared" si="7"/>
        <v>-28985.040000000001</v>
      </c>
      <c r="W8" s="49">
        <f t="shared" si="7"/>
        <v>-28576.800000000003</v>
      </c>
      <c r="X8" s="49">
        <f t="shared" si="7"/>
        <v>-28576.800000000003</v>
      </c>
      <c r="Y8" s="49">
        <f t="shared" si="7"/>
        <v>-28576.800000000003</v>
      </c>
      <c r="Z8" s="49">
        <f t="shared" si="7"/>
        <v>-30737.070000000007</v>
      </c>
      <c r="AA8" s="49">
        <f t="shared" si="7"/>
        <v>-29410.289999999997</v>
      </c>
      <c r="AB8" s="49">
        <f t="shared" si="7"/>
        <v>-29410.289999999997</v>
      </c>
      <c r="AC8" s="49">
        <f t="shared" si="7"/>
        <v>-29410.289999999997</v>
      </c>
    </row>
    <row r="9" spans="1:29" ht="15" customHeight="1" x14ac:dyDescent="0.35">
      <c r="B9" s="66" t="s">
        <v>217</v>
      </c>
      <c r="D9" s="66">
        <f>SUM(D7:D8)</f>
        <v>33478.479999999996</v>
      </c>
      <c r="E9" s="66">
        <f>SUM(E7:E8)</f>
        <v>34342.589600645166</v>
      </c>
      <c r="F9" s="66">
        <f>SUM(F7:F8)</f>
        <v>36688.224322580645</v>
      </c>
      <c r="G9" s="66">
        <f>SUM(G7:G8)</f>
        <v>38320.512456774195</v>
      </c>
      <c r="H9" s="66">
        <f t="shared" ref="H9:P9" si="8">SUM(H7:H8)</f>
        <v>37994.006051612902</v>
      </c>
      <c r="I9" s="66">
        <f t="shared" si="8"/>
        <v>39441.181941161296</v>
      </c>
      <c r="J9" s="66">
        <f t="shared" si="8"/>
        <v>40120.319239161297</v>
      </c>
      <c r="K9" s="66">
        <f t="shared" si="8"/>
        <v>39870.1336811613</v>
      </c>
      <c r="L9" s="66">
        <f t="shared" si="8"/>
        <v>44624.384972602151</v>
      </c>
      <c r="M9" s="66">
        <f t="shared" si="8"/>
        <v>45376.580645290327</v>
      </c>
      <c r="N9" s="66">
        <f t="shared" si="8"/>
        <v>45715.296045774201</v>
      </c>
      <c r="O9" s="66">
        <f t="shared" si="8"/>
        <v>46354.539577387099</v>
      </c>
      <c r="P9" s="66">
        <f t="shared" si="8"/>
        <v>46755.29353803226</v>
      </c>
      <c r="Q9" s="74">
        <f t="shared" ref="Q9:AC9" si="9">SUM(Q7:Q8)</f>
        <v>44746.328585483876</v>
      </c>
      <c r="R9" s="74">
        <f t="shared" si="9"/>
        <v>47900.067428571434</v>
      </c>
      <c r="S9" s="74">
        <f t="shared" si="9"/>
        <v>48442.212000000007</v>
      </c>
      <c r="T9" s="74">
        <f t="shared" si="9"/>
        <v>52098.228000000003</v>
      </c>
      <c r="U9" s="74">
        <f t="shared" si="9"/>
        <v>54840.240000000005</v>
      </c>
      <c r="V9" s="74">
        <f t="shared" si="9"/>
        <v>53829.360000000008</v>
      </c>
      <c r="W9" s="74">
        <f t="shared" si="9"/>
        <v>53071.200000000012</v>
      </c>
      <c r="X9" s="74">
        <f t="shared" si="9"/>
        <v>53071.200000000012</v>
      </c>
      <c r="Y9" s="74">
        <f t="shared" si="9"/>
        <v>53071.200000000012</v>
      </c>
      <c r="Z9" s="74">
        <f t="shared" si="9"/>
        <v>57083.130000000019</v>
      </c>
      <c r="AA9" s="74">
        <f t="shared" si="9"/>
        <v>54619.11</v>
      </c>
      <c r="AB9" s="74">
        <f t="shared" si="9"/>
        <v>54619.11</v>
      </c>
      <c r="AC9" s="74">
        <f t="shared" si="9"/>
        <v>54619.11</v>
      </c>
    </row>
    <row r="10" spans="1:29" ht="15" customHeight="1" x14ac:dyDescent="0.35">
      <c r="B10" s="66" t="s">
        <v>141</v>
      </c>
      <c r="C10" s="85">
        <v>0.75</v>
      </c>
      <c r="D10" s="66">
        <f>$C$10*D9</f>
        <v>25108.859999999997</v>
      </c>
      <c r="E10" s="66">
        <f>$C$10*E9</f>
        <v>25756.942200483874</v>
      </c>
      <c r="F10" s="66">
        <f>$C$10*F9</f>
        <v>27516.168241935484</v>
      </c>
      <c r="G10" s="66">
        <f>$C$10*G9</f>
        <v>28740.384342580648</v>
      </c>
      <c r="H10" s="66">
        <f t="shared" ref="H10:P10" si="10">$C$10*H9</f>
        <v>28495.504538709676</v>
      </c>
      <c r="I10" s="66">
        <f t="shared" si="10"/>
        <v>29580.886455870972</v>
      </c>
      <c r="J10" s="66">
        <f t="shared" si="10"/>
        <v>30090.239429370973</v>
      </c>
      <c r="K10" s="66">
        <f t="shared" si="10"/>
        <v>29902.600260870975</v>
      </c>
      <c r="L10" s="66">
        <f t="shared" si="10"/>
        <v>33468.288729451611</v>
      </c>
      <c r="M10" s="66">
        <f t="shared" si="10"/>
        <v>34032.435483967747</v>
      </c>
      <c r="N10" s="66">
        <f t="shared" si="10"/>
        <v>34286.472034330654</v>
      </c>
      <c r="O10" s="66">
        <f t="shared" si="10"/>
        <v>34765.904683040324</v>
      </c>
      <c r="P10" s="66">
        <f t="shared" si="10"/>
        <v>35066.470153524191</v>
      </c>
      <c r="Q10" s="74">
        <f t="shared" ref="Q10:AC10" si="11">$C$10*Q9</f>
        <v>33559.746439112903</v>
      </c>
      <c r="R10" s="74">
        <f t="shared" si="11"/>
        <v>35925.050571428575</v>
      </c>
      <c r="S10" s="74">
        <f t="shared" si="11"/>
        <v>36331.659000000007</v>
      </c>
      <c r="T10" s="74">
        <f t="shared" si="11"/>
        <v>39073.671000000002</v>
      </c>
      <c r="U10" s="74">
        <f t="shared" si="11"/>
        <v>41130.180000000008</v>
      </c>
      <c r="V10" s="74">
        <f t="shared" si="11"/>
        <v>40372.020000000004</v>
      </c>
      <c r="W10" s="74">
        <f t="shared" si="11"/>
        <v>39803.400000000009</v>
      </c>
      <c r="X10" s="74">
        <f t="shared" si="11"/>
        <v>39803.400000000009</v>
      </c>
      <c r="Y10" s="74">
        <f t="shared" si="11"/>
        <v>39803.400000000009</v>
      </c>
      <c r="Z10" s="74">
        <f t="shared" si="11"/>
        <v>42812.347500000018</v>
      </c>
      <c r="AA10" s="74">
        <f t="shared" si="11"/>
        <v>40964.332500000004</v>
      </c>
      <c r="AB10" s="74">
        <f t="shared" si="11"/>
        <v>40964.332500000004</v>
      </c>
      <c r="AC10" s="74">
        <f t="shared" si="11"/>
        <v>40964.332500000004</v>
      </c>
    </row>
    <row r="11" spans="1:29" ht="15" customHeight="1" x14ac:dyDescent="0.35">
      <c r="R11" s="74"/>
      <c r="S11" s="74"/>
      <c r="T11" s="74"/>
      <c r="U11" s="74"/>
      <c r="V11" s="74"/>
      <c r="W11" s="74"/>
      <c r="X11" s="74"/>
      <c r="Y11" s="74"/>
      <c r="Z11" s="74"/>
      <c r="AA11" s="74"/>
      <c r="AB11" s="74"/>
      <c r="AC11" s="74"/>
    </row>
    <row r="12" spans="1:29" ht="15" customHeight="1" x14ac:dyDescent="0.35">
      <c r="B12" s="66" t="s">
        <v>133</v>
      </c>
      <c r="D12" s="66">
        <f>'Weekly Rollforward'!D14</f>
        <v>54860.36677419355</v>
      </c>
      <c r="E12" s="66">
        <f>'Weekly Rollforward'!E14</f>
        <v>58607.387096774197</v>
      </c>
      <c r="F12" s="66">
        <f>'Weekly Rollforward'!F14</f>
        <v>61214.876129032258</v>
      </c>
      <c r="G12" s="66">
        <f>'Weekly Rollforward'!G14</f>
        <v>61478.974193548391</v>
      </c>
      <c r="H12" s="66">
        <f>'Weekly Rollforward'!H14</f>
        <v>63820.682752688175</v>
      </c>
      <c r="I12" s="66">
        <f>'Weekly Rollforward'!I14</f>
        <v>64919.610419354845</v>
      </c>
      <c r="J12" s="66">
        <f>'Weekly Rollforward'!J14</f>
        <v>64514.779419354847</v>
      </c>
      <c r="K12" s="66">
        <f>'Weekly Rollforward'!K14</f>
        <v>64766.886752688173</v>
      </c>
      <c r="L12" s="66">
        <f>'Weekly Rollforward'!L14</f>
        <v>65858.60761290323</v>
      </c>
      <c r="M12" s="66">
        <f>'Weekly Rollforward'!M14</f>
        <v>66350.21196774194</v>
      </c>
      <c r="N12" s="66">
        <f>'Weekly Rollforward'!N14</f>
        <v>67277.996483870971</v>
      </c>
      <c r="O12" s="66">
        <f>'Weekly Rollforward'!O14</f>
        <v>67859.642290322576</v>
      </c>
      <c r="P12" s="66">
        <f>'Weekly Rollforward'!P14</f>
        <v>68840.505516129037</v>
      </c>
      <c r="Q12" s="74">
        <f>'Weekly Rollforward'!Q14</f>
        <v>73692.411428571431</v>
      </c>
      <c r="R12" s="74">
        <f>'Weekly Rollforward'!R14</f>
        <v>74526.48000000001</v>
      </c>
      <c r="S12" s="74">
        <f>'Weekly Rollforward'!S14</f>
        <v>80151.12000000001</v>
      </c>
      <c r="T12" s="74">
        <f>'Weekly Rollforward'!T14</f>
        <v>84369.600000000006</v>
      </c>
      <c r="U12" s="74">
        <f>'Weekly Rollforward'!U14</f>
        <v>82814.400000000009</v>
      </c>
      <c r="V12" s="74">
        <f>'Weekly Rollforward'!V14</f>
        <v>81648.000000000015</v>
      </c>
      <c r="W12" s="74">
        <f>'Weekly Rollforward'!W14</f>
        <v>81648.000000000015</v>
      </c>
      <c r="X12" s="74">
        <f>'Weekly Rollforward'!X14</f>
        <v>81648.000000000015</v>
      </c>
      <c r="Y12" s="74">
        <f>'Weekly Rollforward'!Y14</f>
        <v>87820.200000000026</v>
      </c>
      <c r="Z12" s="74">
        <f>'Weekly Rollforward'!Z14</f>
        <v>84029.4</v>
      </c>
      <c r="AA12" s="74">
        <f>'Weekly Rollforward'!AA14</f>
        <v>84029.4</v>
      </c>
      <c r="AB12" s="74">
        <f>'Weekly Rollforward'!AB14</f>
        <v>84029.4</v>
      </c>
      <c r="AC12" s="74">
        <f>'Weekly Rollforward'!AC14</f>
        <v>84029.4</v>
      </c>
    </row>
    <row r="14" spans="1:29" ht="15" customHeight="1" x14ac:dyDescent="0.35">
      <c r="B14" s="66" t="s">
        <v>134</v>
      </c>
      <c r="D14" s="67">
        <v>0.374</v>
      </c>
      <c r="E14" s="67">
        <v>0.374</v>
      </c>
      <c r="F14" s="67">
        <v>0.374</v>
      </c>
      <c r="G14" s="67">
        <v>0.374</v>
      </c>
      <c r="H14" s="67">
        <v>0.374</v>
      </c>
      <c r="I14" s="67">
        <v>0.374</v>
      </c>
      <c r="J14" s="67">
        <v>0.374</v>
      </c>
      <c r="K14" s="67">
        <v>0.374</v>
      </c>
      <c r="L14" s="67">
        <v>0.374</v>
      </c>
      <c r="M14" s="67">
        <v>0.374</v>
      </c>
      <c r="N14" s="67">
        <v>0.374</v>
      </c>
      <c r="O14" s="67">
        <v>0.374</v>
      </c>
      <c r="P14" s="67">
        <v>0.374</v>
      </c>
      <c r="Q14" s="68">
        <v>0.35</v>
      </c>
      <c r="R14" s="68">
        <v>0.35</v>
      </c>
      <c r="S14" s="68">
        <v>0.35</v>
      </c>
      <c r="T14" s="68">
        <v>0.35</v>
      </c>
      <c r="U14" s="68">
        <v>0.35</v>
      </c>
      <c r="V14" s="68">
        <v>0.35</v>
      </c>
      <c r="W14" s="68">
        <v>0.35</v>
      </c>
      <c r="X14" s="68">
        <v>0.35</v>
      </c>
      <c r="Y14" s="68">
        <v>0.35</v>
      </c>
      <c r="Z14" s="68">
        <v>0.35</v>
      </c>
      <c r="AA14" s="68">
        <v>0.35</v>
      </c>
      <c r="AB14" s="68">
        <v>0.35</v>
      </c>
      <c r="AC14" s="68">
        <v>0.35</v>
      </c>
    </row>
    <row r="16" spans="1:29" ht="15" customHeight="1" x14ac:dyDescent="0.35">
      <c r="A16" s="12" t="s">
        <v>25</v>
      </c>
    </row>
    <row r="17" spans="2:29" ht="15" customHeight="1" x14ac:dyDescent="0.35">
      <c r="B17" s="66" t="s">
        <v>135</v>
      </c>
      <c r="D17" s="49">
        <v>88448.000000000029</v>
      </c>
      <c r="E17" s="66">
        <f t="shared" ref="E17:G17" si="12">D24</f>
        <v>90357.572903225839</v>
      </c>
      <c r="F17" s="66">
        <f t="shared" si="12"/>
        <v>89367.483870967772</v>
      </c>
      <c r="G17" s="66">
        <f t="shared" si="12"/>
        <v>88405.150967741967</v>
      </c>
      <c r="H17" s="66">
        <f t="shared" ref="H17:P17" si="13">G24</f>
        <v>88328.774193548423</v>
      </c>
      <c r="I17" s="66">
        <f t="shared" si="13"/>
        <v>86909.929977850828</v>
      </c>
      <c r="J17" s="66">
        <f t="shared" si="13"/>
        <v>85075.049034850817</v>
      </c>
      <c r="K17" s="66">
        <f t="shared" si="13"/>
        <v>86614.683301184152</v>
      </c>
      <c r="L17" s="66">
        <f t="shared" si="13"/>
        <v>87325.253898867493</v>
      </c>
      <c r="M17" s="66">
        <f t="shared" si="13"/>
        <v>87524.295963437384</v>
      </c>
      <c r="N17" s="66">
        <f t="shared" si="13"/>
        <v>86671.699215050277</v>
      </c>
      <c r="O17" s="66">
        <f t="shared" si="13"/>
        <v>86316.283008598664</v>
      </c>
      <c r="P17" s="66">
        <f t="shared" si="13"/>
        <v>86799.623886018016</v>
      </c>
      <c r="Q17" s="66">
        <f>P24</f>
        <v>90885.316640856734</v>
      </c>
      <c r="R17" s="74">
        <f t="shared" ref="R17:AC17" si="14">Q24</f>
        <v>97329.599999999991</v>
      </c>
      <c r="S17" s="74">
        <f t="shared" si="14"/>
        <v>99837.36</v>
      </c>
      <c r="T17" s="74">
        <f t="shared" si="14"/>
        <v>101243.52</v>
      </c>
      <c r="U17" s="74">
        <f t="shared" si="14"/>
        <v>101243.52</v>
      </c>
      <c r="V17" s="74">
        <f t="shared" si="14"/>
        <v>99377.279999999999</v>
      </c>
      <c r="W17" s="74">
        <f t="shared" si="14"/>
        <v>97977.60000000002</v>
      </c>
      <c r="X17" s="74">
        <f t="shared" si="14"/>
        <v>99338.400000000009</v>
      </c>
      <c r="Y17" s="74">
        <f t="shared" si="14"/>
        <v>99338.400000000009</v>
      </c>
      <c r="Z17" s="74">
        <f t="shared" si="14"/>
        <v>98628.840000000011</v>
      </c>
      <c r="AA17" s="74">
        <f t="shared" si="14"/>
        <v>90881.028000000006</v>
      </c>
      <c r="AB17" s="74">
        <f t="shared" si="14"/>
        <v>90881.028000000006</v>
      </c>
      <c r="AC17" s="74">
        <f t="shared" si="14"/>
        <v>90881.028000000006</v>
      </c>
    </row>
    <row r="18" spans="2:29" ht="15" customHeight="1" x14ac:dyDescent="0.35">
      <c r="B18" s="66" t="s">
        <v>218</v>
      </c>
      <c r="C18" s="85">
        <v>0.05</v>
      </c>
      <c r="D18" s="66">
        <f>$C18*D17*-1</f>
        <v>-4422.4000000000015</v>
      </c>
      <c r="E18" s="66">
        <f t="shared" ref="E18:G18" si="15">$C18*E17*-1</f>
        <v>-4517.8786451612923</v>
      </c>
      <c r="F18" s="66">
        <f t="shared" si="15"/>
        <v>-4468.3741935483886</v>
      </c>
      <c r="G18" s="66">
        <f t="shared" si="15"/>
        <v>-4420.2575483870987</v>
      </c>
      <c r="H18" s="66">
        <f t="shared" ref="H18" si="16">$C18*H17*-1</f>
        <v>-4416.4387096774217</v>
      </c>
      <c r="I18" s="66">
        <f t="shared" ref="I18" si="17">$C18*I17*-1</f>
        <v>-4345.4964988925412</v>
      </c>
      <c r="J18" s="66">
        <f t="shared" ref="J18" si="18">$C18*J17*-1</f>
        <v>-4253.7524517425409</v>
      </c>
      <c r="K18" s="66">
        <f t="shared" ref="K18" si="19">$C18*K17*-1</f>
        <v>-4330.734165059208</v>
      </c>
      <c r="L18" s="66">
        <f t="shared" ref="L18" si="20">$C18*L17*-1</f>
        <v>-4366.2626949433752</v>
      </c>
      <c r="M18" s="66">
        <f t="shared" ref="M18" si="21">$C18*M17*-1</f>
        <v>-4376.214798171869</v>
      </c>
      <c r="N18" s="66">
        <f t="shared" ref="N18" si="22">$C18*N17*-1</f>
        <v>-4333.5849607525142</v>
      </c>
      <c r="O18" s="66">
        <f t="shared" ref="O18" si="23">$C18*O17*-1</f>
        <v>-4315.8141504299338</v>
      </c>
      <c r="P18" s="66">
        <f t="shared" ref="P18:Q18" si="24">$C18*P17*-1</f>
        <v>-4339.9811943009008</v>
      </c>
      <c r="Q18" s="74">
        <f t="shared" si="24"/>
        <v>-4544.2658320428372</v>
      </c>
      <c r="R18" s="74">
        <f t="shared" ref="R18:AC18" si="25">$C18*R17*-1</f>
        <v>-4866.4799999999996</v>
      </c>
      <c r="S18" s="74">
        <f t="shared" si="25"/>
        <v>-4991.8680000000004</v>
      </c>
      <c r="T18" s="74">
        <f t="shared" si="25"/>
        <v>-5062.1760000000004</v>
      </c>
      <c r="U18" s="74">
        <f t="shared" si="25"/>
        <v>-5062.1760000000004</v>
      </c>
      <c r="V18" s="74">
        <f t="shared" si="25"/>
        <v>-4968.8640000000005</v>
      </c>
      <c r="W18" s="74">
        <f t="shared" si="25"/>
        <v>-4898.880000000001</v>
      </c>
      <c r="X18" s="74">
        <f t="shared" si="25"/>
        <v>-4966.920000000001</v>
      </c>
      <c r="Y18" s="74">
        <f t="shared" si="25"/>
        <v>-4966.920000000001</v>
      </c>
      <c r="Z18" s="74">
        <f t="shared" si="25"/>
        <v>-4931.4420000000009</v>
      </c>
      <c r="AA18" s="74">
        <f t="shared" si="25"/>
        <v>-4544.0514000000003</v>
      </c>
      <c r="AB18" s="74">
        <f t="shared" si="25"/>
        <v>-4544.0514000000003</v>
      </c>
      <c r="AC18" s="74">
        <f t="shared" si="25"/>
        <v>-4544.0514000000003</v>
      </c>
    </row>
    <row r="19" spans="2:29" ht="15" customHeight="1" x14ac:dyDescent="0.35">
      <c r="B19" s="66" t="s">
        <v>219</v>
      </c>
      <c r="C19" s="85">
        <v>0.05</v>
      </c>
      <c r="D19" s="66">
        <f>$C$19*D17*-1</f>
        <v>-4422.4000000000015</v>
      </c>
      <c r="E19" s="66">
        <f t="shared" ref="E19:G19" si="26">$C$19*E17*-1</f>
        <v>-4517.8786451612923</v>
      </c>
      <c r="F19" s="66">
        <f t="shared" si="26"/>
        <v>-4468.3741935483886</v>
      </c>
      <c r="G19" s="66">
        <f t="shared" si="26"/>
        <v>-4420.2575483870987</v>
      </c>
      <c r="H19" s="66">
        <f t="shared" ref="H19:P19" si="27">$C$19*H17*-1</f>
        <v>-4416.4387096774217</v>
      </c>
      <c r="I19" s="66">
        <f t="shared" si="27"/>
        <v>-4345.4964988925412</v>
      </c>
      <c r="J19" s="66">
        <f t="shared" si="27"/>
        <v>-4253.7524517425409</v>
      </c>
      <c r="K19" s="66">
        <f t="shared" si="27"/>
        <v>-4330.734165059208</v>
      </c>
      <c r="L19" s="66">
        <f t="shared" si="27"/>
        <v>-4366.2626949433752</v>
      </c>
      <c r="M19" s="66">
        <f t="shared" si="27"/>
        <v>-4376.214798171869</v>
      </c>
      <c r="N19" s="66">
        <f t="shared" si="27"/>
        <v>-4333.5849607525142</v>
      </c>
      <c r="O19" s="66">
        <f t="shared" si="27"/>
        <v>-4315.8141504299338</v>
      </c>
      <c r="P19" s="66">
        <f t="shared" si="27"/>
        <v>-4339.9811943009008</v>
      </c>
      <c r="Q19" s="74">
        <f t="shared" ref="Q19:AC19" si="28">$C$19*Q17*-1</f>
        <v>-4544.2658320428372</v>
      </c>
      <c r="R19" s="74">
        <f t="shared" si="28"/>
        <v>-4866.4799999999996</v>
      </c>
      <c r="S19" s="74">
        <f t="shared" si="28"/>
        <v>-4991.8680000000004</v>
      </c>
      <c r="T19" s="74">
        <f t="shared" si="28"/>
        <v>-5062.1760000000004</v>
      </c>
      <c r="U19" s="74">
        <f t="shared" si="28"/>
        <v>-5062.1760000000004</v>
      </c>
      <c r="V19" s="74">
        <f t="shared" si="28"/>
        <v>-4968.8640000000005</v>
      </c>
      <c r="W19" s="74">
        <f t="shared" si="28"/>
        <v>-4898.880000000001</v>
      </c>
      <c r="X19" s="74">
        <f t="shared" si="28"/>
        <v>-4966.920000000001</v>
      </c>
      <c r="Y19" s="74">
        <f t="shared" si="28"/>
        <v>-4966.920000000001</v>
      </c>
      <c r="Z19" s="74">
        <f t="shared" si="28"/>
        <v>-4931.4420000000009</v>
      </c>
      <c r="AA19" s="74">
        <f t="shared" si="28"/>
        <v>-4544.0514000000003</v>
      </c>
      <c r="AB19" s="74">
        <f t="shared" si="28"/>
        <v>-4544.0514000000003</v>
      </c>
      <c r="AC19" s="74">
        <f t="shared" si="28"/>
        <v>-4544.0514000000003</v>
      </c>
    </row>
    <row r="20" spans="2:29" ht="15" customHeight="1" x14ac:dyDescent="0.35">
      <c r="B20" s="66" t="s">
        <v>220</v>
      </c>
      <c r="C20" s="85">
        <v>0.2</v>
      </c>
      <c r="D20" s="66">
        <f>$C$20*D17*-1</f>
        <v>-17689.600000000006</v>
      </c>
      <c r="E20" s="66">
        <f t="shared" ref="E20:G20" si="29">$C$20*E17*-1</f>
        <v>-18071.514580645169</v>
      </c>
      <c r="F20" s="66">
        <f t="shared" si="29"/>
        <v>-17873.496774193554</v>
      </c>
      <c r="G20" s="66">
        <f t="shared" si="29"/>
        <v>-17681.030193548395</v>
      </c>
      <c r="H20" s="66">
        <f t="shared" ref="H20:P20" si="30">$C$20*H17*-1</f>
        <v>-17665.754838709687</v>
      </c>
      <c r="I20" s="66">
        <f t="shared" si="30"/>
        <v>-17381.985995570165</v>
      </c>
      <c r="J20" s="66">
        <f t="shared" si="30"/>
        <v>-17015.009806970163</v>
      </c>
      <c r="K20" s="66">
        <f t="shared" si="30"/>
        <v>-17322.936660236832</v>
      </c>
      <c r="L20" s="66">
        <f t="shared" si="30"/>
        <v>-17465.050779773501</v>
      </c>
      <c r="M20" s="66">
        <f t="shared" si="30"/>
        <v>-17504.859192687476</v>
      </c>
      <c r="N20" s="66">
        <f t="shared" si="30"/>
        <v>-17334.339843010057</v>
      </c>
      <c r="O20" s="66">
        <f t="shared" si="30"/>
        <v>-17263.256601719735</v>
      </c>
      <c r="P20" s="66">
        <f t="shared" si="30"/>
        <v>-17359.924777203603</v>
      </c>
      <c r="Q20" s="74">
        <f t="shared" ref="Q20:AC20" si="31">$C$20*Q17*-1</f>
        <v>-18177.063328171349</v>
      </c>
      <c r="R20" s="74">
        <f t="shared" si="31"/>
        <v>-19465.919999999998</v>
      </c>
      <c r="S20" s="74">
        <f t="shared" si="31"/>
        <v>-19967.472000000002</v>
      </c>
      <c r="T20" s="74">
        <f t="shared" si="31"/>
        <v>-20248.704000000002</v>
      </c>
      <c r="U20" s="74">
        <f t="shared" si="31"/>
        <v>-20248.704000000002</v>
      </c>
      <c r="V20" s="74">
        <f t="shared" si="31"/>
        <v>-19875.456000000002</v>
      </c>
      <c r="W20" s="74">
        <f t="shared" si="31"/>
        <v>-19595.520000000004</v>
      </c>
      <c r="X20" s="74">
        <f t="shared" si="31"/>
        <v>-19867.680000000004</v>
      </c>
      <c r="Y20" s="74">
        <f t="shared" si="31"/>
        <v>-19867.680000000004</v>
      </c>
      <c r="Z20" s="74">
        <f t="shared" si="31"/>
        <v>-19725.768000000004</v>
      </c>
      <c r="AA20" s="74">
        <f t="shared" si="31"/>
        <v>-18176.205600000001</v>
      </c>
      <c r="AB20" s="74">
        <f t="shared" si="31"/>
        <v>-18176.205600000001</v>
      </c>
      <c r="AC20" s="74">
        <f t="shared" si="31"/>
        <v>-18176.205600000001</v>
      </c>
    </row>
    <row r="21" spans="2:29" ht="15" customHeight="1" x14ac:dyDescent="0.35">
      <c r="B21" s="66" t="s">
        <v>221</v>
      </c>
      <c r="D21" s="66">
        <f>SUM(D17:D20)</f>
        <v>61913.600000000035</v>
      </c>
      <c r="E21" s="66">
        <f t="shared" ref="E21:G21" si="32">SUM(E17:E20)</f>
        <v>63250.301032258074</v>
      </c>
      <c r="F21" s="66">
        <f t="shared" si="32"/>
        <v>62557.238709677447</v>
      </c>
      <c r="G21" s="66">
        <f t="shared" si="32"/>
        <v>61883.605677419364</v>
      </c>
      <c r="H21" s="66">
        <f t="shared" ref="H21" si="33">SUM(H17:H20)</f>
        <v>61830.141935483902</v>
      </c>
      <c r="I21" s="66">
        <f t="shared" ref="I21" si="34">SUM(I17:I20)</f>
        <v>60836.95098449559</v>
      </c>
      <c r="J21" s="66">
        <f t="shared" ref="J21" si="35">SUM(J17:J20)</f>
        <v>59552.534324395587</v>
      </c>
      <c r="K21" s="66">
        <f t="shared" ref="K21" si="36">SUM(K17:K20)</f>
        <v>60630.278310828893</v>
      </c>
      <c r="L21" s="66">
        <f t="shared" ref="L21" si="37">SUM(L17:L20)</f>
        <v>61127.677729207237</v>
      </c>
      <c r="M21" s="66">
        <f t="shared" ref="M21" si="38">SUM(M17:M20)</f>
        <v>61267.007174406157</v>
      </c>
      <c r="N21" s="66">
        <f t="shared" ref="N21" si="39">SUM(N17:N20)</f>
        <v>60670.189450535188</v>
      </c>
      <c r="O21" s="66">
        <f t="shared" ref="O21" si="40">SUM(O17:O20)</f>
        <v>60421.398106019071</v>
      </c>
      <c r="P21" s="66">
        <f t="shared" ref="P21:Q21" si="41">SUM(P17:P20)</f>
        <v>60759.736720212619</v>
      </c>
      <c r="Q21" s="74">
        <f t="shared" si="41"/>
        <v>63619.72164859972</v>
      </c>
      <c r="R21" s="74">
        <f t="shared" ref="R21:AC21" si="42">SUM(R17:R20)</f>
        <v>68130.720000000001</v>
      </c>
      <c r="S21" s="74">
        <f t="shared" si="42"/>
        <v>69886.152000000002</v>
      </c>
      <c r="T21" s="74">
        <f t="shared" si="42"/>
        <v>70870.463999999993</v>
      </c>
      <c r="U21" s="74">
        <f t="shared" si="42"/>
        <v>70870.463999999993</v>
      </c>
      <c r="V21" s="74">
        <f t="shared" si="42"/>
        <v>69564.09599999999</v>
      </c>
      <c r="W21" s="74">
        <f t="shared" si="42"/>
        <v>68584.320000000007</v>
      </c>
      <c r="X21" s="74">
        <f t="shared" si="42"/>
        <v>69536.88</v>
      </c>
      <c r="Y21" s="74">
        <f t="shared" si="42"/>
        <v>69536.88</v>
      </c>
      <c r="Z21" s="74">
        <f t="shared" si="42"/>
        <v>69040.188000000024</v>
      </c>
      <c r="AA21" s="74">
        <f t="shared" si="42"/>
        <v>63616.719600000011</v>
      </c>
      <c r="AB21" s="74">
        <f t="shared" si="42"/>
        <v>63616.719600000011</v>
      </c>
      <c r="AC21" s="74">
        <f t="shared" si="42"/>
        <v>63616.719600000011</v>
      </c>
    </row>
    <row r="22" spans="2:29" ht="15" customHeight="1" x14ac:dyDescent="0.35">
      <c r="B22" s="66" t="s">
        <v>141</v>
      </c>
      <c r="C22" s="86">
        <v>0.75</v>
      </c>
      <c r="D22" s="66">
        <f>$C$22*D21</f>
        <v>46435.200000000026</v>
      </c>
      <c r="E22" s="66">
        <f t="shared" ref="E22:G22" si="43">$C$22*E21</f>
        <v>47437.725774193554</v>
      </c>
      <c r="F22" s="66">
        <f t="shared" si="43"/>
        <v>46917.929032258085</v>
      </c>
      <c r="G22" s="66">
        <f t="shared" si="43"/>
        <v>46412.704258064521</v>
      </c>
      <c r="H22" s="66">
        <f t="shared" ref="H22" si="44">$C$22*H21</f>
        <v>46372.606451612926</v>
      </c>
      <c r="I22" s="66">
        <f t="shared" ref="I22" si="45">$C$22*I21</f>
        <v>45627.713238371696</v>
      </c>
      <c r="J22" s="66">
        <f t="shared" ref="J22" si="46">$C$22*J21</f>
        <v>44664.40074329669</v>
      </c>
      <c r="K22" s="66">
        <f t="shared" ref="K22" si="47">$C$22*K21</f>
        <v>45472.708733121668</v>
      </c>
      <c r="L22" s="66">
        <f t="shared" ref="L22" si="48">$C$22*L21</f>
        <v>45845.758296905427</v>
      </c>
      <c r="M22" s="66">
        <f t="shared" ref="M22" si="49">$C$22*M21</f>
        <v>45950.255380804621</v>
      </c>
      <c r="N22" s="66">
        <f t="shared" ref="N22" si="50">$C$22*N21</f>
        <v>45502.642087901389</v>
      </c>
      <c r="O22" s="66">
        <f t="shared" ref="O22" si="51">$C$22*O21</f>
        <v>45316.048579514303</v>
      </c>
      <c r="P22" s="66">
        <f t="shared" ref="P22:Q22" si="52">$C$22*P21</f>
        <v>45569.802540159464</v>
      </c>
      <c r="Q22" s="74">
        <f t="shared" si="52"/>
        <v>47714.79123644979</v>
      </c>
      <c r="R22" s="74">
        <f t="shared" ref="R22:AC22" si="53">$C$22*R21</f>
        <v>51098.04</v>
      </c>
      <c r="S22" s="74">
        <f t="shared" si="53"/>
        <v>52414.614000000001</v>
      </c>
      <c r="T22" s="74">
        <f t="shared" si="53"/>
        <v>53152.847999999998</v>
      </c>
      <c r="U22" s="74">
        <f t="shared" si="53"/>
        <v>53152.847999999998</v>
      </c>
      <c r="V22" s="74">
        <f t="shared" si="53"/>
        <v>52173.071999999993</v>
      </c>
      <c r="W22" s="74">
        <f t="shared" si="53"/>
        <v>51438.240000000005</v>
      </c>
      <c r="X22" s="74">
        <f t="shared" si="53"/>
        <v>52152.66</v>
      </c>
      <c r="Y22" s="74">
        <f t="shared" si="53"/>
        <v>52152.66</v>
      </c>
      <c r="Z22" s="74">
        <f t="shared" si="53"/>
        <v>51780.141000000018</v>
      </c>
      <c r="AA22" s="74">
        <f t="shared" si="53"/>
        <v>47712.539700000008</v>
      </c>
      <c r="AB22" s="74">
        <f t="shared" si="53"/>
        <v>47712.539700000008</v>
      </c>
      <c r="AC22" s="74">
        <f t="shared" si="53"/>
        <v>47712.539700000008</v>
      </c>
    </row>
    <row r="23" spans="2:29" ht="15" customHeight="1" x14ac:dyDescent="0.35">
      <c r="R23" s="74"/>
      <c r="S23" s="74"/>
      <c r="T23" s="74"/>
      <c r="U23" s="74"/>
      <c r="V23" s="74"/>
      <c r="W23" s="74"/>
      <c r="X23" s="74"/>
      <c r="Y23" s="74"/>
      <c r="Z23" s="74"/>
      <c r="AA23" s="74"/>
      <c r="AB23" s="74"/>
      <c r="AC23" s="74"/>
    </row>
    <row r="24" spans="2:29" ht="15" customHeight="1" x14ac:dyDescent="0.35">
      <c r="B24" s="66" t="s">
        <v>136</v>
      </c>
      <c r="D24" s="66">
        <f>'Weekly Rollforward'!D24</f>
        <v>90357.572903225839</v>
      </c>
      <c r="E24" s="66">
        <f>'Weekly Rollforward'!E24</f>
        <v>89367.483870967772</v>
      </c>
      <c r="F24" s="66">
        <f>'Weekly Rollforward'!F24</f>
        <v>88405.150967741967</v>
      </c>
      <c r="G24" s="66">
        <f>'Weekly Rollforward'!G24</f>
        <v>88328.774193548423</v>
      </c>
      <c r="H24" s="66">
        <f>'Weekly Rollforward'!H24</f>
        <v>86909.929977850828</v>
      </c>
      <c r="I24" s="66">
        <f>'Weekly Rollforward'!I24</f>
        <v>85075.049034850817</v>
      </c>
      <c r="J24" s="66">
        <f>'Weekly Rollforward'!J24</f>
        <v>86614.683301184152</v>
      </c>
      <c r="K24" s="66">
        <f>'Weekly Rollforward'!K24</f>
        <v>87325.253898867493</v>
      </c>
      <c r="L24" s="66">
        <f>'Weekly Rollforward'!L24</f>
        <v>87524.295963437384</v>
      </c>
      <c r="M24" s="66">
        <f>'Weekly Rollforward'!M24</f>
        <v>86671.699215050277</v>
      </c>
      <c r="N24" s="66">
        <f>'Weekly Rollforward'!N24</f>
        <v>86316.283008598664</v>
      </c>
      <c r="O24" s="66">
        <f>'Weekly Rollforward'!O24</f>
        <v>86799.623886018016</v>
      </c>
      <c r="P24" s="66">
        <f>'Weekly Rollforward'!P24</f>
        <v>90885.316640856734</v>
      </c>
      <c r="Q24" s="74">
        <f>'Weekly Rollforward'!Q24</f>
        <v>97329.599999999991</v>
      </c>
      <c r="R24" s="74">
        <f>'Weekly Rollforward'!R24</f>
        <v>99837.36</v>
      </c>
      <c r="S24" s="74">
        <f>'Weekly Rollforward'!S24</f>
        <v>101243.52</v>
      </c>
      <c r="T24" s="74">
        <f>'Weekly Rollforward'!T24</f>
        <v>101243.52</v>
      </c>
      <c r="U24" s="74">
        <f>'Weekly Rollforward'!U24</f>
        <v>99377.279999999999</v>
      </c>
      <c r="V24" s="74">
        <f>'Weekly Rollforward'!V24</f>
        <v>97977.60000000002</v>
      </c>
      <c r="W24" s="74">
        <f>'Weekly Rollforward'!W24</f>
        <v>99338.400000000009</v>
      </c>
      <c r="X24" s="74">
        <f>'Weekly Rollforward'!X24</f>
        <v>99338.400000000009</v>
      </c>
      <c r="Y24" s="74">
        <f>'Weekly Rollforward'!Y24</f>
        <v>98628.840000000011</v>
      </c>
      <c r="Z24" s="74">
        <f>'Weekly Rollforward'!Z24</f>
        <v>90881.028000000006</v>
      </c>
      <c r="AA24" s="74">
        <f>'Weekly Rollforward'!AA24</f>
        <v>90881.028000000006</v>
      </c>
      <c r="AB24" s="74">
        <f>'Weekly Rollforward'!AB24</f>
        <v>90881.028000000006</v>
      </c>
      <c r="AC24" s="74">
        <f>'Weekly Rollforward'!AC24</f>
        <v>90881.028000000006</v>
      </c>
    </row>
    <row r="25" spans="2:29" ht="15" customHeight="1" x14ac:dyDescent="0.35">
      <c r="Q25" s="74"/>
      <c r="R25" s="74"/>
      <c r="S25" s="74"/>
      <c r="T25" s="74"/>
      <c r="U25" s="74"/>
      <c r="V25" s="74"/>
      <c r="W25" s="74"/>
      <c r="X25" s="74"/>
      <c r="Y25" s="74"/>
      <c r="Z25" s="74"/>
      <c r="AA25" s="74"/>
      <c r="AB25" s="74"/>
      <c r="AC25" s="74"/>
    </row>
    <row r="26" spans="2:29" ht="15" customHeight="1" x14ac:dyDescent="0.35">
      <c r="B26" s="66" t="s">
        <v>137</v>
      </c>
      <c r="D26" s="66">
        <f>D10+D22</f>
        <v>71544.060000000027</v>
      </c>
      <c r="E26" s="66">
        <f t="shared" ref="E26:G26" si="54">E10+E22</f>
        <v>73194.667974677432</v>
      </c>
      <c r="F26" s="66">
        <f t="shared" si="54"/>
        <v>74434.097274193569</v>
      </c>
      <c r="G26" s="66">
        <f t="shared" si="54"/>
        <v>75153.088600645162</v>
      </c>
      <c r="H26" s="66">
        <f t="shared" ref="H26:P26" si="55">H10+H22</f>
        <v>74868.110990322602</v>
      </c>
      <c r="I26" s="66">
        <f t="shared" si="55"/>
        <v>75208.599694242672</v>
      </c>
      <c r="J26" s="66">
        <f t="shared" si="55"/>
        <v>74754.640172667656</v>
      </c>
      <c r="K26" s="66">
        <f t="shared" si="55"/>
        <v>75375.308993992643</v>
      </c>
      <c r="L26" s="66">
        <f t="shared" si="55"/>
        <v>79314.047026357031</v>
      </c>
      <c r="M26" s="66">
        <f t="shared" si="55"/>
        <v>79982.690864772361</v>
      </c>
      <c r="N26" s="66">
        <f t="shared" si="55"/>
        <v>79789.114122232044</v>
      </c>
      <c r="O26" s="66">
        <f t="shared" si="55"/>
        <v>80081.953262554627</v>
      </c>
      <c r="P26" s="66">
        <f t="shared" si="55"/>
        <v>80636.272693683655</v>
      </c>
      <c r="Q26" s="74">
        <f t="shared" ref="Q26:AC26" si="56">Q10+Q22</f>
        <v>81274.537675562693</v>
      </c>
      <c r="R26" s="74">
        <f t="shared" si="56"/>
        <v>87023.090571428576</v>
      </c>
      <c r="S26" s="74">
        <f t="shared" si="56"/>
        <v>88746.273000000016</v>
      </c>
      <c r="T26" s="74">
        <f t="shared" si="56"/>
        <v>92226.519</v>
      </c>
      <c r="U26" s="74">
        <f t="shared" si="56"/>
        <v>94283.028000000006</v>
      </c>
      <c r="V26" s="74">
        <f t="shared" si="56"/>
        <v>92545.092000000004</v>
      </c>
      <c r="W26" s="74">
        <f t="shared" si="56"/>
        <v>91241.640000000014</v>
      </c>
      <c r="X26" s="74">
        <f t="shared" si="56"/>
        <v>91956.060000000012</v>
      </c>
      <c r="Y26" s="74">
        <f t="shared" si="56"/>
        <v>91956.060000000012</v>
      </c>
      <c r="Z26" s="74">
        <f t="shared" si="56"/>
        <v>94592.488500000036</v>
      </c>
      <c r="AA26" s="74">
        <f t="shared" si="56"/>
        <v>88676.872200000013</v>
      </c>
      <c r="AB26" s="74">
        <f t="shared" si="56"/>
        <v>88676.872200000013</v>
      </c>
      <c r="AC26" s="74">
        <f t="shared" si="56"/>
        <v>88676.872200000013</v>
      </c>
    </row>
  </sheetData>
  <pageMargins left="0.7" right="0.7" top="0.75" bottom="0.75" header="0.3" footer="0.3"/>
  <pageSetup paperSize="9" orientation="landscape" verticalDpi="1200" r:id="rId1"/>
  <headerFooter>
    <oddHeader xml:space="preserve">&amp;R&amp;10&amp;F 
&amp;A
</oddHeader>
    <oddFooter>&amp;L&amp;10© 2020&amp;C&amp;10Page &amp;P of &amp;N&amp;R&amp;G</oddFooter>
  </headerFooter>
  <legacyDrawingHF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05FDD6-4637-451E-8974-53540169D6FE}">
  <dimension ref="A1:AD59"/>
  <sheetViews>
    <sheetView tabSelected="1" zoomScale="90" zoomScaleNormal="90" workbookViewId="0">
      <pane xSplit="2" ySplit="4" topLeftCell="C24" activePane="bottomRight" state="frozen"/>
      <selection sqref="A1:N1"/>
      <selection pane="topRight" sqref="A1:N1"/>
      <selection pane="bottomLeft" sqref="A1:N1"/>
      <selection pane="bottomRight" activeCell="Q25" sqref="Q25"/>
    </sheetView>
  </sheetViews>
  <sheetFormatPr defaultColWidth="9.08984375" defaultRowHeight="15" customHeight="1" x14ac:dyDescent="0.35"/>
  <cols>
    <col min="1" max="1" width="1.54296875" style="12" customWidth="1"/>
    <col min="2" max="2" width="40.54296875" style="47" customWidth="1"/>
    <col min="3" max="3" width="11.6328125" style="47" customWidth="1"/>
    <col min="4" max="15" width="11.6328125" style="47" hidden="1" customWidth="1"/>
    <col min="16" max="29" width="11.6328125" style="47" customWidth="1"/>
    <col min="30" max="16384" width="9.08984375" style="47"/>
  </cols>
  <sheetData>
    <row r="1" spans="1:30" ht="45" customHeight="1" x14ac:dyDescent="0.65">
      <c r="A1" s="4" t="str">
        <f>Welcome!A2</f>
        <v>13-Week Cash Flow Model</v>
      </c>
      <c r="B1" s="7"/>
      <c r="C1" s="9"/>
      <c r="D1" s="9"/>
      <c r="E1" s="9"/>
      <c r="F1" s="9"/>
      <c r="G1" s="9"/>
      <c r="H1" s="9"/>
      <c r="I1" s="9"/>
      <c r="J1" s="9"/>
      <c r="K1" s="9"/>
      <c r="L1" s="9"/>
      <c r="M1" s="9"/>
      <c r="N1" s="9"/>
      <c r="O1" s="9"/>
      <c r="P1" s="9"/>
      <c r="Q1" s="9"/>
      <c r="R1" s="9"/>
      <c r="S1" s="9"/>
      <c r="T1" s="9"/>
      <c r="U1" s="9"/>
      <c r="V1" s="9"/>
      <c r="W1" s="9"/>
      <c r="X1" s="9"/>
      <c r="Y1" s="9"/>
      <c r="Z1" s="9"/>
      <c r="AA1" s="9"/>
      <c r="AB1" s="9"/>
      <c r="AC1" s="9"/>
    </row>
    <row r="2" spans="1:30" ht="21" x14ac:dyDescent="0.5">
      <c r="A2" s="11"/>
      <c r="B2" s="6"/>
      <c r="C2" s="56"/>
      <c r="D2" s="56" t="s">
        <v>73</v>
      </c>
      <c r="E2" s="56" t="s">
        <v>73</v>
      </c>
      <c r="F2" s="56" t="s">
        <v>73</v>
      </c>
      <c r="G2" s="56" t="s">
        <v>73</v>
      </c>
      <c r="H2" s="56" t="s">
        <v>73</v>
      </c>
      <c r="I2" s="56" t="s">
        <v>73</v>
      </c>
      <c r="J2" s="56" t="s">
        <v>73</v>
      </c>
      <c r="K2" s="56" t="s">
        <v>73</v>
      </c>
      <c r="L2" s="56" t="s">
        <v>73</v>
      </c>
      <c r="M2" s="56" t="s">
        <v>73</v>
      </c>
      <c r="N2" s="56" t="s">
        <v>73</v>
      </c>
      <c r="O2" s="56" t="s">
        <v>73</v>
      </c>
      <c r="P2" s="56" t="s">
        <v>73</v>
      </c>
      <c r="Q2" s="56" t="s">
        <v>74</v>
      </c>
      <c r="R2" s="56" t="s">
        <v>74</v>
      </c>
      <c r="S2" s="56" t="s">
        <v>74</v>
      </c>
      <c r="T2" s="56" t="s">
        <v>74</v>
      </c>
      <c r="U2" s="56" t="s">
        <v>74</v>
      </c>
      <c r="V2" s="56" t="s">
        <v>74</v>
      </c>
      <c r="W2" s="56" t="s">
        <v>74</v>
      </c>
      <c r="X2" s="56" t="s">
        <v>74</v>
      </c>
      <c r="Y2" s="56" t="s">
        <v>74</v>
      </c>
      <c r="Z2" s="56" t="s">
        <v>74</v>
      </c>
      <c r="AA2" s="56" t="s">
        <v>74</v>
      </c>
      <c r="AB2" s="56" t="s">
        <v>74</v>
      </c>
      <c r="AC2" s="56" t="s">
        <v>74</v>
      </c>
    </row>
    <row r="3" spans="1:30" ht="21" x14ac:dyDescent="0.5">
      <c r="A3" s="11"/>
      <c r="B3" s="6"/>
      <c r="C3" s="56"/>
      <c r="D3" s="56">
        <v>1</v>
      </c>
      <c r="E3" s="56">
        <f>D3+1</f>
        <v>2</v>
      </c>
      <c r="F3" s="56">
        <f t="shared" ref="F3:P3" si="0">E3+1</f>
        <v>3</v>
      </c>
      <c r="G3" s="56">
        <f t="shared" si="0"/>
        <v>4</v>
      </c>
      <c r="H3" s="56">
        <f t="shared" si="0"/>
        <v>5</v>
      </c>
      <c r="I3" s="56">
        <f t="shared" si="0"/>
        <v>6</v>
      </c>
      <c r="J3" s="56">
        <f t="shared" si="0"/>
        <v>7</v>
      </c>
      <c r="K3" s="56">
        <f t="shared" si="0"/>
        <v>8</v>
      </c>
      <c r="L3" s="56">
        <f t="shared" si="0"/>
        <v>9</v>
      </c>
      <c r="M3" s="56">
        <f t="shared" si="0"/>
        <v>10</v>
      </c>
      <c r="N3" s="56">
        <f t="shared" si="0"/>
        <v>11</v>
      </c>
      <c r="O3" s="56">
        <f t="shared" si="0"/>
        <v>12</v>
      </c>
      <c r="P3" s="56">
        <f t="shared" si="0"/>
        <v>13</v>
      </c>
      <c r="Q3" s="56">
        <v>1</v>
      </c>
      <c r="R3" s="56">
        <f>Q3+1</f>
        <v>2</v>
      </c>
      <c r="S3" s="56">
        <f t="shared" ref="S3:AC3" si="1">R3+1</f>
        <v>3</v>
      </c>
      <c r="T3" s="56">
        <f t="shared" si="1"/>
        <v>4</v>
      </c>
      <c r="U3" s="56">
        <f t="shared" si="1"/>
        <v>5</v>
      </c>
      <c r="V3" s="56">
        <f t="shared" si="1"/>
        <v>6</v>
      </c>
      <c r="W3" s="56">
        <f t="shared" si="1"/>
        <v>7</v>
      </c>
      <c r="X3" s="56">
        <f t="shared" si="1"/>
        <v>8</v>
      </c>
      <c r="Y3" s="56">
        <f t="shared" si="1"/>
        <v>9</v>
      </c>
      <c r="Z3" s="56">
        <f t="shared" si="1"/>
        <v>10</v>
      </c>
      <c r="AA3" s="56">
        <f t="shared" si="1"/>
        <v>11</v>
      </c>
      <c r="AB3" s="56">
        <f t="shared" si="1"/>
        <v>12</v>
      </c>
      <c r="AC3" s="56">
        <f t="shared" si="1"/>
        <v>13</v>
      </c>
    </row>
    <row r="4" spans="1:30" ht="21" x14ac:dyDescent="0.5">
      <c r="A4" s="11"/>
      <c r="B4" s="6"/>
      <c r="C4" s="8"/>
      <c r="D4" s="8">
        <v>44050</v>
      </c>
      <c r="E4" s="8">
        <f>D4+7</f>
        <v>44057</v>
      </c>
      <c r="F4" s="8">
        <f t="shared" ref="F4:AC4" si="2">E4+7</f>
        <v>44064</v>
      </c>
      <c r="G4" s="8">
        <f t="shared" si="2"/>
        <v>44071</v>
      </c>
      <c r="H4" s="8">
        <f t="shared" si="2"/>
        <v>44078</v>
      </c>
      <c r="I4" s="8">
        <f t="shared" si="2"/>
        <v>44085</v>
      </c>
      <c r="J4" s="8">
        <f t="shared" si="2"/>
        <v>44092</v>
      </c>
      <c r="K4" s="8">
        <f t="shared" si="2"/>
        <v>44099</v>
      </c>
      <c r="L4" s="8">
        <f t="shared" si="2"/>
        <v>44106</v>
      </c>
      <c r="M4" s="8">
        <f t="shared" si="2"/>
        <v>44113</v>
      </c>
      <c r="N4" s="8">
        <f t="shared" si="2"/>
        <v>44120</v>
      </c>
      <c r="O4" s="8">
        <f t="shared" si="2"/>
        <v>44127</v>
      </c>
      <c r="P4" s="8">
        <f t="shared" si="2"/>
        <v>44134</v>
      </c>
      <c r="Q4" s="8">
        <f>P4+7</f>
        <v>44141</v>
      </c>
      <c r="R4" s="8">
        <f t="shared" si="2"/>
        <v>44148</v>
      </c>
      <c r="S4" s="8">
        <f t="shared" si="2"/>
        <v>44155</v>
      </c>
      <c r="T4" s="8">
        <f t="shared" si="2"/>
        <v>44162</v>
      </c>
      <c r="U4" s="8">
        <f t="shared" si="2"/>
        <v>44169</v>
      </c>
      <c r="V4" s="8">
        <f t="shared" si="2"/>
        <v>44176</v>
      </c>
      <c r="W4" s="8">
        <f t="shared" si="2"/>
        <v>44183</v>
      </c>
      <c r="X4" s="8">
        <f t="shared" si="2"/>
        <v>44190</v>
      </c>
      <c r="Y4" s="8">
        <f t="shared" si="2"/>
        <v>44197</v>
      </c>
      <c r="Z4" s="8">
        <f t="shared" si="2"/>
        <v>44204</v>
      </c>
      <c r="AA4" s="8">
        <f t="shared" si="2"/>
        <v>44211</v>
      </c>
      <c r="AB4" s="8">
        <f t="shared" si="2"/>
        <v>44218</v>
      </c>
      <c r="AC4" s="8">
        <f t="shared" si="2"/>
        <v>44225</v>
      </c>
    </row>
    <row r="5" spans="1:30" s="66" customFormat="1" ht="15" customHeight="1" x14ac:dyDescent="0.35">
      <c r="A5" s="12" t="s">
        <v>70</v>
      </c>
    </row>
    <row r="6" spans="1:30" ht="15" customHeight="1" x14ac:dyDescent="0.35">
      <c r="B6" s="47" t="s">
        <v>57</v>
      </c>
      <c r="D6" s="47">
        <f>-'Weekly Rollforward'!D13</f>
        <v>3999</v>
      </c>
      <c r="E6" s="66">
        <f>-'Weekly Rollforward'!E13</f>
        <v>4156</v>
      </c>
      <c r="F6" s="66">
        <f>-'Weekly Rollforward'!F13</f>
        <v>4565</v>
      </c>
      <c r="G6" s="66">
        <f>-'Weekly Rollforward'!G13</f>
        <v>5845.8</v>
      </c>
      <c r="H6" s="66">
        <f>-'Weekly Rollforward'!H13</f>
        <v>6100.6896774193547</v>
      </c>
      <c r="I6" s="66">
        <f>-'Weekly Rollforward'!I13</f>
        <v>7561.26</v>
      </c>
      <c r="J6" s="66">
        <f>-'Weekly Rollforward'!J13</f>
        <v>7931.9100000000008</v>
      </c>
      <c r="K6" s="66">
        <f>-'Weekly Rollforward'!K13</f>
        <v>6870.29</v>
      </c>
      <c r="L6" s="66">
        <f>-'Weekly Rollforward'!L13</f>
        <v>7030.2508064516132</v>
      </c>
      <c r="M6" s="66">
        <f>-'Weekly Rollforward'!M13</f>
        <v>8852.5556451612902</v>
      </c>
      <c r="N6" s="66">
        <f>-'Weekly Rollforward'!N13</f>
        <v>8234.9354838709678</v>
      </c>
      <c r="O6" s="66">
        <f>-'Weekly Rollforward'!O13</f>
        <v>8399.634193548387</v>
      </c>
      <c r="P6" s="66">
        <f>-'Weekly Rollforward'!P13</f>
        <v>8070.2367741935486</v>
      </c>
      <c r="Q6" s="74">
        <f>-'Weekly Rollforward'!Q13</f>
        <v>4881.0540875576116</v>
      </c>
      <c r="R6" s="66"/>
      <c r="S6" s="66"/>
      <c r="T6" s="66"/>
      <c r="U6" s="66"/>
      <c r="V6" s="66"/>
      <c r="W6" s="66"/>
      <c r="X6" s="66"/>
      <c r="Y6" s="66"/>
      <c r="Z6" s="66"/>
      <c r="AA6" s="66"/>
      <c r="AB6" s="66"/>
      <c r="AC6" s="66"/>
      <c r="AD6" s="99"/>
    </row>
    <row r="7" spans="1:30" s="74" customFormat="1" ht="15" customHeight="1" x14ac:dyDescent="0.35">
      <c r="A7" s="12"/>
      <c r="B7" s="74" t="s">
        <v>55</v>
      </c>
      <c r="D7" s="74">
        <f>'Weekly IS'!D20</f>
        <v>11.741935483870968</v>
      </c>
      <c r="E7" s="74">
        <f>'Weekly IS'!E20</f>
        <v>11.741935483870968</v>
      </c>
      <c r="F7" s="74">
        <f>'Weekly IS'!F20</f>
        <v>11.741935483870968</v>
      </c>
      <c r="G7" s="74">
        <f>'Weekly IS'!G20</f>
        <v>11.741935483870968</v>
      </c>
      <c r="H7" s="74">
        <f>'Weekly IS'!H20</f>
        <v>13.832258064516129</v>
      </c>
      <c r="I7" s="74">
        <f>'Weekly IS'!I20</f>
        <v>15.4</v>
      </c>
      <c r="J7" s="74">
        <f>'Weekly IS'!J20</f>
        <v>15.4</v>
      </c>
      <c r="K7" s="74">
        <f>'Weekly IS'!K20</f>
        <v>15.4</v>
      </c>
      <c r="L7" s="74">
        <f>'Weekly IS'!L20</f>
        <v>15.838709677419356</v>
      </c>
      <c r="M7" s="74">
        <f>'Weekly IS'!M20</f>
        <v>16.93548387096774</v>
      </c>
      <c r="N7" s="74">
        <f>'Weekly IS'!N20</f>
        <v>16.93548387096774</v>
      </c>
      <c r="O7" s="74">
        <f>'Weekly IS'!O20</f>
        <v>16.93548387096774</v>
      </c>
      <c r="P7" s="74">
        <f>'Weekly IS'!P20</f>
        <v>16.93548387096774</v>
      </c>
      <c r="Q7" s="74">
        <f>'Weekly IS'!Q20</f>
        <v>17.419354838709676</v>
      </c>
      <c r="AD7" s="99"/>
    </row>
    <row r="8" spans="1:30" s="74" customFormat="1" ht="15" customHeight="1" x14ac:dyDescent="0.35">
      <c r="A8" s="12"/>
      <c r="B8" s="52" t="s">
        <v>178</v>
      </c>
      <c r="C8" s="52"/>
      <c r="D8" s="52">
        <f>SUM(D6:D7)</f>
        <v>4010.7419354838707</v>
      </c>
      <c r="E8" s="52">
        <f t="shared" ref="E8:Q8" si="3">SUM(E6:E7)</f>
        <v>4167.7419354838712</v>
      </c>
      <c r="F8" s="52">
        <f t="shared" si="3"/>
        <v>4576.7419354838712</v>
      </c>
      <c r="G8" s="52">
        <f t="shared" si="3"/>
        <v>5857.5419354838714</v>
      </c>
      <c r="H8" s="52">
        <f t="shared" si="3"/>
        <v>6114.5219354838709</v>
      </c>
      <c r="I8" s="52">
        <f t="shared" si="3"/>
        <v>7576.66</v>
      </c>
      <c r="J8" s="52">
        <f t="shared" si="3"/>
        <v>7947.31</v>
      </c>
      <c r="K8" s="52">
        <f t="shared" si="3"/>
        <v>6885.69</v>
      </c>
      <c r="L8" s="52">
        <f t="shared" si="3"/>
        <v>7046.0895161290327</v>
      </c>
      <c r="M8" s="52">
        <f t="shared" si="3"/>
        <v>8869.491129032258</v>
      </c>
      <c r="N8" s="52">
        <f t="shared" si="3"/>
        <v>8251.8709677419356</v>
      </c>
      <c r="O8" s="52">
        <f t="shared" si="3"/>
        <v>8416.5696774193548</v>
      </c>
      <c r="P8" s="52">
        <f t="shared" si="3"/>
        <v>8087.1722580645164</v>
      </c>
      <c r="Q8" s="52">
        <f t="shared" si="3"/>
        <v>4898.4734423963209</v>
      </c>
      <c r="R8" s="52"/>
      <c r="S8" s="52"/>
      <c r="T8" s="52"/>
      <c r="U8" s="52"/>
      <c r="V8" s="52"/>
      <c r="W8" s="52"/>
      <c r="X8" s="52"/>
      <c r="Y8" s="52"/>
      <c r="Z8" s="52"/>
      <c r="AA8" s="52"/>
      <c r="AB8" s="52"/>
      <c r="AC8" s="52"/>
      <c r="AD8" s="99"/>
    </row>
    <row r="9" spans="1:30" ht="15" customHeight="1" x14ac:dyDescent="0.35">
      <c r="B9" s="57"/>
      <c r="C9" s="53"/>
      <c r="D9" s="54"/>
      <c r="E9" s="54"/>
      <c r="F9" s="54"/>
      <c r="G9" s="54"/>
      <c r="Q9" s="74"/>
      <c r="AD9" s="99"/>
    </row>
    <row r="10" spans="1:30" ht="15" customHeight="1" x14ac:dyDescent="0.35">
      <c r="B10" s="57" t="s">
        <v>58</v>
      </c>
      <c r="C10" s="53"/>
      <c r="D10" s="76">
        <f>'Weekly Rollforward'!D43</f>
        <v>-2610.8870967741932</v>
      </c>
      <c r="E10" s="76">
        <f>'Weekly Rollforward'!E43</f>
        <v>-1566.5322580645161</v>
      </c>
      <c r="F10" s="76">
        <f>'Weekly Rollforward'!F43</f>
        <v>-2610.8870967741932</v>
      </c>
      <c r="G10" s="76">
        <f>'Weekly Rollforward'!G43</f>
        <v>-1566.5322580645161</v>
      </c>
      <c r="H10" s="76">
        <f>'Weekly Rollforward'!H43</f>
        <v>-3193.6946129032258</v>
      </c>
      <c r="I10" s="76">
        <f>'Weekly Rollforward'!I43</f>
        <v>-2098.6801499999997</v>
      </c>
      <c r="J10" s="76">
        <f>'Weekly Rollforward'!J43</f>
        <v>-3497.8002499999998</v>
      </c>
      <c r="K10" s="76">
        <f>'Weekly Rollforward'!K43</f>
        <v>-2098.6801499999997</v>
      </c>
      <c r="L10" s="76">
        <f>'Weekly Rollforward'!L43</f>
        <v>-3287.7290709677413</v>
      </c>
      <c r="M10" s="76">
        <f>'Weekly Rollforward'!M43</f>
        <v>-1815.5265032258062</v>
      </c>
      <c r="N10" s="76">
        <f>'Weekly Rollforward'!N43</f>
        <v>-3112.3311483870962</v>
      </c>
      <c r="O10" s="76">
        <f>'Weekly Rollforward'!O43</f>
        <v>-1815.5265032258062</v>
      </c>
      <c r="P10" s="76">
        <f>'Weekly Rollforward'!P43</f>
        <v>-3083.1311483870963</v>
      </c>
      <c r="Q10" s="76">
        <f>'Weekly Rollforward'!Q43</f>
        <v>-2158.2531837522579</v>
      </c>
      <c r="R10" s="76"/>
      <c r="S10" s="76"/>
      <c r="T10" s="76"/>
      <c r="U10" s="76"/>
      <c r="V10" s="76"/>
      <c r="W10" s="76"/>
      <c r="X10" s="76"/>
      <c r="Y10" s="76"/>
      <c r="Z10" s="76"/>
      <c r="AA10" s="76"/>
      <c r="AB10" s="76"/>
      <c r="AC10" s="76"/>
      <c r="AD10" s="99"/>
    </row>
    <row r="11" spans="1:30" ht="15" customHeight="1" x14ac:dyDescent="0.35">
      <c r="B11" s="57" t="s">
        <v>59</v>
      </c>
      <c r="C11" s="53"/>
      <c r="D11" s="53">
        <f>'Weekly Rollforward'!D33</f>
        <v>-775.23870967741937</v>
      </c>
      <c r="E11" s="53">
        <f>'Weekly Rollforward'!E33</f>
        <v>-3100.9548387096775</v>
      </c>
      <c r="F11" s="53">
        <f>'Weekly Rollforward'!F33</f>
        <v>-775.23870967741937</v>
      </c>
      <c r="G11" s="53">
        <f>'Weekly Rollforward'!G33</f>
        <v>-3100.9548387096775</v>
      </c>
      <c r="H11" s="53">
        <f>'Weekly Rollforward'!H33</f>
        <v>-1146.6755612903225</v>
      </c>
      <c r="I11" s="53">
        <f>'Weekly Rollforward'!I33</f>
        <v>-5701.0128000000004</v>
      </c>
      <c r="J11" s="53">
        <f>'Weekly Rollforward'!J33</f>
        <v>-1425.2532000000001</v>
      </c>
      <c r="K11" s="53">
        <f>'Weekly Rollforward'!K33</f>
        <v>-5283.1128000000008</v>
      </c>
      <c r="L11" s="53">
        <f>'Weekly Rollforward'!L33</f>
        <v>-1249.1092516129033</v>
      </c>
      <c r="M11" s="53">
        <f>'Weekly Rollforward'!M33</f>
        <v>-3406.1967483870962</v>
      </c>
      <c r="N11" s="53">
        <f>'Weekly Rollforward'!N33</f>
        <v>-1621.998451612903</v>
      </c>
      <c r="O11" s="53">
        <f>'Weekly Rollforward'!O33</f>
        <v>-393.0992258064515</v>
      </c>
      <c r="P11" s="53">
        <f>'Weekly Rollforward'!P33</f>
        <v>-2826.0969032258058</v>
      </c>
      <c r="Q11" s="53">
        <f>'Weekly Rollforward'!Q33</f>
        <v>-9168.0469751169221</v>
      </c>
      <c r="R11" s="53"/>
      <c r="S11" s="53"/>
      <c r="T11" s="53"/>
      <c r="U11" s="53"/>
      <c r="V11" s="53"/>
      <c r="W11" s="53"/>
      <c r="X11" s="53"/>
      <c r="Y11" s="53"/>
      <c r="Z11" s="53"/>
      <c r="AA11" s="53"/>
      <c r="AB11" s="53"/>
      <c r="AC11" s="53"/>
      <c r="AD11" s="99"/>
    </row>
    <row r="12" spans="1:30" ht="15" customHeight="1" x14ac:dyDescent="0.35">
      <c r="A12" s="37"/>
      <c r="B12" s="57" t="s">
        <v>60</v>
      </c>
      <c r="C12" s="53"/>
      <c r="D12" s="76">
        <f>'Weekly Rollforward'!D57*-1</f>
        <v>-1129.0322580645161</v>
      </c>
      <c r="E12" s="76">
        <f>'Weekly Rollforward'!E57*-1</f>
        <v>-1129.0322580645161</v>
      </c>
      <c r="F12" s="76">
        <f>'Weekly Rollforward'!F57*-1</f>
        <v>-1129.0322580645161</v>
      </c>
      <c r="G12" s="76">
        <f>'Weekly Rollforward'!G57*-1</f>
        <v>-1129.0322580645161</v>
      </c>
      <c r="H12" s="76">
        <f>'Weekly Rollforward'!H57*-1</f>
        <v>-1017.2043010752689</v>
      </c>
      <c r="I12" s="76">
        <f>'Weekly Rollforward'!I57*-1</f>
        <v>-933.33333333333337</v>
      </c>
      <c r="J12" s="76">
        <f>'Weekly Rollforward'!J57*-1</f>
        <v>-933.33333333333337</v>
      </c>
      <c r="K12" s="76">
        <f>'Weekly Rollforward'!K57*-1</f>
        <v>-933.33333333333337</v>
      </c>
      <c r="L12" s="76">
        <f>'Weekly Rollforward'!L57*-1</f>
        <v>-989.24731182795699</v>
      </c>
      <c r="M12" s="76">
        <f>'Weekly Rollforward'!M57*-1</f>
        <v>-1129.0322580645161</v>
      </c>
      <c r="N12" s="76">
        <f>'Weekly Rollforward'!N57*-1</f>
        <v>-1129.0322580645161</v>
      </c>
      <c r="O12" s="76">
        <f>'Weekly Rollforward'!O57*-1</f>
        <v>-1129.0322580645161</v>
      </c>
      <c r="P12" s="76">
        <f>-'Weekly Rollforward'!P57</f>
        <v>-1129.0322580645161</v>
      </c>
      <c r="Q12" s="76">
        <f>-'Weekly Rollforward'!Q57</f>
        <v>-1161.2903225806451</v>
      </c>
      <c r="R12" s="76"/>
      <c r="S12" s="76"/>
      <c r="T12" s="76"/>
      <c r="U12" s="76"/>
      <c r="V12" s="76"/>
      <c r="W12" s="76"/>
      <c r="X12" s="76"/>
      <c r="Y12" s="76"/>
      <c r="Z12" s="76"/>
      <c r="AA12" s="76"/>
      <c r="AB12" s="76"/>
      <c r="AC12" s="76"/>
      <c r="AD12" s="99"/>
    </row>
    <row r="13" spans="1:30" ht="15" customHeight="1" x14ac:dyDescent="0.35">
      <c r="B13" s="57" t="s">
        <v>65</v>
      </c>
      <c r="C13" s="53"/>
      <c r="D13" s="53">
        <f>'Weekly Rollforward'!D51</f>
        <v>0</v>
      </c>
      <c r="E13" s="53">
        <f>'Weekly Rollforward'!E51</f>
        <v>0</v>
      </c>
      <c r="F13" s="53">
        <f>'Weekly Rollforward'!F51</f>
        <v>0</v>
      </c>
      <c r="G13" s="53">
        <f>'Weekly Rollforward'!G51</f>
        <v>-94.838709677419359</v>
      </c>
      <c r="H13" s="53">
        <f>'Weekly Rollforward'!H51</f>
        <v>0</v>
      </c>
      <c r="I13" s="53">
        <f>'Weekly Rollforward'!I51</f>
        <v>0</v>
      </c>
      <c r="J13" s="53">
        <f>'Weekly Rollforward'!J51</f>
        <v>0</v>
      </c>
      <c r="K13" s="53">
        <f>'Weekly Rollforward'!K51</f>
        <v>0</v>
      </c>
      <c r="L13" s="53">
        <f>'Weekly Rollforward'!L51</f>
        <v>-802.43127419354869</v>
      </c>
      <c r="M13" s="53">
        <f>'Weekly Rollforward'!M51</f>
        <v>0</v>
      </c>
      <c r="N13" s="53">
        <f>'Weekly Rollforward'!N51</f>
        <v>0</v>
      </c>
      <c r="O13" s="53">
        <f>'Weekly Rollforward'!O51</f>
        <v>0</v>
      </c>
      <c r="P13" s="53">
        <f>'Weekly Rollforward'!P51</f>
        <v>-1261.5788387096802</v>
      </c>
      <c r="Q13" s="53">
        <f>'Weekly Rollforward'!Q51</f>
        <v>0</v>
      </c>
      <c r="R13" s="53"/>
      <c r="S13" s="53"/>
      <c r="T13" s="53"/>
      <c r="U13" s="53"/>
      <c r="V13" s="53"/>
      <c r="W13" s="53"/>
      <c r="X13" s="53"/>
      <c r="Y13" s="53"/>
      <c r="Z13" s="53"/>
      <c r="AA13" s="53"/>
      <c r="AB13" s="53"/>
      <c r="AC13" s="53"/>
      <c r="AD13" s="99"/>
    </row>
    <row r="14" spans="1:30" ht="15" customHeight="1" x14ac:dyDescent="0.35">
      <c r="B14" s="55" t="s">
        <v>216</v>
      </c>
      <c r="C14" s="53"/>
      <c r="D14" s="76">
        <f>SUM(D10:D13)</f>
        <v>-4515.1580645161284</v>
      </c>
      <c r="E14" s="76">
        <f t="shared" ref="E14:O14" si="4">SUM(E10:E13)</f>
        <v>-5796.5193548387097</v>
      </c>
      <c r="F14" s="76">
        <f t="shared" si="4"/>
        <v>-4515.1580645161284</v>
      </c>
      <c r="G14" s="76">
        <f t="shared" si="4"/>
        <v>-5891.3580645161292</v>
      </c>
      <c r="H14" s="76">
        <f t="shared" si="4"/>
        <v>-5357.574475268817</v>
      </c>
      <c r="I14" s="76">
        <f t="shared" si="4"/>
        <v>-8733.0262833333345</v>
      </c>
      <c r="J14" s="76">
        <f t="shared" si="4"/>
        <v>-5856.3867833333325</v>
      </c>
      <c r="K14" s="76">
        <f t="shared" si="4"/>
        <v>-8315.1262833333349</v>
      </c>
      <c r="L14" s="76">
        <f t="shared" si="4"/>
        <v>-6328.5169086021506</v>
      </c>
      <c r="M14" s="76">
        <f t="shared" si="4"/>
        <v>-6350.7555096774186</v>
      </c>
      <c r="N14" s="76">
        <f t="shared" si="4"/>
        <v>-5863.3618580645152</v>
      </c>
      <c r="O14" s="76">
        <f t="shared" si="4"/>
        <v>-3337.6579870967739</v>
      </c>
      <c r="P14" s="76">
        <f>SUM(P10:P13)</f>
        <v>-8299.8391483870982</v>
      </c>
      <c r="Q14" s="76">
        <f>SUM(Q10:Q13)</f>
        <v>-12487.590481449826</v>
      </c>
      <c r="R14" s="76"/>
      <c r="S14" s="76"/>
      <c r="T14" s="76"/>
      <c r="U14" s="76"/>
      <c r="V14" s="76"/>
      <c r="W14" s="76"/>
      <c r="X14" s="76"/>
      <c r="Y14" s="76"/>
      <c r="Z14" s="76"/>
      <c r="AA14" s="76"/>
      <c r="AB14" s="76"/>
      <c r="AC14" s="76"/>
      <c r="AD14" s="99"/>
    </row>
    <row r="15" spans="1:30" ht="15" customHeight="1" x14ac:dyDescent="0.35">
      <c r="B15" s="57"/>
      <c r="C15" s="53"/>
      <c r="D15" s="53"/>
      <c r="E15" s="53"/>
      <c r="F15" s="53"/>
      <c r="G15" s="53"/>
      <c r="H15" s="53"/>
      <c r="I15" s="53"/>
      <c r="J15" s="53"/>
      <c r="K15" s="53"/>
      <c r="L15" s="53"/>
      <c r="M15" s="53"/>
      <c r="N15" s="53"/>
      <c r="O15" s="53"/>
      <c r="P15" s="53"/>
      <c r="Q15" s="53"/>
      <c r="R15" s="53"/>
      <c r="S15" s="53"/>
      <c r="T15" s="53"/>
      <c r="U15" s="53"/>
      <c r="V15" s="53"/>
      <c r="W15" s="53"/>
      <c r="X15" s="53"/>
      <c r="Y15" s="53"/>
      <c r="Z15" s="53"/>
      <c r="AA15" s="53"/>
      <c r="AB15" s="53"/>
      <c r="AC15" s="53"/>
      <c r="AD15" s="99"/>
    </row>
    <row r="16" spans="1:30" ht="15" customHeight="1" x14ac:dyDescent="0.35">
      <c r="B16" s="57" t="s">
        <v>61</v>
      </c>
      <c r="C16" s="53"/>
      <c r="D16" s="76">
        <f>D8+D14</f>
        <v>-504.41612903225769</v>
      </c>
      <c r="E16" s="76">
        <f t="shared" ref="E16:Q16" si="5">E8+E14</f>
        <v>-1628.7774193548385</v>
      </c>
      <c r="F16" s="76">
        <f t="shared" si="5"/>
        <v>61.583870967742769</v>
      </c>
      <c r="G16" s="76">
        <f t="shared" si="5"/>
        <v>-33.816129032257777</v>
      </c>
      <c r="H16" s="76">
        <f t="shared" si="5"/>
        <v>756.94746021505398</v>
      </c>
      <c r="I16" s="76">
        <f t="shared" si="5"/>
        <v>-1156.3662833333346</v>
      </c>
      <c r="J16" s="76">
        <f t="shared" si="5"/>
        <v>2090.9232166666679</v>
      </c>
      <c r="K16" s="76">
        <f t="shared" si="5"/>
        <v>-1429.4362833333353</v>
      </c>
      <c r="L16" s="76">
        <f t="shared" si="5"/>
        <v>717.57260752688217</v>
      </c>
      <c r="M16" s="76">
        <f t="shared" si="5"/>
        <v>2518.7356193548394</v>
      </c>
      <c r="N16" s="76">
        <f t="shared" si="5"/>
        <v>2388.5091096774204</v>
      </c>
      <c r="O16" s="76">
        <f t="shared" si="5"/>
        <v>5078.9116903225804</v>
      </c>
      <c r="P16" s="76">
        <f t="shared" si="5"/>
        <v>-212.66689032258182</v>
      </c>
      <c r="Q16" s="76">
        <f t="shared" si="5"/>
        <v>-7589.1170390535053</v>
      </c>
      <c r="R16" s="76"/>
      <c r="S16" s="76"/>
      <c r="T16" s="76"/>
      <c r="U16" s="76"/>
      <c r="V16" s="76"/>
      <c r="W16" s="76"/>
      <c r="X16" s="76"/>
      <c r="Y16" s="76"/>
      <c r="Z16" s="76"/>
      <c r="AA16" s="76"/>
      <c r="AB16" s="76"/>
      <c r="AC16" s="76"/>
      <c r="AD16" s="99"/>
    </row>
    <row r="17" spans="1:30" ht="15" customHeight="1" x14ac:dyDescent="0.35">
      <c r="B17" s="55"/>
      <c r="C17" s="53"/>
      <c r="D17" s="54"/>
      <c r="E17" s="54"/>
      <c r="F17" s="54"/>
      <c r="G17" s="54"/>
    </row>
    <row r="18" spans="1:30" ht="15" customHeight="1" x14ac:dyDescent="0.35">
      <c r="B18" s="57" t="s">
        <v>62</v>
      </c>
      <c r="C18" s="53"/>
      <c r="D18" s="54">
        <v>0</v>
      </c>
      <c r="E18" s="54">
        <v>0</v>
      </c>
      <c r="F18" s="54">
        <v>0</v>
      </c>
      <c r="G18" s="54">
        <v>0</v>
      </c>
      <c r="H18" s="54">
        <v>0</v>
      </c>
      <c r="I18" s="54">
        <v>0</v>
      </c>
      <c r="J18" s="54">
        <v>0</v>
      </c>
      <c r="K18" s="54">
        <v>0</v>
      </c>
      <c r="L18" s="54">
        <v>0</v>
      </c>
      <c r="M18" s="49">
        <v>0</v>
      </c>
      <c r="N18" s="49">
        <v>0</v>
      </c>
      <c r="O18" s="49">
        <v>0</v>
      </c>
      <c r="P18" s="49">
        <v>-486.13917749999962</v>
      </c>
      <c r="Q18" s="49">
        <v>0</v>
      </c>
      <c r="R18" s="49">
        <v>0</v>
      </c>
      <c r="S18" s="49">
        <v>0</v>
      </c>
      <c r="T18" s="49">
        <v>0</v>
      </c>
      <c r="U18" s="49">
        <v>0</v>
      </c>
      <c r="V18" s="49">
        <v>0</v>
      </c>
      <c r="W18" s="49">
        <v>0</v>
      </c>
      <c r="X18" s="49">
        <v>0</v>
      </c>
      <c r="Y18" s="49">
        <v>0</v>
      </c>
      <c r="Z18" s="49">
        <v>0</v>
      </c>
      <c r="AA18" s="49">
        <v>0</v>
      </c>
      <c r="AB18" s="49">
        <v>0</v>
      </c>
      <c r="AC18" s="77">
        <f>-SUM(Q55:AC55)</f>
        <v>0</v>
      </c>
      <c r="AD18" s="100"/>
    </row>
    <row r="19" spans="1:30" ht="15" customHeight="1" x14ac:dyDescent="0.35">
      <c r="B19" s="57" t="s">
        <v>63</v>
      </c>
      <c r="C19" s="53"/>
      <c r="D19" s="54">
        <v>0</v>
      </c>
      <c r="E19" s="54">
        <v>0</v>
      </c>
      <c r="F19" s="54">
        <v>0</v>
      </c>
      <c r="G19" s="54">
        <v>0</v>
      </c>
      <c r="H19" s="54">
        <v>0</v>
      </c>
      <c r="I19" s="54">
        <v>0</v>
      </c>
      <c r="J19" s="54">
        <v>0</v>
      </c>
      <c r="K19" s="54">
        <v>0</v>
      </c>
      <c r="L19" s="54">
        <v>0</v>
      </c>
      <c r="M19" s="49">
        <v>0</v>
      </c>
      <c r="N19" s="49">
        <v>0</v>
      </c>
      <c r="O19" s="49">
        <v>0</v>
      </c>
      <c r="P19" s="49">
        <v>-3515.6250000000005</v>
      </c>
      <c r="Q19" s="49">
        <v>0</v>
      </c>
      <c r="R19" s="49">
        <v>0</v>
      </c>
      <c r="S19" s="49">
        <v>0</v>
      </c>
      <c r="T19" s="49">
        <v>0</v>
      </c>
      <c r="U19" s="49">
        <v>0</v>
      </c>
      <c r="V19" s="49">
        <v>0</v>
      </c>
      <c r="W19" s="49">
        <v>0</v>
      </c>
      <c r="X19" s="49">
        <v>0</v>
      </c>
      <c r="Y19" s="49">
        <v>0</v>
      </c>
      <c r="Z19" s="49">
        <v>0</v>
      </c>
      <c r="AA19" s="49">
        <v>0</v>
      </c>
      <c r="AB19" s="49">
        <v>0</v>
      </c>
      <c r="AC19" s="77">
        <f>-SUM(Q56:AC56)</f>
        <v>0</v>
      </c>
      <c r="AD19" s="100"/>
    </row>
    <row r="20" spans="1:30" ht="15" customHeight="1" x14ac:dyDescent="0.35">
      <c r="B20" s="57" t="s">
        <v>164</v>
      </c>
      <c r="D20" s="49">
        <v>0</v>
      </c>
      <c r="E20" s="49">
        <v>0</v>
      </c>
      <c r="F20" s="49">
        <v>0</v>
      </c>
      <c r="G20" s="49">
        <v>0</v>
      </c>
      <c r="H20" s="49">
        <v>0</v>
      </c>
      <c r="I20" s="49">
        <v>0</v>
      </c>
      <c r="J20" s="49">
        <v>0</v>
      </c>
      <c r="K20" s="49">
        <v>0</v>
      </c>
      <c r="L20" s="49">
        <v>0</v>
      </c>
      <c r="M20" s="49">
        <v>0</v>
      </c>
      <c r="N20" s="49">
        <v>0</v>
      </c>
      <c r="O20" s="49">
        <v>0</v>
      </c>
      <c r="P20" s="66">
        <f>'Weekly IS'!P23</f>
        <v>-1000</v>
      </c>
      <c r="Q20" s="74">
        <f>'Weekly IS'!Q23</f>
        <v>0</v>
      </c>
      <c r="R20" s="74"/>
      <c r="S20" s="74"/>
      <c r="T20" s="74"/>
      <c r="U20" s="74"/>
      <c r="V20" s="74"/>
      <c r="W20" s="74"/>
      <c r="X20" s="74"/>
      <c r="Y20" s="74"/>
      <c r="Z20" s="74"/>
      <c r="AA20" s="74"/>
      <c r="AB20" s="74"/>
      <c r="AC20" s="74"/>
      <c r="AD20" s="99"/>
    </row>
    <row r="21" spans="1:30" ht="15" customHeight="1" x14ac:dyDescent="0.35">
      <c r="B21" s="65" t="s">
        <v>64</v>
      </c>
      <c r="C21" s="52"/>
      <c r="D21" s="52">
        <f>SUM(D18:D20)</f>
        <v>0</v>
      </c>
      <c r="E21" s="52">
        <f>SUM(E18:E20)</f>
        <v>0</v>
      </c>
      <c r="F21" s="52">
        <f>SUM(F18:F20)</f>
        <v>0</v>
      </c>
      <c r="G21" s="52">
        <f>SUM(G18:G20)</f>
        <v>0</v>
      </c>
      <c r="H21" s="52">
        <f t="shared" ref="H21:L21" si="6">SUM(H18:H20)</f>
        <v>0</v>
      </c>
      <c r="I21" s="52">
        <f t="shared" si="6"/>
        <v>0</v>
      </c>
      <c r="J21" s="52">
        <f t="shared" si="6"/>
        <v>0</v>
      </c>
      <c r="K21" s="52">
        <f t="shared" si="6"/>
        <v>0</v>
      </c>
      <c r="L21" s="52">
        <f t="shared" si="6"/>
        <v>0</v>
      </c>
      <c r="M21" s="52">
        <f t="shared" ref="M21" si="7">SUM(M18:M20)</f>
        <v>0</v>
      </c>
      <c r="N21" s="52">
        <f t="shared" ref="N21" si="8">SUM(N18:N20)</f>
        <v>0</v>
      </c>
      <c r="O21" s="52">
        <f t="shared" ref="O21" si="9">SUM(O18:O20)</f>
        <v>0</v>
      </c>
      <c r="P21" s="52">
        <f>SUM(P18:P20)</f>
        <v>-5001.7641775000002</v>
      </c>
      <c r="Q21" s="52">
        <f>SUM(Q18:Q20)</f>
        <v>0</v>
      </c>
      <c r="R21" s="52"/>
      <c r="S21" s="52"/>
      <c r="T21" s="52"/>
      <c r="U21" s="52"/>
      <c r="V21" s="52"/>
      <c r="W21" s="52"/>
      <c r="X21" s="52"/>
      <c r="Y21" s="52"/>
      <c r="Z21" s="52"/>
      <c r="AA21" s="52"/>
      <c r="AB21" s="52"/>
      <c r="AC21" s="52"/>
      <c r="AD21" s="99"/>
    </row>
    <row r="22" spans="1:30" ht="15" customHeight="1" x14ac:dyDescent="0.35">
      <c r="B22" s="58"/>
    </row>
    <row r="23" spans="1:30" ht="15" customHeight="1" x14ac:dyDescent="0.35">
      <c r="B23" s="58" t="s">
        <v>66</v>
      </c>
      <c r="D23" s="47">
        <f>D16+D21</f>
        <v>-504.41612903225769</v>
      </c>
      <c r="E23" s="66">
        <f t="shared" ref="E23:O23" si="10">E16+E21</f>
        <v>-1628.7774193548385</v>
      </c>
      <c r="F23" s="66">
        <f t="shared" si="10"/>
        <v>61.583870967742769</v>
      </c>
      <c r="G23" s="66">
        <f t="shared" si="10"/>
        <v>-33.816129032257777</v>
      </c>
      <c r="H23" s="66">
        <f t="shared" si="10"/>
        <v>756.94746021505398</v>
      </c>
      <c r="I23" s="66">
        <f t="shared" si="10"/>
        <v>-1156.3662833333346</v>
      </c>
      <c r="J23" s="66">
        <f t="shared" si="10"/>
        <v>2090.9232166666679</v>
      </c>
      <c r="K23" s="66">
        <f t="shared" si="10"/>
        <v>-1429.4362833333353</v>
      </c>
      <c r="L23" s="66">
        <f t="shared" si="10"/>
        <v>717.57260752688217</v>
      </c>
      <c r="M23" s="66">
        <f t="shared" si="10"/>
        <v>2518.7356193548394</v>
      </c>
      <c r="N23" s="66">
        <f t="shared" si="10"/>
        <v>2388.5091096774204</v>
      </c>
      <c r="O23" s="66">
        <f t="shared" si="10"/>
        <v>5078.9116903225804</v>
      </c>
      <c r="P23" s="66">
        <f>P16+P21</f>
        <v>-5214.431067822582</v>
      </c>
      <c r="Q23" s="74">
        <f>Q16+Q21</f>
        <v>-7589.1170390535053</v>
      </c>
      <c r="R23" s="66"/>
      <c r="S23" s="66"/>
      <c r="T23" s="66"/>
      <c r="U23" s="66"/>
      <c r="V23" s="66"/>
      <c r="W23" s="66"/>
      <c r="X23" s="66"/>
      <c r="Y23" s="66"/>
      <c r="Z23" s="66"/>
      <c r="AA23" s="66"/>
      <c r="AB23" s="66"/>
      <c r="AC23" s="66"/>
      <c r="AD23" s="99"/>
    </row>
    <row r="24" spans="1:30" ht="15" customHeight="1" x14ac:dyDescent="0.35">
      <c r="B24" s="58"/>
    </row>
    <row r="25" spans="1:30" ht="15" customHeight="1" x14ac:dyDescent="0.35">
      <c r="A25" s="12" t="s">
        <v>69</v>
      </c>
    </row>
    <row r="26" spans="1:30" ht="15" customHeight="1" x14ac:dyDescent="0.35">
      <c r="B26" s="58" t="s">
        <v>67</v>
      </c>
      <c r="D26" s="66"/>
      <c r="E26" s="66"/>
      <c r="F26" s="66"/>
      <c r="G26" s="66"/>
      <c r="H26" s="66"/>
      <c r="I26" s="66"/>
      <c r="J26" s="66"/>
      <c r="K26" s="66"/>
      <c r="L26" s="66"/>
      <c r="M26" s="66"/>
      <c r="N26" s="66"/>
      <c r="O26" s="66"/>
      <c r="P26" s="66"/>
      <c r="Q26" s="47">
        <f>P28</f>
        <v>21989</v>
      </c>
      <c r="R26" s="66"/>
      <c r="S26" s="66"/>
      <c r="T26" s="66"/>
      <c r="U26" s="66"/>
      <c r="V26" s="66"/>
      <c r="W26" s="66"/>
      <c r="X26" s="66"/>
      <c r="Y26" s="66"/>
      <c r="Z26" s="66"/>
      <c r="AA26" s="66"/>
      <c r="AB26" s="66"/>
      <c r="AC26" s="66"/>
    </row>
    <row r="27" spans="1:30" ht="15" customHeight="1" x14ac:dyDescent="0.35">
      <c r="B27" s="58" t="s">
        <v>66</v>
      </c>
      <c r="D27" s="66"/>
      <c r="E27" s="66"/>
      <c r="F27" s="66"/>
      <c r="G27" s="66"/>
      <c r="H27" s="66"/>
      <c r="I27" s="66"/>
      <c r="J27" s="66"/>
      <c r="K27" s="66"/>
      <c r="L27" s="66"/>
      <c r="M27" s="66"/>
      <c r="N27" s="66"/>
      <c r="O27" s="66"/>
      <c r="P27" s="66"/>
      <c r="Q27" s="101">
        <f t="shared" ref="Q27" si="11">Q23</f>
        <v>-7589.1170390535053</v>
      </c>
      <c r="R27" s="66"/>
      <c r="S27" s="66"/>
      <c r="T27" s="66"/>
      <c r="U27" s="66"/>
      <c r="V27" s="66"/>
      <c r="W27" s="66"/>
      <c r="X27" s="66"/>
      <c r="Y27" s="66"/>
      <c r="Z27" s="66"/>
      <c r="AA27" s="66"/>
      <c r="AB27" s="66"/>
      <c r="AC27" s="66"/>
    </row>
    <row r="28" spans="1:30" ht="15" customHeight="1" x14ac:dyDescent="0.35">
      <c r="B28" s="58" t="s">
        <v>68</v>
      </c>
      <c r="D28" s="66"/>
      <c r="E28" s="66"/>
      <c r="F28" s="66"/>
      <c r="G28" s="66"/>
      <c r="H28" s="66"/>
      <c r="I28" s="66"/>
      <c r="J28" s="66"/>
      <c r="K28" s="66"/>
      <c r="L28" s="66"/>
      <c r="M28" s="66"/>
      <c r="N28" s="66"/>
      <c r="O28" s="66"/>
      <c r="P28" s="66">
        <f>'Weekly BS Summary'!P7</f>
        <v>21989</v>
      </c>
      <c r="Q28" s="66">
        <f>SUM(Q26:Q27)</f>
        <v>14399.882960946496</v>
      </c>
      <c r="R28" s="66"/>
      <c r="S28" s="66"/>
      <c r="T28" s="66"/>
      <c r="U28" s="66"/>
      <c r="V28" s="66"/>
      <c r="W28" s="66"/>
      <c r="X28" s="66"/>
      <c r="Y28" s="66"/>
      <c r="Z28" s="66"/>
      <c r="AA28" s="66"/>
      <c r="AB28" s="66"/>
      <c r="AC28" s="66"/>
    </row>
    <row r="29" spans="1:30" s="66" customFormat="1" ht="15" customHeight="1" x14ac:dyDescent="0.35">
      <c r="A29" s="12"/>
      <c r="B29" s="58" t="s">
        <v>129</v>
      </c>
      <c r="C29" s="49"/>
      <c r="P29" s="49">
        <v>20000</v>
      </c>
      <c r="Q29" s="66">
        <f>P29</f>
        <v>20000</v>
      </c>
    </row>
    <row r="30" spans="1:30" ht="15" customHeight="1" x14ac:dyDescent="0.35">
      <c r="B30" s="58" t="s">
        <v>148</v>
      </c>
      <c r="D30" s="66"/>
      <c r="E30" s="66"/>
      <c r="F30" s="66"/>
      <c r="G30" s="66"/>
      <c r="H30" s="66"/>
      <c r="I30" s="66"/>
      <c r="J30" s="66"/>
      <c r="K30" s="66"/>
      <c r="L30" s="66"/>
      <c r="M30" s="66"/>
      <c r="N30" s="66"/>
      <c r="O30" s="66"/>
      <c r="P30" s="66"/>
      <c r="Q30" s="66">
        <f>Q28-Q29</f>
        <v>-5600.1170390535044</v>
      </c>
      <c r="R30" s="66"/>
      <c r="S30" s="66"/>
      <c r="T30" s="66"/>
      <c r="U30" s="66"/>
      <c r="V30" s="66"/>
      <c r="W30" s="66"/>
      <c r="X30" s="66"/>
      <c r="Y30" s="66"/>
      <c r="Z30" s="66"/>
      <c r="AA30" s="66"/>
      <c r="AB30" s="66"/>
      <c r="AC30" s="66"/>
    </row>
    <row r="31" spans="1:30" s="74" customFormat="1" ht="15" customHeight="1" x14ac:dyDescent="0.35">
      <c r="A31" s="12"/>
      <c r="B31" s="58" t="s">
        <v>168</v>
      </c>
      <c r="Q31" s="74">
        <f>MAX(Q29,Q29+Q30)</f>
        <v>20000</v>
      </c>
    </row>
    <row r="32" spans="1:30" s="66" customFormat="1" ht="15" customHeight="1" x14ac:dyDescent="0.35">
      <c r="A32" s="12"/>
      <c r="B32" s="58"/>
    </row>
    <row r="33" spans="1:29" ht="15" customHeight="1" x14ac:dyDescent="0.35">
      <c r="A33" s="12" t="s">
        <v>145</v>
      </c>
      <c r="D33" s="66"/>
      <c r="E33" s="66"/>
      <c r="F33" s="66"/>
      <c r="G33" s="66"/>
      <c r="H33" s="66"/>
      <c r="I33" s="66"/>
      <c r="J33" s="66"/>
      <c r="K33" s="66"/>
      <c r="L33" s="66"/>
      <c r="M33" s="66"/>
      <c r="Q33" s="66"/>
      <c r="R33" s="66"/>
      <c r="S33" s="66"/>
      <c r="T33" s="66"/>
      <c r="U33" s="66"/>
      <c r="V33" s="66"/>
      <c r="W33" s="66"/>
      <c r="X33" s="66"/>
      <c r="Y33" s="66"/>
      <c r="Z33" s="66"/>
      <c r="AA33" s="66"/>
      <c r="AB33" s="66"/>
      <c r="AC33" s="66"/>
    </row>
    <row r="34" spans="1:29" ht="15" customHeight="1" x14ac:dyDescent="0.35">
      <c r="B34" s="58" t="s">
        <v>71</v>
      </c>
      <c r="D34" s="66"/>
      <c r="E34" s="66"/>
      <c r="F34" s="66"/>
      <c r="G34" s="66"/>
      <c r="H34" s="66"/>
      <c r="I34" s="66"/>
      <c r="J34" s="66"/>
      <c r="K34" s="66"/>
      <c r="L34" s="66"/>
      <c r="M34" s="66"/>
      <c r="Q34" s="66"/>
      <c r="R34" s="66"/>
      <c r="S34" s="66"/>
      <c r="T34" s="66"/>
      <c r="U34" s="66"/>
      <c r="V34" s="66"/>
      <c r="W34" s="66"/>
      <c r="X34" s="66"/>
      <c r="Y34" s="66"/>
      <c r="Z34" s="66"/>
      <c r="AA34" s="66"/>
      <c r="AB34" s="66"/>
      <c r="AC34" s="66"/>
    </row>
    <row r="35" spans="1:29" s="66" customFormat="1" ht="15" customHeight="1" x14ac:dyDescent="0.35">
      <c r="A35" s="12"/>
      <c r="B35" s="51" t="s">
        <v>189</v>
      </c>
    </row>
    <row r="36" spans="1:29" s="66" customFormat="1" ht="15" customHeight="1" x14ac:dyDescent="0.35">
      <c r="A36" s="12"/>
      <c r="B36" s="51" t="s">
        <v>142</v>
      </c>
    </row>
    <row r="37" spans="1:29" s="66" customFormat="1" ht="15" customHeight="1" x14ac:dyDescent="0.35">
      <c r="A37" s="12"/>
      <c r="B37" s="59" t="s">
        <v>72</v>
      </c>
      <c r="C37" s="52"/>
      <c r="D37" s="52"/>
      <c r="E37" s="52"/>
      <c r="F37" s="52"/>
      <c r="G37" s="52"/>
      <c r="H37" s="52"/>
      <c r="I37" s="52"/>
      <c r="J37" s="52"/>
      <c r="K37" s="52"/>
      <c r="L37" s="52"/>
      <c r="M37" s="52"/>
      <c r="N37" s="52"/>
      <c r="O37" s="52"/>
      <c r="P37" s="52"/>
      <c r="Q37" s="52"/>
      <c r="R37" s="52"/>
      <c r="S37" s="52"/>
      <c r="T37" s="52"/>
      <c r="U37" s="52"/>
      <c r="V37" s="52"/>
      <c r="W37" s="52"/>
      <c r="X37" s="52"/>
      <c r="Y37" s="52"/>
      <c r="Z37" s="52"/>
      <c r="AA37" s="52"/>
      <c r="AB37" s="52"/>
      <c r="AC37" s="52"/>
    </row>
    <row r="38" spans="1:29" s="66" customFormat="1" ht="15" customHeight="1" x14ac:dyDescent="0.35">
      <c r="A38" s="12"/>
      <c r="B38" s="57" t="s">
        <v>139</v>
      </c>
      <c r="C38" s="53"/>
      <c r="D38" s="54"/>
      <c r="E38" s="54"/>
      <c r="F38" s="54"/>
      <c r="G38" s="54"/>
      <c r="H38" s="54"/>
      <c r="I38" s="54"/>
      <c r="J38" s="54"/>
      <c r="K38" s="54"/>
      <c r="L38" s="54"/>
      <c r="M38" s="54"/>
      <c r="N38" s="54"/>
      <c r="O38" s="54"/>
      <c r="P38" s="54"/>
      <c r="Q38" s="54">
        <v>100000</v>
      </c>
      <c r="R38" s="54">
        <v>100000</v>
      </c>
      <c r="S38" s="54">
        <v>100000</v>
      </c>
      <c r="T38" s="54">
        <v>100000</v>
      </c>
      <c r="U38" s="54">
        <v>100000</v>
      </c>
      <c r="V38" s="54">
        <v>100000</v>
      </c>
      <c r="W38" s="54">
        <v>100000</v>
      </c>
      <c r="X38" s="54">
        <v>100000</v>
      </c>
      <c r="Y38" s="54">
        <v>100000</v>
      </c>
      <c r="Z38" s="54">
        <v>100000</v>
      </c>
      <c r="AA38" s="54">
        <v>100000</v>
      </c>
      <c r="AB38" s="54">
        <v>100000</v>
      </c>
      <c r="AC38" s="54">
        <v>100000</v>
      </c>
    </row>
    <row r="39" spans="1:29" s="66" customFormat="1" ht="15" customHeight="1" x14ac:dyDescent="0.35">
      <c r="A39" s="12"/>
      <c r="B39" s="59" t="s">
        <v>143</v>
      </c>
      <c r="C39" s="52"/>
      <c r="D39" s="52"/>
      <c r="E39" s="52"/>
      <c r="F39" s="52"/>
      <c r="G39" s="52"/>
      <c r="H39" s="52"/>
      <c r="I39" s="52"/>
      <c r="J39" s="52"/>
      <c r="K39" s="52"/>
      <c r="L39" s="52"/>
      <c r="M39" s="52"/>
      <c r="N39" s="52"/>
      <c r="O39" s="52"/>
      <c r="P39" s="52"/>
      <c r="Q39" s="52"/>
      <c r="R39" s="52"/>
      <c r="S39" s="52"/>
      <c r="T39" s="52"/>
      <c r="U39" s="52"/>
      <c r="V39" s="52"/>
      <c r="W39" s="52"/>
      <c r="X39" s="52"/>
      <c r="Y39" s="52"/>
      <c r="Z39" s="52"/>
      <c r="AA39" s="52"/>
      <c r="AB39" s="52"/>
      <c r="AC39" s="52"/>
    </row>
    <row r="40" spans="1:29" ht="15" customHeight="1" x14ac:dyDescent="0.35">
      <c r="B40" s="58" t="s">
        <v>128</v>
      </c>
      <c r="D40" s="66"/>
      <c r="E40" s="66"/>
      <c r="F40" s="66"/>
      <c r="G40" s="66"/>
      <c r="H40" s="66"/>
      <c r="I40" s="66"/>
      <c r="J40" s="66"/>
      <c r="K40" s="66"/>
      <c r="L40" s="66"/>
      <c r="M40" s="66"/>
      <c r="N40" s="66"/>
      <c r="O40" s="66"/>
      <c r="P40" s="66"/>
      <c r="Q40" s="49">
        <v>-10000</v>
      </c>
      <c r="R40" s="49">
        <v>-10000</v>
      </c>
      <c r="S40" s="49">
        <v>-10000</v>
      </c>
      <c r="T40" s="49">
        <v>-10000</v>
      </c>
      <c r="U40" s="49">
        <v>-10000</v>
      </c>
      <c r="V40" s="49">
        <v>-10000</v>
      </c>
      <c r="W40" s="49">
        <v>-10000</v>
      </c>
      <c r="X40" s="49">
        <v>-10000</v>
      </c>
      <c r="Y40" s="49">
        <v>-10000</v>
      </c>
      <c r="Z40" s="49">
        <v>-10000</v>
      </c>
      <c r="AA40" s="49">
        <v>-10000</v>
      </c>
      <c r="AB40" s="49">
        <v>-10000</v>
      </c>
      <c r="AC40" s="49">
        <v>-10000</v>
      </c>
    </row>
    <row r="41" spans="1:29" s="66" customFormat="1" ht="15" customHeight="1" x14ac:dyDescent="0.35">
      <c r="A41" s="12"/>
      <c r="B41" s="61" t="s">
        <v>138</v>
      </c>
      <c r="C41" s="52"/>
      <c r="D41" s="52"/>
      <c r="E41" s="52"/>
      <c r="F41" s="52"/>
      <c r="G41" s="52"/>
      <c r="H41" s="52"/>
      <c r="I41" s="52"/>
      <c r="J41" s="52"/>
      <c r="K41" s="52"/>
      <c r="L41" s="52"/>
      <c r="M41" s="52"/>
      <c r="N41" s="52"/>
      <c r="O41" s="52"/>
      <c r="P41" s="52"/>
      <c r="Q41" s="52"/>
      <c r="R41" s="52"/>
      <c r="S41" s="52"/>
      <c r="T41" s="52"/>
      <c r="U41" s="52"/>
      <c r="V41" s="52"/>
      <c r="W41" s="52"/>
      <c r="X41" s="52"/>
      <c r="Y41" s="52"/>
      <c r="Z41" s="52"/>
      <c r="AA41" s="52"/>
      <c r="AB41" s="52"/>
      <c r="AC41" s="52"/>
    </row>
    <row r="42" spans="1:29" s="66" customFormat="1" ht="15" customHeight="1" x14ac:dyDescent="0.35">
      <c r="A42" s="12"/>
      <c r="B42" s="60"/>
    </row>
    <row r="43" spans="1:29" s="66" customFormat="1" ht="15" customHeight="1" x14ac:dyDescent="0.35">
      <c r="A43" s="12"/>
      <c r="B43" s="60" t="s">
        <v>147</v>
      </c>
    </row>
    <row r="44" spans="1:29" s="66" customFormat="1" ht="15" customHeight="1" x14ac:dyDescent="0.35">
      <c r="A44" s="12"/>
      <c r="B44" s="60"/>
    </row>
    <row r="45" spans="1:29" ht="15" customHeight="1" x14ac:dyDescent="0.35">
      <c r="B45" s="60" t="s">
        <v>144</v>
      </c>
      <c r="D45" s="66"/>
      <c r="E45" s="66"/>
      <c r="F45" s="66"/>
      <c r="G45" s="66"/>
      <c r="H45" s="66"/>
      <c r="I45" s="66"/>
      <c r="J45" s="66"/>
      <c r="K45" s="66"/>
      <c r="L45" s="66"/>
      <c r="M45" s="66"/>
      <c r="N45" s="66"/>
      <c r="O45" s="66"/>
      <c r="P45" s="66"/>
      <c r="Q45" s="66"/>
      <c r="R45" s="66"/>
      <c r="S45" s="66"/>
      <c r="T45" s="66"/>
      <c r="U45" s="66"/>
      <c r="V45" s="66"/>
      <c r="W45" s="66"/>
      <c r="X45" s="66"/>
      <c r="Y45" s="66"/>
      <c r="Z45" s="66"/>
      <c r="AA45" s="66"/>
      <c r="AB45" s="66"/>
      <c r="AC45" s="66"/>
    </row>
    <row r="46" spans="1:29" ht="15" customHeight="1" x14ac:dyDescent="0.35">
      <c r="B46" s="58" t="s">
        <v>166</v>
      </c>
      <c r="D46" s="66"/>
      <c r="E46" s="66"/>
      <c r="F46" s="66"/>
      <c r="G46" s="66"/>
      <c r="H46" s="66"/>
      <c r="I46" s="66"/>
      <c r="J46" s="66"/>
      <c r="K46" s="66"/>
      <c r="L46" s="66"/>
      <c r="M46" s="66"/>
      <c r="N46" s="66"/>
      <c r="O46" s="66"/>
      <c r="P46" s="66"/>
      <c r="Q46" s="66"/>
      <c r="R46" s="66"/>
      <c r="S46" s="66"/>
      <c r="T46" s="66"/>
      <c r="U46" s="66"/>
      <c r="V46" s="66"/>
      <c r="W46" s="66"/>
      <c r="X46" s="66"/>
      <c r="Y46" s="66"/>
      <c r="Z46" s="66"/>
      <c r="AA46" s="66"/>
      <c r="AB46" s="66"/>
      <c r="AC46" s="66"/>
    </row>
    <row r="47" spans="1:29" s="66" customFormat="1" ht="15" customHeight="1" x14ac:dyDescent="0.35">
      <c r="A47" s="12"/>
      <c r="B47" s="60" t="s">
        <v>149</v>
      </c>
    </row>
    <row r="48" spans="1:29" ht="15" customHeight="1" x14ac:dyDescent="0.35">
      <c r="B48" s="60" t="s">
        <v>146</v>
      </c>
      <c r="C48"/>
      <c r="D48" s="66"/>
      <c r="E48" s="66"/>
      <c r="F48" s="66"/>
      <c r="G48" s="66"/>
      <c r="H48" s="66"/>
      <c r="I48" s="66"/>
      <c r="J48" s="66"/>
      <c r="K48" s="66"/>
      <c r="L48" s="66"/>
      <c r="M48" s="66"/>
      <c r="N48" s="66"/>
      <c r="O48" s="66"/>
      <c r="P48" s="77">
        <f>'Weekly BS Summary'!P13</f>
        <v>64111.959499999997</v>
      </c>
      <c r="Q48" s="66"/>
      <c r="R48" s="66"/>
      <c r="S48" s="66"/>
      <c r="T48" s="66"/>
      <c r="U48" s="66"/>
      <c r="V48" s="66"/>
      <c r="W48" s="66"/>
      <c r="X48" s="66"/>
      <c r="Y48" s="66"/>
      <c r="Z48" s="66"/>
      <c r="AA48" s="66"/>
      <c r="AB48" s="66"/>
      <c r="AC48" s="66"/>
    </row>
    <row r="49" spans="1:29" s="66" customFormat="1" ht="15" customHeight="1" x14ac:dyDescent="0.35">
      <c r="A49" s="12"/>
      <c r="B49" s="60" t="s">
        <v>150</v>
      </c>
    </row>
    <row r="51" spans="1:29" ht="15" customHeight="1" x14ac:dyDescent="0.35">
      <c r="A51" s="12" t="s">
        <v>179</v>
      </c>
    </row>
    <row r="52" spans="1:29" ht="15" customHeight="1" x14ac:dyDescent="0.35">
      <c r="B52" s="60" t="s">
        <v>151</v>
      </c>
      <c r="E52" s="66"/>
      <c r="F52" s="66"/>
      <c r="G52" s="66"/>
      <c r="H52" s="66"/>
      <c r="I52" s="66"/>
      <c r="J52" s="66"/>
      <c r="K52" s="66"/>
      <c r="L52" s="66"/>
      <c r="M52" s="66"/>
      <c r="N52" s="66"/>
      <c r="O52" s="66"/>
      <c r="P52" s="66">
        <f>P48</f>
        <v>64111.959499999997</v>
      </c>
      <c r="Q52" s="66"/>
      <c r="R52" s="66"/>
      <c r="S52" s="66"/>
      <c r="T52" s="66"/>
      <c r="U52" s="66"/>
      <c r="V52" s="66"/>
      <c r="W52" s="66"/>
      <c r="X52" s="66"/>
      <c r="Y52" s="66"/>
      <c r="Z52" s="66"/>
      <c r="AA52" s="66"/>
      <c r="AB52" s="66"/>
      <c r="AC52" s="66"/>
    </row>
    <row r="53" spans="1:29" ht="15" customHeight="1" x14ac:dyDescent="0.35">
      <c r="B53" s="60" t="s">
        <v>152</v>
      </c>
      <c r="E53" s="66"/>
      <c r="F53" s="66"/>
      <c r="G53" s="66"/>
      <c r="H53" s="66"/>
      <c r="I53" s="66"/>
      <c r="J53" s="66"/>
      <c r="K53" s="66"/>
      <c r="L53" s="66"/>
      <c r="M53" s="66"/>
      <c r="N53" s="66"/>
      <c r="O53" s="66"/>
      <c r="P53" s="77">
        <f>'Weekly BS Summary'!P17</f>
        <v>394000</v>
      </c>
      <c r="Q53" s="66"/>
      <c r="R53" s="66"/>
      <c r="S53" s="66"/>
      <c r="T53" s="66"/>
      <c r="U53" s="66"/>
      <c r="V53" s="66"/>
      <c r="W53" s="66"/>
      <c r="X53" s="66"/>
      <c r="Y53" s="66"/>
      <c r="Z53" s="66"/>
      <c r="AA53" s="66"/>
      <c r="AB53" s="66"/>
      <c r="AC53" s="66"/>
    </row>
    <row r="55" spans="1:29" s="66" customFormat="1" ht="15" customHeight="1" x14ac:dyDescent="0.35">
      <c r="A55" s="12"/>
      <c r="B55" s="66" t="s">
        <v>153</v>
      </c>
      <c r="C55" s="88">
        <v>0.03</v>
      </c>
      <c r="D55" s="66">
        <v>37.395321346153807</v>
      </c>
      <c r="E55" s="66">
        <v>37.395321346153807</v>
      </c>
      <c r="F55" s="66">
        <v>37.395321346153807</v>
      </c>
      <c r="G55" s="66">
        <v>37.395321346153807</v>
      </c>
      <c r="H55" s="66">
        <v>37.395321346153807</v>
      </c>
      <c r="I55" s="66">
        <v>37.395321346153807</v>
      </c>
      <c r="J55" s="66">
        <v>37.395321346153807</v>
      </c>
      <c r="K55" s="66">
        <v>37.395321346153807</v>
      </c>
      <c r="L55" s="66">
        <v>37.395321346153807</v>
      </c>
      <c r="M55" s="66">
        <v>37.395321346153807</v>
      </c>
      <c r="N55" s="66">
        <v>37.395321346153807</v>
      </c>
      <c r="O55" s="66">
        <v>37.395321346153807</v>
      </c>
      <c r="P55" s="49">
        <v>37.395321346153807</v>
      </c>
      <c r="R55" s="74"/>
      <c r="S55" s="74"/>
      <c r="T55" s="74"/>
      <c r="U55" s="74"/>
      <c r="V55" s="74"/>
      <c r="W55" s="74"/>
      <c r="X55" s="74"/>
      <c r="Y55" s="74"/>
      <c r="Z55" s="74"/>
      <c r="AA55" s="74"/>
      <c r="AB55" s="74"/>
      <c r="AC55" s="74"/>
    </row>
    <row r="56" spans="1:29" ht="15" customHeight="1" x14ac:dyDescent="0.35">
      <c r="B56" s="47" t="s">
        <v>154</v>
      </c>
      <c r="C56" s="88">
        <v>3.7499999999999999E-2</v>
      </c>
      <c r="D56" s="47">
        <v>270.43269230769226</v>
      </c>
      <c r="E56" s="66">
        <v>270.43269230769226</v>
      </c>
      <c r="F56" s="66">
        <v>270.43269230769226</v>
      </c>
      <c r="G56" s="66">
        <v>270.43269230769226</v>
      </c>
      <c r="H56" s="66">
        <v>270.43269230769226</v>
      </c>
      <c r="I56" s="66">
        <v>270.43269230769226</v>
      </c>
      <c r="J56" s="66">
        <v>270.43269230769226</v>
      </c>
      <c r="K56" s="66">
        <v>270.43269230769226</v>
      </c>
      <c r="L56" s="66">
        <v>270.43269230769226</v>
      </c>
      <c r="M56" s="66">
        <v>270.43269230769226</v>
      </c>
      <c r="N56" s="66">
        <v>270.43269230769226</v>
      </c>
      <c r="O56" s="66">
        <v>270.43269230769226</v>
      </c>
      <c r="P56" s="49">
        <v>270.43269230769226</v>
      </c>
      <c r="Q56" s="66"/>
      <c r="R56" s="74"/>
      <c r="S56" s="74"/>
      <c r="T56" s="74"/>
      <c r="U56" s="74"/>
      <c r="V56" s="74"/>
      <c r="W56" s="74"/>
      <c r="X56" s="74"/>
      <c r="Y56" s="74"/>
      <c r="Z56" s="74"/>
      <c r="AA56" s="74"/>
      <c r="AB56" s="74"/>
      <c r="AC56" s="74"/>
    </row>
    <row r="57" spans="1:29" ht="15" customHeight="1" x14ac:dyDescent="0.35">
      <c r="D57" s="87"/>
    </row>
    <row r="58" spans="1:29" s="66" customFormat="1" ht="15" customHeight="1" x14ac:dyDescent="0.35">
      <c r="A58" s="12"/>
    </row>
    <row r="59" spans="1:29" ht="15" customHeight="1" x14ac:dyDescent="0.35">
      <c r="B59" s="47" t="s">
        <v>167</v>
      </c>
    </row>
  </sheetData>
  <conditionalFormatting sqref="Q49:AC49">
    <cfRule type="cellIs" dxfId="0" priority="1" operator="lessThan">
      <formula>0</formula>
    </cfRule>
  </conditionalFormatting>
  <pageMargins left="0.7" right="0.7" top="0.75" bottom="0.75" header="0.3" footer="0.3"/>
  <pageSetup paperSize="9" orientation="landscape" verticalDpi="1200" r:id="rId1"/>
  <headerFooter>
    <oddHeader xml:space="preserve">&amp;R&amp;10&amp;F 
&amp;A
</oddHeader>
    <oddFooter>&amp;L&amp;10© 2020&amp;C&amp;10Page &amp;P of &amp;N&amp;R&amp;G</oddFooter>
  </headerFooter>
  <legacyDrawing r:id="rId2"/>
  <legacyDrawingHF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C34061-A628-4971-9925-38F244097D63}">
  <dimension ref="A1:AC58"/>
  <sheetViews>
    <sheetView zoomScaleNormal="100" workbookViewId="0">
      <pane xSplit="2" ySplit="4" topLeftCell="C5" activePane="bottomRight" state="frozen"/>
      <selection sqref="A1:N1"/>
      <selection pane="topRight" sqref="A1:N1"/>
      <selection pane="bottomLeft" sqref="A1:N1"/>
      <selection pane="bottomRight" activeCell="Q6" sqref="Q6"/>
    </sheetView>
  </sheetViews>
  <sheetFormatPr defaultColWidth="9.08984375" defaultRowHeight="15" customHeight="1" x14ac:dyDescent="0.35"/>
  <cols>
    <col min="1" max="1" width="1.54296875" style="12" customWidth="1"/>
    <col min="2" max="2" width="40.54296875" style="74" customWidth="1"/>
    <col min="3" max="3" width="11.6328125" style="74" customWidth="1"/>
    <col min="4" max="15" width="11.6328125" style="74" hidden="1" customWidth="1"/>
    <col min="16" max="29" width="11.6328125" style="74" customWidth="1"/>
    <col min="30" max="16384" width="9.08984375" style="74"/>
  </cols>
  <sheetData>
    <row r="1" spans="1:29" ht="45" customHeight="1" x14ac:dyDescent="0.65">
      <c r="A1" s="4" t="str">
        <f>Welcome!A2</f>
        <v>13-Week Cash Flow Model</v>
      </c>
      <c r="B1" s="7"/>
      <c r="C1" s="9"/>
      <c r="D1" s="9"/>
      <c r="E1" s="9"/>
      <c r="F1" s="9"/>
      <c r="G1" s="9"/>
      <c r="H1" s="9"/>
      <c r="I1" s="9"/>
      <c r="J1" s="9"/>
      <c r="K1" s="9"/>
      <c r="L1" s="9"/>
      <c r="M1" s="9"/>
      <c r="N1" s="9"/>
      <c r="O1" s="9"/>
      <c r="P1" s="9"/>
      <c r="Q1" s="9"/>
      <c r="R1" s="9"/>
      <c r="S1" s="9"/>
      <c r="T1" s="9"/>
      <c r="U1" s="9"/>
      <c r="V1" s="9"/>
      <c r="W1" s="9"/>
      <c r="X1" s="9"/>
      <c r="Y1" s="9"/>
      <c r="Z1" s="9"/>
      <c r="AA1" s="9"/>
      <c r="AB1" s="9"/>
      <c r="AC1" s="9"/>
    </row>
    <row r="2" spans="1:29" ht="21" x14ac:dyDescent="0.5">
      <c r="A2" s="11"/>
      <c r="B2" s="6"/>
      <c r="C2" s="56"/>
      <c r="D2" s="56" t="s">
        <v>73</v>
      </c>
      <c r="E2" s="56" t="s">
        <v>73</v>
      </c>
      <c r="F2" s="56" t="s">
        <v>73</v>
      </c>
      <c r="G2" s="56" t="s">
        <v>73</v>
      </c>
      <c r="H2" s="56" t="s">
        <v>73</v>
      </c>
      <c r="I2" s="56" t="s">
        <v>73</v>
      </c>
      <c r="J2" s="56" t="s">
        <v>73</v>
      </c>
      <c r="K2" s="56" t="s">
        <v>73</v>
      </c>
      <c r="L2" s="56" t="s">
        <v>73</v>
      </c>
      <c r="M2" s="56" t="s">
        <v>73</v>
      </c>
      <c r="N2" s="56" t="s">
        <v>73</v>
      </c>
      <c r="O2" s="56" t="s">
        <v>73</v>
      </c>
      <c r="P2" s="56" t="s">
        <v>73</v>
      </c>
      <c r="Q2" s="56" t="s">
        <v>74</v>
      </c>
      <c r="R2" s="56" t="s">
        <v>74</v>
      </c>
      <c r="S2" s="56" t="s">
        <v>74</v>
      </c>
      <c r="T2" s="56" t="s">
        <v>74</v>
      </c>
      <c r="U2" s="56" t="s">
        <v>74</v>
      </c>
      <c r="V2" s="56" t="s">
        <v>74</v>
      </c>
      <c r="W2" s="56" t="s">
        <v>74</v>
      </c>
      <c r="X2" s="56" t="s">
        <v>74</v>
      </c>
      <c r="Y2" s="56" t="s">
        <v>74</v>
      </c>
      <c r="Z2" s="56" t="s">
        <v>74</v>
      </c>
      <c r="AA2" s="56" t="s">
        <v>74</v>
      </c>
      <c r="AB2" s="56" t="s">
        <v>74</v>
      </c>
      <c r="AC2" s="56" t="s">
        <v>74</v>
      </c>
    </row>
    <row r="3" spans="1:29" ht="21" x14ac:dyDescent="0.5">
      <c r="A3" s="11"/>
      <c r="B3" s="6"/>
      <c r="C3" s="56"/>
      <c r="D3" s="56">
        <v>1</v>
      </c>
      <c r="E3" s="56">
        <f>D3+1</f>
        <v>2</v>
      </c>
      <c r="F3" s="56">
        <f t="shared" ref="F3:P3" si="0">E3+1</f>
        <v>3</v>
      </c>
      <c r="G3" s="56">
        <f t="shared" si="0"/>
        <v>4</v>
      </c>
      <c r="H3" s="56">
        <f t="shared" si="0"/>
        <v>5</v>
      </c>
      <c r="I3" s="56">
        <f t="shared" si="0"/>
        <v>6</v>
      </c>
      <c r="J3" s="56">
        <f t="shared" si="0"/>
        <v>7</v>
      </c>
      <c r="K3" s="56">
        <f t="shared" si="0"/>
        <v>8</v>
      </c>
      <c r="L3" s="56">
        <f t="shared" si="0"/>
        <v>9</v>
      </c>
      <c r="M3" s="56">
        <f t="shared" si="0"/>
        <v>10</v>
      </c>
      <c r="N3" s="56">
        <f t="shared" si="0"/>
        <v>11</v>
      </c>
      <c r="O3" s="56">
        <f t="shared" si="0"/>
        <v>12</v>
      </c>
      <c r="P3" s="56">
        <f t="shared" si="0"/>
        <v>13</v>
      </c>
      <c r="Q3" s="56">
        <v>1</v>
      </c>
      <c r="R3" s="56">
        <f>Q3+1</f>
        <v>2</v>
      </c>
      <c r="S3" s="56">
        <f t="shared" ref="S3:AC3" si="1">R3+1</f>
        <v>3</v>
      </c>
      <c r="T3" s="56">
        <f t="shared" si="1"/>
        <v>4</v>
      </c>
      <c r="U3" s="56">
        <f t="shared" si="1"/>
        <v>5</v>
      </c>
      <c r="V3" s="56">
        <f t="shared" si="1"/>
        <v>6</v>
      </c>
      <c r="W3" s="56">
        <f t="shared" si="1"/>
        <v>7</v>
      </c>
      <c r="X3" s="56">
        <f t="shared" si="1"/>
        <v>8</v>
      </c>
      <c r="Y3" s="56">
        <f t="shared" si="1"/>
        <v>9</v>
      </c>
      <c r="Z3" s="56">
        <f t="shared" si="1"/>
        <v>10</v>
      </c>
      <c r="AA3" s="56">
        <f t="shared" si="1"/>
        <v>11</v>
      </c>
      <c r="AB3" s="56">
        <f t="shared" si="1"/>
        <v>12</v>
      </c>
      <c r="AC3" s="56">
        <f t="shared" si="1"/>
        <v>13</v>
      </c>
    </row>
    <row r="4" spans="1:29" ht="21" x14ac:dyDescent="0.5">
      <c r="A4" s="11"/>
      <c r="B4" s="6"/>
      <c r="C4" s="8"/>
      <c r="D4" s="8">
        <v>44050</v>
      </c>
      <c r="E4" s="8">
        <f>D4+7</f>
        <v>44057</v>
      </c>
      <c r="F4" s="8">
        <f t="shared" ref="F4:AC4" si="2">E4+7</f>
        <v>44064</v>
      </c>
      <c r="G4" s="8">
        <f t="shared" si="2"/>
        <v>44071</v>
      </c>
      <c r="H4" s="8">
        <f t="shared" si="2"/>
        <v>44078</v>
      </c>
      <c r="I4" s="8">
        <f t="shared" si="2"/>
        <v>44085</v>
      </c>
      <c r="J4" s="8">
        <f t="shared" si="2"/>
        <v>44092</v>
      </c>
      <c r="K4" s="8">
        <f t="shared" si="2"/>
        <v>44099</v>
      </c>
      <c r="L4" s="8">
        <f t="shared" si="2"/>
        <v>44106</v>
      </c>
      <c r="M4" s="8">
        <f t="shared" si="2"/>
        <v>44113</v>
      </c>
      <c r="N4" s="8">
        <f t="shared" si="2"/>
        <v>44120</v>
      </c>
      <c r="O4" s="8">
        <f t="shared" si="2"/>
        <v>44127</v>
      </c>
      <c r="P4" s="8">
        <f t="shared" si="2"/>
        <v>44134</v>
      </c>
      <c r="Q4" s="8">
        <f>P4+7</f>
        <v>44141</v>
      </c>
      <c r="R4" s="8">
        <f t="shared" si="2"/>
        <v>44148</v>
      </c>
      <c r="S4" s="8">
        <f t="shared" si="2"/>
        <v>44155</v>
      </c>
      <c r="T4" s="8">
        <f t="shared" si="2"/>
        <v>44162</v>
      </c>
      <c r="U4" s="8">
        <f t="shared" si="2"/>
        <v>44169</v>
      </c>
      <c r="V4" s="8">
        <f t="shared" si="2"/>
        <v>44176</v>
      </c>
      <c r="W4" s="8">
        <f t="shared" si="2"/>
        <v>44183</v>
      </c>
      <c r="X4" s="8">
        <f t="shared" si="2"/>
        <v>44190</v>
      </c>
      <c r="Y4" s="8">
        <f t="shared" si="2"/>
        <v>44197</v>
      </c>
      <c r="Z4" s="8">
        <f t="shared" si="2"/>
        <v>44204</v>
      </c>
      <c r="AA4" s="8">
        <f t="shared" si="2"/>
        <v>44211</v>
      </c>
      <c r="AB4" s="8">
        <f t="shared" si="2"/>
        <v>44218</v>
      </c>
      <c r="AC4" s="8">
        <f t="shared" si="2"/>
        <v>44225</v>
      </c>
    </row>
    <row r="5" spans="1:29" ht="15" customHeight="1" x14ac:dyDescent="0.35">
      <c r="A5"/>
      <c r="B5"/>
      <c r="C5"/>
      <c r="D5"/>
      <c r="E5"/>
      <c r="F5"/>
      <c r="G5"/>
      <c r="H5"/>
      <c r="I5"/>
      <c r="J5"/>
      <c r="K5"/>
      <c r="L5"/>
      <c r="M5"/>
      <c r="N5"/>
      <c r="O5"/>
      <c r="P5"/>
      <c r="Q5"/>
      <c r="R5"/>
      <c r="S5"/>
      <c r="T5"/>
      <c r="U5"/>
      <c r="V5"/>
      <c r="W5"/>
      <c r="X5"/>
      <c r="Y5"/>
      <c r="Z5"/>
      <c r="AA5"/>
      <c r="AB5"/>
      <c r="AC5"/>
    </row>
    <row r="6" spans="1:29" ht="15" customHeight="1" x14ac:dyDescent="0.35">
      <c r="A6"/>
      <c r="B6" t="s">
        <v>169</v>
      </c>
      <c r="C6"/>
      <c r="D6" s="74">
        <f>'Weekly IS'!D26</f>
        <v>1246.0767741935483</v>
      </c>
      <c r="E6" s="74">
        <f>'Weekly IS'!E26</f>
        <v>1985.2135483870966</v>
      </c>
      <c r="F6" s="74">
        <f>'Weekly IS'!F26</f>
        <v>1771.2529032258067</v>
      </c>
      <c r="G6" s="74">
        <f>'Weekly IS'!G26</f>
        <v>1460.0374193548391</v>
      </c>
      <c r="H6" s="74">
        <f>'Weekly IS'!H26</f>
        <v>1886.3196842497637</v>
      </c>
      <c r="I6" s="74">
        <f>'Weekly IS'!I26</f>
        <v>1898.7775263333333</v>
      </c>
      <c r="J6" s="74">
        <f>'Weekly IS'!J26</f>
        <v>1560.1558070000006</v>
      </c>
      <c r="K6" s="74">
        <f>'Weekly IS'!K26</f>
        <v>1439.2194786666671</v>
      </c>
      <c r="L6" s="74">
        <f>'Weekly IS'!L26</f>
        <v>1877.7218563440861</v>
      </c>
      <c r="M6" s="74">
        <f>'Weekly IS'!M26</f>
        <v>2323.9430761290332</v>
      </c>
      <c r="N6" s="74">
        <f>'Weekly IS'!N26</f>
        <v>2174.5080361290325</v>
      </c>
      <c r="O6" s="74">
        <f>'Weekly IS'!O26</f>
        <v>2117.1729961290334</v>
      </c>
      <c r="P6">
        <f>'Weekly IS'!P26</f>
        <v>2139.2361161290328</v>
      </c>
    </row>
    <row r="7" spans="1:29" ht="15" customHeight="1" x14ac:dyDescent="0.35">
      <c r="A7"/>
      <c r="B7"/>
      <c r="C7"/>
      <c r="P7"/>
    </row>
    <row r="8" spans="1:29" ht="15" customHeight="1" x14ac:dyDescent="0.35">
      <c r="A8"/>
      <c r="B8" t="s">
        <v>170</v>
      </c>
      <c r="C8"/>
      <c r="D8" s="74">
        <f>'Weekly Rollforward'!C14-'Weekly Rollforward'!D14</f>
        <v>-1380.3667741935496</v>
      </c>
      <c r="E8" s="74">
        <f>'Weekly Rollforward'!D14-'Weekly Rollforward'!E14</f>
        <v>-3747.0203225806472</v>
      </c>
      <c r="F8" s="74">
        <f>'Weekly Rollforward'!E14-'Weekly Rollforward'!F14</f>
        <v>-2607.4890322580613</v>
      </c>
      <c r="G8" s="74">
        <f>'Weekly Rollforward'!F14-'Weekly Rollforward'!G14</f>
        <v>-264.09806451613258</v>
      </c>
      <c r="H8" s="74">
        <f>'Weekly Rollforward'!G14-'Weekly Rollforward'!H14</f>
        <v>-2341.7085591397845</v>
      </c>
      <c r="I8" s="74">
        <f>'Weekly Rollforward'!H14-'Weekly Rollforward'!I14</f>
        <v>-1098.9276666666701</v>
      </c>
      <c r="J8" s="74">
        <f>'Weekly Rollforward'!I14-'Weekly Rollforward'!J14</f>
        <v>404.83099999999831</v>
      </c>
      <c r="K8" s="74">
        <f>'Weekly Rollforward'!J14-'Weekly Rollforward'!K14</f>
        <v>-252.1073333333261</v>
      </c>
      <c r="L8" s="74">
        <f>'Weekly Rollforward'!K14-'Weekly Rollforward'!L14</f>
        <v>-1091.7208602150567</v>
      </c>
      <c r="M8" s="74">
        <f>'Weekly Rollforward'!L14-'Weekly Rollforward'!M14</f>
        <v>-491.6043548387097</v>
      </c>
      <c r="N8" s="74">
        <f>'Weekly Rollforward'!M14-'Weekly Rollforward'!N14</f>
        <v>-927.78451612903154</v>
      </c>
      <c r="O8" s="74">
        <f>'Weekly Rollforward'!N14-'Weekly Rollforward'!O14</f>
        <v>-581.64580645160459</v>
      </c>
      <c r="P8">
        <f>'Weekly Rollforward'!O14-'Weekly Rollforward'!P14</f>
        <v>-980.86322580646083</v>
      </c>
    </row>
    <row r="9" spans="1:29" ht="15" customHeight="1" x14ac:dyDescent="0.35">
      <c r="A9"/>
      <c r="B9" t="s">
        <v>171</v>
      </c>
      <c r="C9"/>
      <c r="D9" s="74">
        <f>'Weekly Rollforward'!C24-'Weekly Rollforward'!D24</f>
        <v>-1909.5729032258096</v>
      </c>
      <c r="E9" s="74">
        <f>'Weekly Rollforward'!D24-'Weekly Rollforward'!E24</f>
        <v>990.08903225806716</v>
      </c>
      <c r="F9" s="74">
        <f>'Weekly Rollforward'!E24-'Weekly Rollforward'!F24</f>
        <v>962.33290322580433</v>
      </c>
      <c r="G9" s="74">
        <f>'Weekly Rollforward'!F24-'Weekly Rollforward'!G24</f>
        <v>76.376774193544406</v>
      </c>
      <c r="H9" s="74">
        <f>'Weekly Rollforward'!G24-'Weekly Rollforward'!H24</f>
        <v>1418.8442156975943</v>
      </c>
      <c r="I9" s="74">
        <f>'Weekly Rollforward'!H24-'Weekly Rollforward'!I24</f>
        <v>1834.880943000011</v>
      </c>
      <c r="J9" s="74">
        <f>'Weekly Rollforward'!I24-'Weekly Rollforward'!J24</f>
        <v>-1539.6342663333344</v>
      </c>
      <c r="K9" s="74">
        <f>'Weekly Rollforward'!J24-'Weekly Rollforward'!K24</f>
        <v>-710.57059768334148</v>
      </c>
      <c r="L9" s="74">
        <f>'Weekly Rollforward'!K24-'Weekly Rollforward'!L24</f>
        <v>-199.0420645698905</v>
      </c>
      <c r="M9" s="74">
        <f>'Weekly Rollforward'!L24-'Weekly Rollforward'!M24</f>
        <v>852.59674838710635</v>
      </c>
      <c r="N9" s="74">
        <f>'Weekly Rollforward'!M24-'Weekly Rollforward'!N24</f>
        <v>355.41620645161311</v>
      </c>
      <c r="O9" s="74">
        <f>'Weekly Rollforward'!N24-'Weekly Rollforward'!O24</f>
        <v>-483.34087741935218</v>
      </c>
      <c r="P9">
        <f>'Weekly Rollforward'!O24-'Weekly Rollforward'!P24</f>
        <v>-4085.6927548387175</v>
      </c>
    </row>
    <row r="10" spans="1:29" ht="15" customHeight="1" x14ac:dyDescent="0.35">
      <c r="A10"/>
      <c r="B10" t="s">
        <v>172</v>
      </c>
      <c r="C10"/>
      <c r="D10" s="74">
        <f>'Weekly Rollforward'!D34-'Weekly Rollforward'!C34</f>
        <v>3141.1483870967786</v>
      </c>
      <c r="E10" s="74">
        <f>'Weekly Rollforward'!E34-'Weekly Rollforward'!D34</f>
        <v>-1142.7612903225818</v>
      </c>
      <c r="F10" s="74">
        <f>'Weekly Rollforward'!F34-'Weekly Rollforward'!E34</f>
        <v>938.1806451612938</v>
      </c>
      <c r="G10" s="74">
        <f>'Weekly Rollforward'!G34-'Weekly Rollforward'!F34</f>
        <v>-897.98709677419538</v>
      </c>
      <c r="H10" s="74">
        <f>'Weekly Rollforward'!H34-'Weekly Rollforward'!G34</f>
        <v>534.164893118279</v>
      </c>
      <c r="I10" s="74">
        <f>'Weekly Rollforward'!I34-'Weekly Rollforward'!H34</f>
        <v>-4356.2461833333291</v>
      </c>
      <c r="J10" s="74">
        <f>'Weekly Rollforward'!J34-'Weekly Rollforward'!I34</f>
        <v>2877.9999733333316</v>
      </c>
      <c r="K10" s="74">
        <f>'Weekly Rollforward'!K34-'Weekly Rollforward'!J34</f>
        <v>-1957.5049569833354</v>
      </c>
      <c r="L10" s="74">
        <f>'Weekly Rollforward'!L34-'Weekly Rollforward'!K34</f>
        <v>1792.6228962903187</v>
      </c>
      <c r="M10" s="74">
        <f>'Weekly Rollforward'!M34-'Weekly Rollforward'!L34</f>
        <v>-988.33749677419837</v>
      </c>
      <c r="N10" s="74">
        <f>'Weekly Rollforward'!N34-'Weekly Rollforward'!M34</f>
        <v>1229.5373419354801</v>
      </c>
      <c r="O10" s="74">
        <f>'Weekly Rollforward'!O34-'Weekly Rollforward'!N34</f>
        <v>3233.6896516129054</v>
      </c>
      <c r="P10">
        <f>'Weekly Rollforward'!P34-'Weekly Rollforward'!O34</f>
        <v>4427.4808516128978</v>
      </c>
    </row>
    <row r="11" spans="1:29" ht="15" customHeight="1" x14ac:dyDescent="0.35">
      <c r="A11"/>
      <c r="B11" t="s">
        <v>173</v>
      </c>
      <c r="C11"/>
      <c r="D11" s="74">
        <f>'Weekly Rollforward'!D44-'Weekly Rollforward'!C44</f>
        <v>-813.8629032258068</v>
      </c>
      <c r="E11" s="74">
        <f>'Weekly Rollforward'!E44-'Weekly Rollforward'!D44</f>
        <v>1073.540322580644</v>
      </c>
      <c r="F11" s="74">
        <f>'Weekly Rollforward'!F44-'Weekly Rollforward'!E44</f>
        <v>-214.85483870967801</v>
      </c>
      <c r="G11" s="74">
        <f>'Weekly Rollforward'!G44-'Weekly Rollforward'!F44</f>
        <v>474.53225806451519</v>
      </c>
      <c r="H11" s="74">
        <f>'Weekly Rollforward'!H44-'Weekly Rollforward'!G44</f>
        <v>-373.93360189247323</v>
      </c>
      <c r="I11" s="74">
        <f>'Weekly Rollforward'!I44-'Weekly Rollforward'!H44</f>
        <v>793.82253066666635</v>
      </c>
      <c r="J11" s="74">
        <f>'Weekly Rollforward'!J44-'Weekly Rollforward'!I44</f>
        <v>-983.75586400000066</v>
      </c>
      <c r="K11" s="74">
        <f>'Weekly Rollforward'!K44-'Weekly Rollforward'!J44</f>
        <v>280.20055933333424</v>
      </c>
      <c r="L11" s="74">
        <f>'Weekly Rollforward'!L44-'Weekly Rollforward'!K44</f>
        <v>-574.99053430107415</v>
      </c>
      <c r="M11" s="74">
        <f>'Weekly Rollforward'!M44-'Weekly Rollforward'!L44</f>
        <v>1305.4229367741937</v>
      </c>
      <c r="N11" s="74">
        <f>'Weekly Rollforward'!N44-'Weekly Rollforward'!M44</f>
        <v>-51.982668387097874</v>
      </c>
      <c r="O11" s="74">
        <f>'Weekly Rollforward'!O44-'Weekly Rollforward'!N44</f>
        <v>1184.2210167741941</v>
      </c>
      <c r="P11">
        <f>'Weekly Rollforward'!P44-'Weekly Rollforward'!O44</f>
        <v>-60.063748387095984</v>
      </c>
    </row>
    <row r="12" spans="1:29" ht="15" customHeight="1" x14ac:dyDescent="0.35">
      <c r="A12"/>
      <c r="B12" t="s">
        <v>174</v>
      </c>
      <c r="C12"/>
      <c r="D12" s="74">
        <f>'Weekly Rollforward'!D52-'Weekly Rollforward'!C52</f>
        <v>341.19354838709842</v>
      </c>
      <c r="E12" s="74">
        <f>'Weekly Rollforward'!E52-'Weekly Rollforward'!D52</f>
        <v>341.19354838709842</v>
      </c>
      <c r="F12" s="74">
        <f>'Weekly Rollforward'!F52-'Weekly Rollforward'!E52</f>
        <v>341.19354838709842</v>
      </c>
      <c r="G12" s="74">
        <f>'Weekly Rollforward'!G52-'Weekly Rollforward'!F52</f>
        <v>246.35483870967801</v>
      </c>
      <c r="H12" s="74">
        <f>'Weekly Rollforward'!H52-'Weekly Rollforward'!G52</f>
        <v>650.46512925693969</v>
      </c>
      <c r="I12" s="74">
        <f>'Weekly Rollforward'!I52-'Weekly Rollforward'!H52</f>
        <v>704.65989999999874</v>
      </c>
      <c r="J12" s="74">
        <f>'Weekly Rollforward'!J52-'Weekly Rollforward'!I52</f>
        <v>704.65989999999874</v>
      </c>
      <c r="K12" s="74">
        <f>'Weekly Rollforward'!K52-'Weekly Rollforward'!J52</f>
        <v>704.65989999999874</v>
      </c>
      <c r="L12" s="74">
        <f>'Weekly Rollforward'!L52-'Weekly Rollforward'!K52</f>
        <v>-97.77137419355131</v>
      </c>
      <c r="M12" s="74">
        <f>'Weekly Rollforward'!M52-'Weekly Rollforward'!L52</f>
        <v>645.7469677419358</v>
      </c>
      <c r="N12" s="74">
        <f>'Weekly Rollforward'!N52-'Weekly Rollforward'!M52</f>
        <v>737.84696774193435</v>
      </c>
      <c r="O12" s="74">
        <f>'Weekly Rollforward'!O52-'Weekly Rollforward'!N52</f>
        <v>737.84696774193435</v>
      </c>
      <c r="P12">
        <f>'Weekly Rollforward'!P52-'Weekly Rollforward'!O52</f>
        <v>-523.73187096774564</v>
      </c>
    </row>
    <row r="13" spans="1:29" ht="15" customHeight="1" x14ac:dyDescent="0.35">
      <c r="A13"/>
      <c r="B13" t="s">
        <v>175</v>
      </c>
      <c r="C13"/>
      <c r="D13" s="74">
        <f t="shared" ref="D13:N13" si="3">SUM(D6,D8:D12)</f>
        <v>624.61612903225932</v>
      </c>
      <c r="E13" s="74">
        <f t="shared" si="3"/>
        <v>-499.74516129032281</v>
      </c>
      <c r="F13" s="74">
        <f t="shared" si="3"/>
        <v>1190.6161290322639</v>
      </c>
      <c r="G13" s="74">
        <f t="shared" si="3"/>
        <v>1095.2161290322488</v>
      </c>
      <c r="H13" s="74">
        <f t="shared" si="3"/>
        <v>1774.151761290319</v>
      </c>
      <c r="I13" s="74">
        <f t="shared" si="3"/>
        <v>-223.0329499999898</v>
      </c>
      <c r="J13" s="74">
        <f t="shared" si="3"/>
        <v>3024.2565499999941</v>
      </c>
      <c r="K13" s="74">
        <f t="shared" si="3"/>
        <v>-496.10295000000292</v>
      </c>
      <c r="L13" s="74">
        <f t="shared" si="3"/>
        <v>1706.8199193548321</v>
      </c>
      <c r="M13" s="74">
        <f t="shared" si="3"/>
        <v>3647.767877419361</v>
      </c>
      <c r="N13" s="74">
        <f t="shared" si="3"/>
        <v>3517.5413677419306</v>
      </c>
      <c r="O13" s="74">
        <f>SUM(O6,O8:O12)</f>
        <v>6207.9439483871101</v>
      </c>
      <c r="P13">
        <f>SUM(P6,P8:P12)</f>
        <v>916.36536774191063</v>
      </c>
    </row>
    <row r="14" spans="1:29" ht="15" customHeight="1" x14ac:dyDescent="0.35">
      <c r="A14" s="74"/>
    </row>
    <row r="15" spans="1:29" ht="15" customHeight="1" x14ac:dyDescent="0.35">
      <c r="A15"/>
      <c r="B15" s="74" t="s">
        <v>215</v>
      </c>
      <c r="D15" s="74">
        <f>-'Weekly Rollforward'!D57</f>
        <v>-1129.0322580645161</v>
      </c>
      <c r="E15" s="74">
        <f>-'Weekly Rollforward'!E57</f>
        <v>-1129.0322580645161</v>
      </c>
      <c r="F15" s="74">
        <f>-'Weekly Rollforward'!F57</f>
        <v>-1129.0322580645161</v>
      </c>
      <c r="G15" s="74">
        <f>-'Weekly Rollforward'!G57</f>
        <v>-1129.0322580645161</v>
      </c>
      <c r="H15" s="74">
        <f>-'Weekly Rollforward'!H57</f>
        <v>-1017.2043010752689</v>
      </c>
      <c r="I15" s="74">
        <f>-'Weekly Rollforward'!I57</f>
        <v>-933.33333333333337</v>
      </c>
      <c r="J15" s="74">
        <f>-'Weekly Rollforward'!J57</f>
        <v>-933.33333333333337</v>
      </c>
      <c r="K15" s="74">
        <f>-'Weekly Rollforward'!K57</f>
        <v>-933.33333333333337</v>
      </c>
      <c r="L15" s="74">
        <f>-'Weekly Rollforward'!L57</f>
        <v>-989.24731182795699</v>
      </c>
      <c r="M15" s="74">
        <f>-'Weekly Rollforward'!M57</f>
        <v>-1129.0322580645161</v>
      </c>
      <c r="N15" s="74">
        <f>-'Weekly Rollforward'!N57</f>
        <v>-1129.0322580645161</v>
      </c>
      <c r="O15" s="74">
        <f>-'Weekly Rollforward'!O57</f>
        <v>-1129.0322580645161</v>
      </c>
      <c r="P15" s="74">
        <f>-'Weekly Rollforward'!P57</f>
        <v>-1129.0322580645161</v>
      </c>
    </row>
    <row r="16" spans="1:29" ht="15" customHeight="1" x14ac:dyDescent="0.35">
      <c r="A16"/>
      <c r="B16" s="52" t="s">
        <v>176</v>
      </c>
      <c r="C16" s="52"/>
      <c r="D16" s="52">
        <f t="shared" ref="D16:P16" si="4">SUM(D13,D15:D15)</f>
        <v>-504.41612903225678</v>
      </c>
      <c r="E16" s="52">
        <f t="shared" si="4"/>
        <v>-1628.7774193548389</v>
      </c>
      <c r="F16" s="52">
        <f t="shared" si="4"/>
        <v>61.583870967747771</v>
      </c>
      <c r="G16" s="52">
        <f t="shared" si="4"/>
        <v>-33.816129032267327</v>
      </c>
      <c r="H16" s="52">
        <f t="shared" si="4"/>
        <v>756.94746021505011</v>
      </c>
      <c r="I16" s="52">
        <f t="shared" si="4"/>
        <v>-1156.3662833333233</v>
      </c>
      <c r="J16" s="52">
        <f t="shared" si="4"/>
        <v>2090.9232166666607</v>
      </c>
      <c r="K16" s="52">
        <f t="shared" si="4"/>
        <v>-1429.4362833333362</v>
      </c>
      <c r="L16" s="52">
        <f t="shared" si="4"/>
        <v>717.57260752687512</v>
      </c>
      <c r="M16" s="52">
        <f t="shared" si="4"/>
        <v>2518.7356193548449</v>
      </c>
      <c r="N16" s="52">
        <f t="shared" si="4"/>
        <v>2388.5091096774145</v>
      </c>
      <c r="O16" s="52">
        <f t="shared" si="4"/>
        <v>5078.911690322594</v>
      </c>
      <c r="P16" s="52">
        <f t="shared" si="4"/>
        <v>-212.66689032260547</v>
      </c>
      <c r="Q16" s="52"/>
      <c r="R16" s="52"/>
      <c r="S16" s="52"/>
      <c r="T16" s="52"/>
      <c r="U16" s="52"/>
      <c r="V16" s="52"/>
      <c r="W16" s="52"/>
      <c r="X16" s="52"/>
      <c r="Y16" s="52"/>
      <c r="Z16" s="52"/>
      <c r="AA16" s="52"/>
      <c r="AB16" s="52"/>
      <c r="AC16" s="52"/>
    </row>
    <row r="17" spans="1:29" ht="15" customHeight="1" x14ac:dyDescent="0.35">
      <c r="A17"/>
      <c r="B17"/>
      <c r="C17"/>
      <c r="P17"/>
    </row>
    <row r="18" spans="1:29" ht="15" customHeight="1" x14ac:dyDescent="0.35">
      <c r="A18"/>
      <c r="B18" s="95" t="s">
        <v>177</v>
      </c>
      <c r="C18"/>
      <c r="D18" s="95">
        <f>D16-'13 Week Cash Flow'!D16</f>
        <v>9.0949470177292824E-13</v>
      </c>
      <c r="E18" s="95">
        <f>E16-'13 Week Cash Flow'!E16</f>
        <v>0</v>
      </c>
      <c r="F18" s="95">
        <f>F16-'13 Week Cash Flow'!F16</f>
        <v>5.0022208597511053E-12</v>
      </c>
      <c r="G18" s="95">
        <f>G16-'13 Week Cash Flow'!G16</f>
        <v>-9.5496943686157465E-12</v>
      </c>
      <c r="H18" s="95">
        <f>H16-'13 Week Cash Flow'!H16</f>
        <v>-3.865352482534945E-12</v>
      </c>
      <c r="I18" s="95">
        <f>I16-'13 Week Cash Flow'!I16</f>
        <v>1.1368683772161603E-11</v>
      </c>
      <c r="J18" s="95">
        <f>J16-'13 Week Cash Flow'!J16</f>
        <v>-7.2759576141834259E-12</v>
      </c>
      <c r="K18" s="95">
        <f>K16-'13 Week Cash Flow'!K16</f>
        <v>0</v>
      </c>
      <c r="L18" s="95">
        <f>L16-'13 Week Cash Flow'!L16</f>
        <v>-7.0485839387401938E-12</v>
      </c>
      <c r="M18" s="95">
        <f>M16-'13 Week Cash Flow'!M16</f>
        <v>5.4569682106375694E-12</v>
      </c>
      <c r="N18" s="95">
        <f>N16-'13 Week Cash Flow'!N16</f>
        <v>-5.9117155615240335E-12</v>
      </c>
      <c r="O18" s="95">
        <f>O16-'13 Week Cash Flow'!O16</f>
        <v>1.3642420526593924E-11</v>
      </c>
      <c r="P18" s="95">
        <f>P16-'13 Week Cash Flow'!P16</f>
        <v>-2.3646862246096134E-11</v>
      </c>
      <c r="Q18" s="95"/>
      <c r="R18" s="95"/>
      <c r="S18" s="95"/>
      <c r="T18" s="95"/>
      <c r="U18" s="95"/>
      <c r="V18" s="95"/>
      <c r="W18" s="95"/>
      <c r="X18" s="95"/>
      <c r="Y18" s="95"/>
      <c r="Z18" s="95"/>
      <c r="AA18" s="95"/>
      <c r="AB18" s="95"/>
      <c r="AC18" s="95"/>
    </row>
    <row r="19" spans="1:29" ht="15" customHeight="1" x14ac:dyDescent="0.35">
      <c r="A19"/>
      <c r="B19"/>
      <c r="C19"/>
      <c r="D19"/>
      <c r="E19"/>
      <c r="F19"/>
      <c r="G19"/>
      <c r="H19"/>
      <c r="I19"/>
      <c r="J19"/>
      <c r="K19"/>
      <c r="L19"/>
      <c r="M19"/>
      <c r="N19"/>
      <c r="O19"/>
      <c r="P19"/>
      <c r="Q19"/>
      <c r="R19"/>
      <c r="S19"/>
      <c r="T19"/>
      <c r="U19"/>
      <c r="V19"/>
      <c r="W19"/>
      <c r="X19"/>
      <c r="Y19"/>
      <c r="Z19"/>
      <c r="AA19"/>
      <c r="AB19"/>
      <c r="AC19"/>
    </row>
    <row r="20" spans="1:29" ht="15" customHeight="1" x14ac:dyDescent="0.35">
      <c r="A20"/>
      <c r="B20"/>
      <c r="C20"/>
      <c r="D20"/>
      <c r="E20"/>
      <c r="F20"/>
      <c r="G20"/>
      <c r="H20"/>
      <c r="I20"/>
      <c r="J20"/>
      <c r="K20"/>
      <c r="L20"/>
      <c r="M20"/>
      <c r="N20"/>
      <c r="O20"/>
      <c r="P20"/>
      <c r="Q20"/>
      <c r="R20"/>
      <c r="S20"/>
      <c r="T20"/>
      <c r="U20"/>
      <c r="V20"/>
      <c r="W20"/>
      <c r="X20"/>
      <c r="Y20"/>
      <c r="Z20"/>
      <c r="AA20"/>
      <c r="AB20"/>
      <c r="AC20"/>
    </row>
    <row r="21" spans="1:29" ht="15" customHeight="1" x14ac:dyDescent="0.35">
      <c r="A21"/>
      <c r="B21"/>
      <c r="C21"/>
      <c r="D21"/>
      <c r="E21"/>
      <c r="F21"/>
      <c r="G21"/>
      <c r="H21"/>
      <c r="I21"/>
      <c r="J21"/>
      <c r="K21"/>
      <c r="L21"/>
      <c r="M21"/>
      <c r="N21"/>
      <c r="O21"/>
      <c r="P21"/>
      <c r="Q21"/>
      <c r="R21"/>
      <c r="S21"/>
      <c r="T21"/>
      <c r="U21"/>
      <c r="V21"/>
      <c r="W21"/>
      <c r="X21"/>
      <c r="Y21"/>
      <c r="Z21"/>
      <c r="AA21"/>
      <c r="AB21"/>
      <c r="AC21"/>
    </row>
    <row r="22" spans="1:29" ht="15" customHeight="1" x14ac:dyDescent="0.35">
      <c r="A22"/>
      <c r="B22"/>
      <c r="C22"/>
      <c r="D22"/>
      <c r="E22"/>
      <c r="F22"/>
      <c r="G22"/>
      <c r="H22"/>
      <c r="I22"/>
      <c r="J22"/>
      <c r="K22"/>
      <c r="L22"/>
      <c r="M22"/>
      <c r="N22"/>
      <c r="O22"/>
      <c r="P22"/>
      <c r="Q22"/>
      <c r="R22"/>
      <c r="S22"/>
      <c r="T22"/>
      <c r="U22"/>
      <c r="V22"/>
      <c r="W22"/>
      <c r="X22"/>
      <c r="Y22"/>
      <c r="Z22"/>
      <c r="AA22"/>
      <c r="AB22"/>
      <c r="AC22"/>
    </row>
    <row r="23" spans="1:29" ht="15" customHeight="1" x14ac:dyDescent="0.35">
      <c r="A23"/>
      <c r="B23"/>
      <c r="C23"/>
      <c r="D23"/>
      <c r="E23"/>
      <c r="F23"/>
      <c r="G23"/>
      <c r="H23"/>
      <c r="I23"/>
      <c r="J23"/>
      <c r="K23"/>
      <c r="L23"/>
      <c r="M23"/>
      <c r="N23"/>
      <c r="O23"/>
      <c r="P23"/>
      <c r="Q23"/>
      <c r="R23"/>
      <c r="S23"/>
      <c r="T23"/>
      <c r="U23"/>
      <c r="V23"/>
      <c r="W23"/>
      <c r="X23"/>
      <c r="Y23"/>
      <c r="Z23"/>
      <c r="AA23"/>
      <c r="AB23"/>
      <c r="AC23"/>
    </row>
    <row r="24" spans="1:29" ht="15" customHeight="1" x14ac:dyDescent="0.35">
      <c r="A24"/>
      <c r="B24"/>
      <c r="C24"/>
      <c r="D24"/>
      <c r="E24"/>
      <c r="F24"/>
      <c r="G24"/>
      <c r="H24"/>
      <c r="I24"/>
      <c r="J24"/>
      <c r="K24"/>
      <c r="L24"/>
      <c r="M24"/>
      <c r="N24"/>
      <c r="O24"/>
      <c r="P24"/>
      <c r="Q24"/>
      <c r="R24"/>
      <c r="S24"/>
      <c r="T24"/>
      <c r="U24"/>
      <c r="V24"/>
      <c r="W24"/>
      <c r="X24"/>
      <c r="Y24"/>
      <c r="Z24"/>
      <c r="AA24"/>
      <c r="AB24"/>
      <c r="AC24"/>
    </row>
    <row r="25" spans="1:29" ht="15" customHeight="1" x14ac:dyDescent="0.35">
      <c r="A25"/>
      <c r="B25"/>
      <c r="C25"/>
      <c r="D25"/>
      <c r="E25"/>
      <c r="F25"/>
      <c r="G25"/>
      <c r="H25"/>
      <c r="I25"/>
      <c r="J25"/>
      <c r="K25"/>
      <c r="L25"/>
      <c r="M25"/>
      <c r="N25"/>
      <c r="O25"/>
      <c r="P25"/>
      <c r="Q25"/>
      <c r="R25"/>
      <c r="S25"/>
      <c r="T25"/>
      <c r="U25"/>
      <c r="V25"/>
      <c r="W25"/>
      <c r="X25"/>
      <c r="Y25"/>
      <c r="Z25"/>
      <c r="AA25"/>
      <c r="AB25"/>
      <c r="AC25"/>
    </row>
    <row r="26" spans="1:29" ht="15" customHeight="1" x14ac:dyDescent="0.35">
      <c r="A26"/>
      <c r="B26"/>
      <c r="C26"/>
      <c r="D26"/>
      <c r="E26"/>
      <c r="F26"/>
      <c r="G26"/>
      <c r="H26"/>
      <c r="I26"/>
      <c r="J26"/>
      <c r="K26"/>
      <c r="L26"/>
      <c r="M26"/>
      <c r="N26"/>
      <c r="O26"/>
      <c r="P26"/>
      <c r="Q26"/>
      <c r="R26"/>
      <c r="S26"/>
      <c r="T26"/>
      <c r="U26"/>
      <c r="V26"/>
      <c r="W26"/>
      <c r="X26"/>
      <c r="Y26"/>
      <c r="Z26"/>
      <c r="AA26"/>
      <c r="AB26"/>
      <c r="AC26"/>
    </row>
    <row r="27" spans="1:29" ht="15" customHeight="1" x14ac:dyDescent="0.35">
      <c r="A27"/>
      <c r="B27"/>
      <c r="C27"/>
      <c r="D27"/>
      <c r="E27"/>
      <c r="F27"/>
      <c r="G27"/>
      <c r="H27"/>
      <c r="I27"/>
      <c r="J27"/>
      <c r="K27"/>
      <c r="L27"/>
      <c r="M27"/>
      <c r="N27"/>
      <c r="O27"/>
      <c r="P27"/>
      <c r="Q27"/>
      <c r="R27"/>
      <c r="S27"/>
      <c r="T27"/>
      <c r="U27"/>
      <c r="V27"/>
      <c r="W27"/>
      <c r="X27"/>
      <c r="Y27"/>
      <c r="Z27"/>
      <c r="AA27"/>
      <c r="AB27"/>
      <c r="AC27"/>
    </row>
    <row r="28" spans="1:29" ht="15" customHeight="1" x14ac:dyDescent="0.35">
      <c r="A28"/>
      <c r="B28"/>
      <c r="C28"/>
      <c r="D28"/>
      <c r="E28"/>
      <c r="F28"/>
      <c r="G28"/>
      <c r="H28"/>
      <c r="I28"/>
      <c r="J28"/>
      <c r="K28"/>
      <c r="L28"/>
      <c r="M28"/>
      <c r="N28"/>
      <c r="O28"/>
      <c r="P28"/>
      <c r="Q28"/>
      <c r="R28"/>
      <c r="S28"/>
      <c r="T28"/>
      <c r="U28"/>
      <c r="V28"/>
      <c r="W28"/>
      <c r="X28"/>
      <c r="Y28"/>
      <c r="Z28"/>
      <c r="AA28"/>
      <c r="AB28"/>
      <c r="AC28"/>
    </row>
    <row r="29" spans="1:29" ht="15" customHeight="1" x14ac:dyDescent="0.35">
      <c r="A29"/>
      <c r="B29"/>
      <c r="C29"/>
      <c r="D29"/>
      <c r="E29"/>
      <c r="F29"/>
      <c r="G29"/>
      <c r="H29"/>
      <c r="I29"/>
      <c r="J29"/>
      <c r="K29"/>
      <c r="L29"/>
      <c r="M29"/>
      <c r="N29"/>
      <c r="O29"/>
      <c r="P29"/>
      <c r="Q29"/>
      <c r="R29"/>
      <c r="S29"/>
      <c r="T29"/>
      <c r="U29"/>
      <c r="V29"/>
      <c r="W29"/>
      <c r="X29"/>
      <c r="Y29"/>
      <c r="Z29"/>
      <c r="AA29"/>
      <c r="AB29"/>
      <c r="AC29"/>
    </row>
    <row r="30" spans="1:29" ht="15" customHeight="1" x14ac:dyDescent="0.35">
      <c r="A30"/>
      <c r="B30"/>
      <c r="C30"/>
      <c r="D30"/>
      <c r="E30"/>
      <c r="F30"/>
      <c r="G30"/>
      <c r="H30"/>
      <c r="I30"/>
      <c r="J30"/>
      <c r="K30"/>
      <c r="L30"/>
      <c r="M30"/>
      <c r="N30"/>
      <c r="O30"/>
      <c r="P30"/>
      <c r="Q30"/>
      <c r="R30"/>
      <c r="S30"/>
      <c r="T30"/>
      <c r="U30"/>
      <c r="V30"/>
      <c r="W30"/>
      <c r="X30"/>
      <c r="Y30"/>
      <c r="Z30"/>
      <c r="AA30"/>
      <c r="AB30"/>
      <c r="AC30"/>
    </row>
    <row r="31" spans="1:29" ht="15" customHeight="1" x14ac:dyDescent="0.35">
      <c r="A31"/>
      <c r="B31"/>
      <c r="C31"/>
      <c r="D31"/>
      <c r="E31"/>
      <c r="F31"/>
      <c r="G31"/>
      <c r="H31"/>
      <c r="I31"/>
      <c r="J31"/>
      <c r="K31"/>
      <c r="L31"/>
      <c r="M31"/>
      <c r="N31"/>
      <c r="O31"/>
      <c r="P31"/>
      <c r="Q31"/>
      <c r="R31"/>
      <c r="S31"/>
      <c r="T31"/>
      <c r="U31"/>
      <c r="V31"/>
      <c r="W31"/>
      <c r="X31"/>
      <c r="Y31"/>
      <c r="Z31"/>
      <c r="AA31"/>
      <c r="AB31"/>
      <c r="AC31"/>
    </row>
    <row r="32" spans="1:29" ht="15" customHeight="1" x14ac:dyDescent="0.35">
      <c r="A32"/>
      <c r="B32"/>
      <c r="C32"/>
      <c r="D32"/>
      <c r="E32"/>
      <c r="F32"/>
      <c r="G32"/>
      <c r="H32"/>
      <c r="I32"/>
      <c r="J32"/>
      <c r="K32"/>
      <c r="L32"/>
      <c r="M32"/>
      <c r="N32"/>
      <c r="O32"/>
      <c r="P32"/>
      <c r="Q32"/>
      <c r="R32"/>
      <c r="S32"/>
      <c r="T32"/>
      <c r="U32"/>
      <c r="V32"/>
      <c r="W32"/>
      <c r="X32"/>
      <c r="Y32"/>
      <c r="Z32"/>
      <c r="AA32"/>
      <c r="AB32"/>
      <c r="AC32"/>
    </row>
    <row r="33" spans="1:29" ht="15" customHeight="1" x14ac:dyDescent="0.35">
      <c r="A33"/>
      <c r="B33"/>
      <c r="C33"/>
      <c r="D33"/>
      <c r="E33"/>
      <c r="F33"/>
      <c r="G33"/>
      <c r="H33"/>
      <c r="I33"/>
      <c r="J33"/>
      <c r="K33"/>
      <c r="L33"/>
      <c r="M33"/>
      <c r="N33"/>
      <c r="O33"/>
      <c r="P33"/>
      <c r="Q33"/>
      <c r="R33"/>
      <c r="S33"/>
      <c r="T33"/>
      <c r="U33"/>
      <c r="V33"/>
      <c r="W33"/>
      <c r="X33"/>
      <c r="Y33"/>
      <c r="Z33"/>
      <c r="AA33"/>
      <c r="AB33"/>
      <c r="AC33"/>
    </row>
    <row r="34" spans="1:29" ht="15" customHeight="1" x14ac:dyDescent="0.35">
      <c r="A34"/>
      <c r="B34"/>
      <c r="C34"/>
      <c r="D34"/>
      <c r="E34"/>
      <c r="F34"/>
      <c r="G34"/>
      <c r="H34"/>
      <c r="I34"/>
      <c r="J34"/>
      <c r="K34"/>
      <c r="L34"/>
      <c r="M34"/>
      <c r="N34"/>
      <c r="O34"/>
      <c r="P34"/>
      <c r="Q34"/>
      <c r="R34"/>
      <c r="S34"/>
      <c r="T34"/>
      <c r="U34"/>
      <c r="V34"/>
      <c r="W34"/>
      <c r="X34"/>
      <c r="Y34"/>
      <c r="Z34"/>
      <c r="AA34"/>
      <c r="AB34"/>
      <c r="AC34"/>
    </row>
    <row r="35" spans="1:29" ht="15" customHeight="1" x14ac:dyDescent="0.35">
      <c r="A35"/>
      <c r="B35"/>
      <c r="C35"/>
      <c r="D35"/>
      <c r="E35"/>
      <c r="F35"/>
      <c r="G35"/>
      <c r="H35"/>
      <c r="I35"/>
      <c r="J35"/>
      <c r="K35"/>
      <c r="L35"/>
      <c r="M35"/>
      <c r="N35"/>
      <c r="O35"/>
      <c r="P35"/>
      <c r="Q35"/>
      <c r="R35"/>
      <c r="S35"/>
      <c r="T35"/>
      <c r="U35"/>
      <c r="V35"/>
      <c r="W35"/>
      <c r="X35"/>
      <c r="Y35"/>
      <c r="Z35"/>
      <c r="AA35"/>
      <c r="AB35"/>
      <c r="AC35"/>
    </row>
    <row r="36" spans="1:29" ht="15" customHeight="1" x14ac:dyDescent="0.35">
      <c r="A36"/>
      <c r="B36"/>
      <c r="C36"/>
      <c r="D36"/>
      <c r="E36"/>
      <c r="F36"/>
      <c r="G36"/>
      <c r="H36"/>
      <c r="I36"/>
      <c r="J36"/>
      <c r="K36"/>
      <c r="L36"/>
      <c r="M36"/>
      <c r="N36"/>
      <c r="O36"/>
      <c r="P36"/>
      <c r="Q36"/>
      <c r="R36"/>
      <c r="S36"/>
      <c r="T36"/>
      <c r="U36"/>
      <c r="V36"/>
      <c r="W36"/>
      <c r="X36"/>
      <c r="Y36"/>
      <c r="Z36"/>
      <c r="AA36"/>
      <c r="AB36"/>
      <c r="AC36"/>
    </row>
    <row r="37" spans="1:29" ht="15" customHeight="1" x14ac:dyDescent="0.35">
      <c r="A37"/>
      <c r="B37"/>
      <c r="C37"/>
      <c r="D37"/>
      <c r="E37"/>
      <c r="F37"/>
      <c r="G37"/>
      <c r="H37"/>
      <c r="I37"/>
      <c r="J37"/>
      <c r="K37"/>
      <c r="L37"/>
      <c r="M37"/>
      <c r="N37"/>
      <c r="O37"/>
      <c r="P37"/>
      <c r="Q37"/>
      <c r="R37"/>
      <c r="S37"/>
      <c r="T37"/>
      <c r="U37"/>
      <c r="V37"/>
      <c r="W37"/>
      <c r="X37"/>
      <c r="Y37"/>
      <c r="Z37"/>
      <c r="AA37"/>
      <c r="AB37"/>
      <c r="AC37"/>
    </row>
    <row r="38" spans="1:29" ht="15" customHeight="1" x14ac:dyDescent="0.35">
      <c r="A38"/>
      <c r="B38"/>
      <c r="C38"/>
      <c r="D38"/>
      <c r="E38"/>
      <c r="F38"/>
      <c r="G38"/>
      <c r="H38"/>
      <c r="I38"/>
      <c r="J38"/>
      <c r="K38"/>
      <c r="L38"/>
      <c r="M38"/>
      <c r="N38"/>
      <c r="O38"/>
      <c r="P38"/>
      <c r="Q38"/>
      <c r="R38"/>
      <c r="S38"/>
      <c r="T38"/>
      <c r="U38"/>
      <c r="V38"/>
      <c r="W38"/>
      <c r="X38"/>
      <c r="Y38"/>
      <c r="Z38"/>
      <c r="AA38"/>
      <c r="AB38"/>
      <c r="AC38"/>
    </row>
    <row r="39" spans="1:29" ht="15" customHeight="1" x14ac:dyDescent="0.35">
      <c r="A39"/>
      <c r="B39"/>
      <c r="C39"/>
      <c r="D39"/>
      <c r="E39"/>
      <c r="F39"/>
      <c r="G39"/>
      <c r="H39"/>
      <c r="I39"/>
      <c r="J39"/>
      <c r="K39"/>
      <c r="L39"/>
      <c r="M39"/>
      <c r="N39"/>
      <c r="O39"/>
      <c r="P39"/>
      <c r="Q39"/>
      <c r="R39"/>
      <c r="S39"/>
      <c r="T39"/>
      <c r="U39"/>
      <c r="V39"/>
      <c r="W39"/>
      <c r="X39"/>
      <c r="Y39"/>
      <c r="Z39"/>
      <c r="AA39"/>
      <c r="AB39"/>
      <c r="AC39"/>
    </row>
    <row r="40" spans="1:29" ht="15" customHeight="1" x14ac:dyDescent="0.35">
      <c r="A40"/>
      <c r="B40"/>
      <c r="C40"/>
      <c r="D40"/>
      <c r="E40"/>
      <c r="F40"/>
      <c r="G40"/>
      <c r="H40"/>
      <c r="I40"/>
      <c r="J40"/>
      <c r="K40"/>
      <c r="L40"/>
      <c r="M40"/>
      <c r="N40"/>
      <c r="O40"/>
      <c r="P40"/>
      <c r="Q40"/>
      <c r="R40"/>
      <c r="S40"/>
      <c r="T40"/>
      <c r="U40"/>
      <c r="V40"/>
      <c r="W40"/>
      <c r="X40"/>
      <c r="Y40"/>
      <c r="Z40"/>
      <c r="AA40"/>
      <c r="AB40"/>
      <c r="AC40"/>
    </row>
    <row r="41" spans="1:29" ht="15" customHeight="1" x14ac:dyDescent="0.35">
      <c r="A41"/>
      <c r="B41"/>
      <c r="C41"/>
      <c r="D41"/>
      <c r="E41"/>
      <c r="F41"/>
      <c r="G41"/>
      <c r="H41"/>
      <c r="I41"/>
      <c r="J41"/>
      <c r="K41"/>
      <c r="L41"/>
      <c r="M41"/>
      <c r="N41"/>
      <c r="O41"/>
      <c r="P41"/>
      <c r="Q41"/>
      <c r="R41"/>
      <c r="S41"/>
      <c r="T41"/>
      <c r="U41"/>
      <c r="V41"/>
      <c r="W41"/>
      <c r="X41"/>
      <c r="Y41"/>
      <c r="Z41"/>
      <c r="AA41"/>
      <c r="AB41"/>
      <c r="AC41"/>
    </row>
    <row r="42" spans="1:29" ht="15" customHeight="1" x14ac:dyDescent="0.35">
      <c r="A42"/>
      <c r="B42"/>
      <c r="C42"/>
      <c r="D42"/>
      <c r="E42"/>
      <c r="F42"/>
      <c r="G42"/>
      <c r="H42"/>
      <c r="I42"/>
      <c r="J42"/>
      <c r="K42"/>
      <c r="L42"/>
      <c r="M42"/>
      <c r="N42"/>
      <c r="O42"/>
      <c r="P42"/>
      <c r="Q42"/>
      <c r="R42"/>
      <c r="S42"/>
      <c r="T42"/>
      <c r="U42"/>
      <c r="V42"/>
      <c r="W42"/>
      <c r="X42"/>
      <c r="Y42"/>
      <c r="Z42"/>
      <c r="AA42"/>
      <c r="AB42"/>
      <c r="AC42"/>
    </row>
    <row r="43" spans="1:29" ht="15" customHeight="1" x14ac:dyDescent="0.35">
      <c r="A43"/>
      <c r="B43"/>
      <c r="C43"/>
      <c r="D43"/>
      <c r="E43"/>
      <c r="F43"/>
      <c r="G43"/>
      <c r="H43"/>
      <c r="I43"/>
      <c r="J43"/>
      <c r="K43"/>
      <c r="L43"/>
      <c r="M43"/>
      <c r="N43"/>
      <c r="O43"/>
      <c r="P43"/>
      <c r="Q43"/>
      <c r="R43"/>
      <c r="S43"/>
      <c r="T43"/>
      <c r="U43"/>
      <c r="V43"/>
      <c r="W43"/>
      <c r="X43"/>
      <c r="Y43"/>
      <c r="Z43"/>
      <c r="AA43"/>
      <c r="AB43"/>
      <c r="AC43"/>
    </row>
    <row r="44" spans="1:29" ht="15" customHeight="1" x14ac:dyDescent="0.35">
      <c r="A44"/>
      <c r="B44"/>
      <c r="C44"/>
      <c r="D44"/>
      <c r="E44"/>
      <c r="F44"/>
      <c r="G44"/>
      <c r="H44"/>
      <c r="I44"/>
      <c r="J44"/>
      <c r="K44"/>
      <c r="L44"/>
      <c r="M44"/>
      <c r="N44"/>
      <c r="O44"/>
      <c r="P44"/>
      <c r="Q44"/>
      <c r="R44"/>
      <c r="S44"/>
      <c r="T44"/>
      <c r="U44"/>
      <c r="V44"/>
      <c r="W44"/>
      <c r="X44"/>
      <c r="Y44"/>
      <c r="Z44"/>
      <c r="AA44"/>
      <c r="AB44"/>
      <c r="AC44"/>
    </row>
    <row r="45" spans="1:29" ht="15" customHeight="1" x14ac:dyDescent="0.35">
      <c r="A45"/>
      <c r="B45"/>
      <c r="C45"/>
      <c r="D45"/>
      <c r="E45"/>
      <c r="F45"/>
      <c r="G45"/>
      <c r="H45"/>
      <c r="I45"/>
      <c r="J45"/>
      <c r="K45"/>
      <c r="L45"/>
      <c r="M45"/>
      <c r="N45"/>
      <c r="O45"/>
      <c r="P45"/>
      <c r="Q45"/>
      <c r="R45"/>
      <c r="S45"/>
      <c r="T45"/>
      <c r="U45"/>
      <c r="V45"/>
      <c r="W45"/>
      <c r="X45"/>
      <c r="Y45"/>
      <c r="Z45"/>
      <c r="AA45"/>
      <c r="AB45"/>
      <c r="AC45"/>
    </row>
    <row r="46" spans="1:29" ht="15" customHeight="1" x14ac:dyDescent="0.35">
      <c r="A46"/>
      <c r="B46"/>
      <c r="C46"/>
      <c r="D46"/>
      <c r="E46"/>
      <c r="F46"/>
      <c r="G46"/>
      <c r="H46"/>
      <c r="I46"/>
      <c r="J46"/>
      <c r="K46"/>
      <c r="L46"/>
      <c r="M46"/>
      <c r="N46"/>
      <c r="O46"/>
      <c r="P46"/>
      <c r="Q46"/>
      <c r="R46"/>
      <c r="S46"/>
      <c r="T46"/>
      <c r="U46"/>
      <c r="V46"/>
      <c r="W46"/>
      <c r="X46"/>
      <c r="Y46"/>
      <c r="Z46"/>
      <c r="AA46"/>
      <c r="AB46"/>
      <c r="AC46"/>
    </row>
    <row r="47" spans="1:29" ht="15" customHeight="1" x14ac:dyDescent="0.35">
      <c r="A47"/>
      <c r="B47"/>
      <c r="C47"/>
      <c r="D47"/>
      <c r="E47"/>
      <c r="F47"/>
      <c r="G47"/>
      <c r="H47"/>
      <c r="I47"/>
      <c r="J47"/>
      <c r="K47"/>
      <c r="L47"/>
      <c r="M47"/>
      <c r="N47"/>
      <c r="O47"/>
      <c r="P47"/>
      <c r="Q47"/>
      <c r="R47"/>
      <c r="S47"/>
      <c r="T47"/>
      <c r="U47"/>
      <c r="V47"/>
      <c r="W47"/>
      <c r="X47"/>
      <c r="Y47"/>
      <c r="Z47"/>
      <c r="AA47"/>
      <c r="AB47"/>
      <c r="AC47"/>
    </row>
    <row r="48" spans="1:29" ht="15" customHeight="1" x14ac:dyDescent="0.35">
      <c r="A48"/>
      <c r="B48"/>
      <c r="C48"/>
      <c r="D48"/>
      <c r="E48"/>
      <c r="F48"/>
      <c r="G48"/>
      <c r="H48"/>
      <c r="I48"/>
      <c r="J48"/>
      <c r="K48"/>
      <c r="L48"/>
      <c r="M48"/>
      <c r="N48"/>
      <c r="O48"/>
      <c r="P48"/>
      <c r="Q48"/>
      <c r="R48"/>
      <c r="S48"/>
      <c r="T48"/>
      <c r="U48"/>
      <c r="V48"/>
      <c r="W48"/>
      <c r="X48"/>
      <c r="Y48"/>
      <c r="Z48"/>
      <c r="AA48"/>
      <c r="AB48"/>
      <c r="AC48"/>
    </row>
    <row r="49" spans="1:29" ht="15" customHeight="1" x14ac:dyDescent="0.35">
      <c r="A49"/>
      <c r="B49"/>
      <c r="C49"/>
      <c r="D49"/>
      <c r="E49"/>
      <c r="F49"/>
      <c r="G49"/>
      <c r="H49"/>
      <c r="I49"/>
      <c r="J49"/>
      <c r="K49"/>
      <c r="L49"/>
      <c r="M49"/>
      <c r="N49"/>
      <c r="O49"/>
      <c r="P49"/>
      <c r="Q49"/>
      <c r="R49"/>
      <c r="S49"/>
      <c r="T49"/>
      <c r="U49"/>
      <c r="V49"/>
      <c r="W49"/>
      <c r="X49"/>
      <c r="Y49"/>
      <c r="Z49"/>
      <c r="AA49"/>
      <c r="AB49"/>
      <c r="AC49"/>
    </row>
    <row r="50" spans="1:29" ht="15" customHeight="1" x14ac:dyDescent="0.35">
      <c r="A50"/>
      <c r="B50"/>
      <c r="C50"/>
      <c r="D50"/>
      <c r="E50"/>
      <c r="F50"/>
      <c r="G50"/>
      <c r="H50"/>
      <c r="I50"/>
      <c r="J50"/>
      <c r="K50"/>
      <c r="L50"/>
      <c r="M50"/>
      <c r="N50"/>
      <c r="O50"/>
      <c r="P50"/>
      <c r="Q50"/>
      <c r="R50"/>
      <c r="S50"/>
      <c r="T50"/>
      <c r="U50"/>
      <c r="V50"/>
      <c r="W50"/>
      <c r="X50"/>
      <c r="Y50"/>
      <c r="Z50"/>
      <c r="AA50"/>
      <c r="AB50"/>
      <c r="AC50"/>
    </row>
    <row r="51" spans="1:29" ht="15" customHeight="1" x14ac:dyDescent="0.35">
      <c r="A51"/>
      <c r="B51"/>
      <c r="C51"/>
      <c r="D51"/>
      <c r="E51"/>
      <c r="F51"/>
      <c r="G51"/>
      <c r="H51"/>
      <c r="I51"/>
      <c r="J51"/>
      <c r="K51"/>
      <c r="L51"/>
      <c r="M51"/>
      <c r="N51"/>
      <c r="O51"/>
      <c r="P51"/>
      <c r="Q51"/>
      <c r="R51"/>
      <c r="S51"/>
      <c r="T51"/>
      <c r="U51"/>
      <c r="V51"/>
      <c r="W51"/>
      <c r="X51"/>
      <c r="Y51"/>
      <c r="Z51"/>
      <c r="AA51"/>
      <c r="AB51"/>
      <c r="AC51"/>
    </row>
    <row r="52" spans="1:29" ht="15" customHeight="1" x14ac:dyDescent="0.35">
      <c r="A52"/>
      <c r="B52"/>
      <c r="C52"/>
      <c r="D52"/>
      <c r="E52"/>
      <c r="F52"/>
      <c r="G52"/>
      <c r="H52"/>
      <c r="I52"/>
      <c r="J52"/>
      <c r="K52"/>
      <c r="L52"/>
      <c r="M52"/>
      <c r="N52"/>
      <c r="O52"/>
      <c r="P52"/>
      <c r="Q52"/>
      <c r="R52"/>
      <c r="S52"/>
      <c r="T52"/>
      <c r="U52"/>
      <c r="V52"/>
      <c r="W52"/>
      <c r="X52"/>
      <c r="Y52"/>
      <c r="Z52"/>
      <c r="AA52"/>
      <c r="AB52"/>
      <c r="AC52"/>
    </row>
    <row r="53" spans="1:29" ht="15" customHeight="1" x14ac:dyDescent="0.35">
      <c r="A53"/>
      <c r="B53"/>
      <c r="C53"/>
      <c r="D53"/>
      <c r="E53"/>
      <c r="F53"/>
      <c r="G53"/>
      <c r="H53"/>
      <c r="I53"/>
      <c r="J53"/>
      <c r="K53"/>
      <c r="L53"/>
      <c r="M53"/>
      <c r="N53"/>
      <c r="O53"/>
      <c r="P53"/>
      <c r="Q53"/>
      <c r="R53"/>
      <c r="S53"/>
      <c r="T53"/>
      <c r="U53"/>
      <c r="V53"/>
      <c r="W53"/>
      <c r="X53"/>
      <c r="Y53"/>
      <c r="Z53"/>
      <c r="AA53"/>
      <c r="AB53"/>
      <c r="AC53"/>
    </row>
    <row r="54" spans="1:29" ht="15" customHeight="1" x14ac:dyDescent="0.35">
      <c r="A54"/>
      <c r="B54"/>
      <c r="C54"/>
      <c r="D54"/>
      <c r="E54"/>
      <c r="F54"/>
      <c r="G54"/>
      <c r="H54"/>
      <c r="I54"/>
      <c r="J54"/>
      <c r="K54"/>
      <c r="L54"/>
      <c r="M54"/>
      <c r="N54"/>
      <c r="O54"/>
      <c r="P54"/>
      <c r="Q54"/>
      <c r="R54"/>
      <c r="S54"/>
      <c r="T54"/>
      <c r="U54"/>
      <c r="V54"/>
      <c r="W54"/>
      <c r="X54"/>
      <c r="Y54"/>
      <c r="Z54"/>
      <c r="AA54"/>
      <c r="AB54"/>
      <c r="AC54"/>
    </row>
    <row r="55" spans="1:29" ht="15" customHeight="1" x14ac:dyDescent="0.35">
      <c r="A55"/>
      <c r="B55"/>
      <c r="C55"/>
      <c r="D55"/>
      <c r="E55"/>
      <c r="F55"/>
      <c r="G55"/>
      <c r="H55"/>
      <c r="I55"/>
      <c r="J55"/>
      <c r="K55"/>
      <c r="L55"/>
      <c r="M55"/>
      <c r="N55"/>
      <c r="O55"/>
      <c r="P55"/>
      <c r="Q55"/>
      <c r="R55"/>
      <c r="S55"/>
      <c r="T55"/>
      <c r="U55"/>
      <c r="V55"/>
      <c r="W55"/>
      <c r="X55"/>
      <c r="Y55"/>
      <c r="Z55"/>
      <c r="AA55"/>
      <c r="AB55"/>
      <c r="AC55"/>
    </row>
    <row r="56" spans="1:29" ht="15" customHeight="1" x14ac:dyDescent="0.35">
      <c r="A56"/>
      <c r="B56"/>
      <c r="C56"/>
      <c r="D56"/>
      <c r="E56"/>
      <c r="F56"/>
      <c r="G56"/>
      <c r="H56"/>
      <c r="I56"/>
      <c r="J56"/>
      <c r="K56"/>
      <c r="L56"/>
      <c r="M56"/>
      <c r="N56"/>
      <c r="O56"/>
      <c r="P56"/>
      <c r="Q56"/>
      <c r="R56"/>
      <c r="S56"/>
      <c r="T56"/>
      <c r="U56"/>
      <c r="V56"/>
      <c r="W56"/>
      <c r="X56"/>
      <c r="Y56"/>
      <c r="Z56"/>
      <c r="AA56"/>
      <c r="AB56"/>
      <c r="AC56"/>
    </row>
    <row r="57" spans="1:29" ht="15" customHeight="1" x14ac:dyDescent="0.35">
      <c r="A57"/>
      <c r="B57"/>
      <c r="C57"/>
      <c r="D57"/>
      <c r="E57"/>
      <c r="F57"/>
      <c r="G57"/>
      <c r="H57"/>
      <c r="I57"/>
      <c r="J57"/>
      <c r="K57"/>
      <c r="L57"/>
      <c r="M57"/>
      <c r="N57"/>
      <c r="O57"/>
      <c r="P57"/>
      <c r="Q57"/>
      <c r="R57"/>
      <c r="S57"/>
      <c r="T57"/>
      <c r="U57"/>
      <c r="V57"/>
      <c r="W57"/>
      <c r="X57"/>
      <c r="Y57"/>
      <c r="Z57"/>
      <c r="AA57"/>
      <c r="AB57"/>
      <c r="AC57"/>
    </row>
    <row r="58" spans="1:29" ht="15" customHeight="1" x14ac:dyDescent="0.35">
      <c r="A58"/>
      <c r="B58"/>
      <c r="C58"/>
      <c r="D58"/>
      <c r="E58"/>
      <c r="F58"/>
      <c r="G58"/>
      <c r="H58"/>
      <c r="I58"/>
      <c r="J58"/>
      <c r="K58"/>
      <c r="L58"/>
      <c r="M58"/>
      <c r="N58"/>
      <c r="O58"/>
      <c r="P58"/>
      <c r="Q58"/>
      <c r="R58"/>
      <c r="S58"/>
      <c r="T58"/>
      <c r="U58"/>
      <c r="V58"/>
      <c r="W58"/>
      <c r="X58"/>
      <c r="Y58"/>
      <c r="Z58"/>
      <c r="AA58"/>
      <c r="AB58"/>
      <c r="AC58"/>
    </row>
  </sheetData>
  <pageMargins left="0.7" right="0.7" top="0.75" bottom="0.75" header="0.3" footer="0.3"/>
  <pageSetup paperSize="9" orientation="landscape" verticalDpi="1200" r:id="rId1"/>
  <headerFooter>
    <oddHeader xml:space="preserve">&amp;R&amp;10&amp;F 
&amp;A
</oddHeader>
    <oddFooter>&amp;L&amp;10© 2020&amp;C&amp;10Page &amp;P of &amp;N&amp;R&amp;G</oddFooter>
  </headerFooter>
  <legacyDrawing r:id="rId2"/>
  <legacyDrawingHF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1</vt:i4>
      </vt:variant>
    </vt:vector>
  </HeadingPairs>
  <TitlesOfParts>
    <vt:vector size="13" baseType="lpstr">
      <vt:lpstr>Welcome</vt:lpstr>
      <vt:lpstr>Info</vt:lpstr>
      <vt:lpstr>Monthly Balance Sheet</vt:lpstr>
      <vt:lpstr>Monthly Income Statement</vt:lpstr>
      <vt:lpstr>Monthly Rollforward</vt:lpstr>
      <vt:lpstr>Monthly Revolver Base </vt:lpstr>
      <vt:lpstr>Weekly BS Summary</vt:lpstr>
      <vt:lpstr>Weekly IS</vt:lpstr>
      <vt:lpstr>Weekly Rollforward</vt:lpstr>
      <vt:lpstr>Weekly Revolver Base</vt:lpstr>
      <vt:lpstr>13 Week Cash Flow</vt:lpstr>
      <vt:lpstr>EBITDA Rec</vt:lpstr>
      <vt:lpstr>Switch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Zu</dc:creator>
  <cp:lastModifiedBy>Chris Cordone</cp:lastModifiedBy>
  <cp:lastPrinted>2020-11-23T17:25:09Z</cp:lastPrinted>
  <dcterms:created xsi:type="dcterms:W3CDTF">2016-02-03T14:06:14Z</dcterms:created>
  <dcterms:modified xsi:type="dcterms:W3CDTF">2021-03-29T21:58:57Z</dcterms:modified>
</cp:coreProperties>
</file>