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 Rugg\Desktop\Telco Model Recording\14.0 Balance Sheet Assets\"/>
    </mc:Choice>
  </mc:AlternateContent>
  <xr:revisionPtr revIDLastSave="0" documentId="13_ncr:1_{392F43A6-870B-4623-9862-0F14D3C9F575}" xr6:coauthVersionLast="46" xr6:coauthVersionMax="46" xr10:uidLastSave="{00000000-0000-0000-0000-000000000000}"/>
  <bookViews>
    <workbookView xWindow="8" yWindow="8" windowWidth="2385" windowHeight="1185" tabRatio="675" activeTab="5" xr2:uid="{00000000-000D-0000-FFFF-FFFF00000000}"/>
  </bookViews>
  <sheets>
    <sheet name="Welcome" sheetId="12" r:id="rId1"/>
    <sheet name="Info" sheetId="11" r:id="rId2"/>
    <sheet name="Revenue - Mobile" sheetId="2" r:id="rId3"/>
    <sheet name="Revenue - Fixed" sheetId="3" r:id="rId4"/>
    <sheet name="IS" sheetId="1" r:id="rId5"/>
    <sheet name="BS" sheetId="8" r:id="rId6"/>
    <sheet name="CFS" sheetId="9" r:id="rId7"/>
    <sheet name="Debt" sheetId="14" r:id="rId8"/>
  </sheets>
  <externalReferences>
    <externalReference r:id="rId9"/>
  </externalReferences>
  <definedNames>
    <definedName name="Circular_switch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 localSheetId="0">[1]Info!$N$10</definedName>
    <definedName name="Switch">Info!$N$10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8" l="1"/>
  <c r="L95" i="8"/>
  <c r="M94" i="8"/>
  <c r="L94" i="8"/>
  <c r="M93" i="8"/>
  <c r="L93" i="8"/>
  <c r="L92" i="8"/>
  <c r="L91" i="8"/>
  <c r="L90" i="8"/>
  <c r="L89" i="8"/>
  <c r="L88" i="8"/>
  <c r="L87" i="8"/>
  <c r="L86" i="8"/>
  <c r="L46" i="1" l="1"/>
  <c r="L45" i="1"/>
  <c r="L44" i="1"/>
  <c r="L43" i="1"/>
  <c r="L42" i="1"/>
  <c r="L41" i="1"/>
  <c r="G58" i="1"/>
  <c r="H58" i="1"/>
  <c r="I58" i="1"/>
  <c r="J58" i="1"/>
  <c r="K58" i="1"/>
  <c r="F58" i="1"/>
  <c r="L37" i="1"/>
  <c r="L49" i="8"/>
  <c r="L48" i="8"/>
  <c r="L46" i="8"/>
  <c r="L43" i="8"/>
  <c r="L42" i="8"/>
  <c r="L40" i="8"/>
  <c r="L38" i="8"/>
  <c r="L37" i="8"/>
  <c r="L36" i="8"/>
  <c r="M42" i="8"/>
  <c r="M62" i="8"/>
  <c r="M51" i="8"/>
  <c r="M72" i="8"/>
  <c r="M88" i="8"/>
  <c r="M45" i="8"/>
  <c r="M66" i="8"/>
  <c r="M35" i="8"/>
  <c r="M43" i="8"/>
  <c r="M65" i="8"/>
  <c r="M39" i="8"/>
  <c r="M46" i="8"/>
  <c r="M32" i="8"/>
  <c r="M55" i="8"/>
  <c r="M56" i="8"/>
  <c r="M49" i="8"/>
  <c r="M59" i="8"/>
  <c r="M40" i="8"/>
  <c r="M50" i="8"/>
  <c r="M83" i="8"/>
  <c r="M58" i="8"/>
  <c r="M64" i="8"/>
  <c r="M36" i="8"/>
  <c r="M73" i="8"/>
  <c r="M90" i="8"/>
  <c r="M63" i="8"/>
  <c r="M70" i="8"/>
  <c r="M80" i="8"/>
  <c r="M54" i="8"/>
  <c r="M78" i="8"/>
  <c r="M30" i="8"/>
  <c r="M81" i="8"/>
  <c r="M47" i="8"/>
  <c r="M48" i="8"/>
  <c r="M87" i="8"/>
  <c r="M53" i="8"/>
  <c r="M44" i="8"/>
  <c r="M61" i="8"/>
  <c r="M38" i="8"/>
  <c r="M34" i="8"/>
  <c r="M84" i="8"/>
  <c r="M68" i="8"/>
  <c r="M77" i="8"/>
  <c r="M57" i="8"/>
  <c r="M75" i="8"/>
  <c r="M85" i="8"/>
  <c r="M37" i="8"/>
  <c r="M67" i="8"/>
  <c r="M69" i="8"/>
  <c r="M76" i="8"/>
  <c r="M71" i="8"/>
  <c r="M60" i="8"/>
  <c r="M91" i="8"/>
  <c r="M33" i="8"/>
  <c r="M82" i="8"/>
  <c r="M79" i="8"/>
  <c r="M74" i="8"/>
  <c r="M31" i="8"/>
  <c r="M41" i="8"/>
  <c r="M86" i="8"/>
  <c r="M92" i="8"/>
  <c r="M52" i="8"/>
  <c r="M89" i="8"/>
  <c r="L36" i="1" l="1"/>
  <c r="L59" i="8"/>
  <c r="L57" i="8"/>
  <c r="L54" i="8"/>
  <c r="L52" i="8"/>
  <c r="L34" i="1"/>
  <c r="L29" i="1"/>
  <c r="L27" i="1"/>
  <c r="L26" i="1"/>
  <c r="L28" i="1" s="1"/>
  <c r="L55" i="3"/>
  <c r="L54" i="3"/>
  <c r="L52" i="3"/>
  <c r="L51" i="3"/>
  <c r="L50" i="3"/>
  <c r="L49" i="3"/>
  <c r="L47" i="3"/>
  <c r="L46" i="3"/>
  <c r="L45" i="3"/>
  <c r="L44" i="3"/>
  <c r="L37" i="3"/>
  <c r="L35" i="3"/>
  <c r="L33" i="3"/>
  <c r="L34" i="3"/>
  <c r="L32" i="3"/>
  <c r="L15" i="3"/>
  <c r="L16" i="3"/>
  <c r="L17" i="3"/>
  <c r="L18" i="3"/>
  <c r="L20" i="3" s="1"/>
  <c r="L22" i="3"/>
  <c r="L23" i="3"/>
  <c r="L24" i="3"/>
  <c r="L25" i="3"/>
  <c r="L13" i="3"/>
  <c r="L11" i="3"/>
  <c r="L12" i="3"/>
  <c r="L10" i="3"/>
  <c r="L48" i="2"/>
  <c r="L47" i="2"/>
  <c r="L46" i="2"/>
  <c r="L45" i="2"/>
  <c r="L44" i="2"/>
  <c r="L43" i="2"/>
  <c r="L41" i="2"/>
  <c r="M10" i="3"/>
  <c r="M29" i="1"/>
  <c r="M53" i="3"/>
  <c r="M26" i="3"/>
  <c r="M16" i="3"/>
  <c r="M47" i="3"/>
  <c r="M44" i="1"/>
  <c r="M39" i="3"/>
  <c r="M49" i="3"/>
  <c r="M32" i="3"/>
  <c r="M36" i="1"/>
  <c r="M15" i="3"/>
  <c r="M37" i="3"/>
  <c r="M13" i="3"/>
  <c r="M33" i="1"/>
  <c r="M27" i="1"/>
  <c r="M46" i="1"/>
  <c r="M45" i="3"/>
  <c r="M20" i="3"/>
  <c r="M45" i="1"/>
  <c r="M33" i="3"/>
  <c r="M21" i="3"/>
  <c r="M21" i="1"/>
  <c r="M52" i="3"/>
  <c r="M12" i="3"/>
  <c r="M40" i="1"/>
  <c r="M24" i="1"/>
  <c r="M51" i="3"/>
  <c r="M23" i="1"/>
  <c r="M46" i="3"/>
  <c r="M25" i="1"/>
  <c r="M54" i="3"/>
  <c r="M34" i="3"/>
  <c r="M35" i="1"/>
  <c r="M17" i="3"/>
  <c r="M26" i="1"/>
  <c r="M42" i="1"/>
  <c r="M28" i="1"/>
  <c r="M24" i="3"/>
  <c r="M44" i="3"/>
  <c r="M55" i="3"/>
  <c r="M34" i="1"/>
  <c r="M36" i="3"/>
  <c r="M14" i="3"/>
  <c r="M41" i="1"/>
  <c r="M38" i="3"/>
  <c r="M23" i="3"/>
  <c r="M35" i="3"/>
  <c r="M22" i="1"/>
  <c r="M38" i="1"/>
  <c r="M31" i="1"/>
  <c r="M39" i="1"/>
  <c r="M32" i="1"/>
  <c r="M25" i="3"/>
  <c r="M50" i="3"/>
  <c r="M22" i="3"/>
  <c r="M30" i="1"/>
  <c r="M37" i="1"/>
  <c r="M43" i="1"/>
  <c r="M19" i="3"/>
  <c r="M48" i="3"/>
  <c r="M11" i="3"/>
  <c r="M20" i="1"/>
  <c r="M18" i="3"/>
  <c r="L41" i="8" l="1"/>
  <c r="L32" i="1"/>
  <c r="L53" i="8"/>
  <c r="L55" i="8" s="1"/>
  <c r="L30" i="1"/>
  <c r="L58" i="8"/>
  <c r="L60" i="8" s="1"/>
  <c r="L36" i="2"/>
  <c r="L34" i="2"/>
  <c r="L33" i="2"/>
  <c r="L32" i="2"/>
  <c r="L26" i="2"/>
  <c r="L25" i="2"/>
  <c r="L24" i="2"/>
  <c r="L22" i="2"/>
  <c r="L21" i="2"/>
  <c r="L20" i="2"/>
  <c r="L19" i="2"/>
  <c r="L15" i="2"/>
  <c r="L14" i="2"/>
  <c r="L12" i="2"/>
  <c r="L11" i="2"/>
  <c r="L10" i="2"/>
  <c r="L9" i="2"/>
  <c r="M9" i="2"/>
  <c r="M12" i="2"/>
  <c r="M25" i="2"/>
  <c r="M33" i="2"/>
  <c r="M48" i="2"/>
  <c r="M20" i="2"/>
  <c r="M24" i="2"/>
  <c r="M10" i="2"/>
  <c r="M42" i="2"/>
  <c r="M19" i="2"/>
  <c r="M21" i="2"/>
  <c r="M43" i="2"/>
  <c r="M34" i="2"/>
  <c r="M11" i="2"/>
  <c r="M44" i="2"/>
  <c r="M26" i="2"/>
  <c r="M35" i="2"/>
  <c r="M32" i="2"/>
  <c r="M23" i="2"/>
  <c r="M47" i="2"/>
  <c r="M41" i="2"/>
  <c r="M45" i="2"/>
  <c r="M13" i="2"/>
  <c r="M15" i="2"/>
  <c r="M46" i="2"/>
  <c r="M14" i="2"/>
  <c r="M36" i="2"/>
  <c r="M22" i="2"/>
  <c r="L44" i="8" l="1"/>
  <c r="L47" i="8"/>
  <c r="L50" i="8" s="1"/>
  <c r="K38" i="14"/>
  <c r="J38" i="14"/>
  <c r="I38" i="14"/>
  <c r="H38" i="14"/>
  <c r="G38" i="14"/>
  <c r="F38" i="14"/>
  <c r="K34" i="14"/>
  <c r="K36" i="14" s="1"/>
  <c r="J34" i="14"/>
  <c r="J36" i="14" s="1"/>
  <c r="I34" i="14"/>
  <c r="I36" i="14" s="1"/>
  <c r="H34" i="14"/>
  <c r="H36" i="14" s="1"/>
  <c r="G34" i="14"/>
  <c r="G35" i="14" s="1"/>
  <c r="F34" i="14"/>
  <c r="F35" i="14" s="1"/>
  <c r="H27" i="8"/>
  <c r="I27" i="8"/>
  <c r="J27" i="8"/>
  <c r="K27" i="8"/>
  <c r="G27" i="8"/>
  <c r="B7" i="9"/>
  <c r="B8" i="9"/>
  <c r="B9" i="9"/>
  <c r="B10" i="9"/>
  <c r="B6" i="9"/>
  <c r="B12" i="14"/>
  <c r="K105" i="8"/>
  <c r="K66" i="8" s="1"/>
  <c r="K10" i="9" s="1"/>
  <c r="J105" i="8"/>
  <c r="I105" i="8"/>
  <c r="H105" i="8"/>
  <c r="G105" i="8"/>
  <c r="F105" i="8"/>
  <c r="I107" i="8"/>
  <c r="G107" i="8"/>
  <c r="Q37" i="14"/>
  <c r="Q12" i="14"/>
  <c r="Q39" i="14"/>
  <c r="Q34" i="14"/>
  <c r="Q33" i="14"/>
  <c r="Q35" i="14"/>
  <c r="Q20" i="14"/>
  <c r="Q13" i="9"/>
  <c r="Q24" i="14"/>
  <c r="Q6" i="9"/>
  <c r="Q38" i="14"/>
  <c r="Q28" i="14"/>
  <c r="Q40" i="9"/>
  <c r="Q36" i="14"/>
  <c r="F37" i="14" l="1"/>
  <c r="F39" i="14"/>
  <c r="G37" i="14"/>
  <c r="G39" i="14"/>
  <c r="J35" i="14"/>
  <c r="F36" i="14"/>
  <c r="K35" i="14"/>
  <c r="G36" i="14"/>
  <c r="H35" i="14"/>
  <c r="I35" i="14"/>
  <c r="Q106" i="8"/>
  <c r="Q30" i="14"/>
  <c r="K39" i="14" l="1"/>
  <c r="K37" i="14"/>
  <c r="I39" i="14"/>
  <c r="I37" i="14"/>
  <c r="H39" i="14"/>
  <c r="H37" i="14"/>
  <c r="J39" i="14"/>
  <c r="J37" i="14"/>
  <c r="Q107" i="8"/>
  <c r="Q11" i="9"/>
  <c r="Q41" i="14"/>
  <c r="Q105" i="8"/>
  <c r="Q30" i="9"/>
  <c r="Q16" i="9"/>
  <c r="Q15" i="9"/>
  <c r="Q26" i="14"/>
  <c r="Q112" i="8"/>
  <c r="Q21" i="14"/>
  <c r="Q20" i="9"/>
  <c r="Q25" i="14"/>
  <c r="Q111" i="8"/>
  <c r="Q19" i="14"/>
  <c r="Q14" i="9"/>
  <c r="Q113" i="8"/>
  <c r="Q8" i="9"/>
  <c r="Q9" i="9"/>
  <c r="Q27" i="14"/>
  <c r="Q12" i="9"/>
  <c r="Q22" i="14"/>
  <c r="Q29" i="14"/>
  <c r="Q109" i="8"/>
  <c r="Q23" i="14"/>
  <c r="Q31" i="14"/>
  <c r="Q19" i="9"/>
  <c r="Q7" i="9"/>
  <c r="Q18" i="9"/>
  <c r="Q10" i="9"/>
  <c r="Q110" i="8"/>
  <c r="K18" i="14" l="1"/>
  <c r="B13" i="14"/>
  <c r="B8" i="14"/>
  <c r="C3" i="14"/>
  <c r="A1" i="14"/>
  <c r="K45" i="9"/>
  <c r="B28" i="9"/>
  <c r="B29" i="9"/>
  <c r="B27" i="9"/>
  <c r="B26" i="9"/>
  <c r="B25" i="9"/>
  <c r="Q27" i="9"/>
  <c r="Q26" i="9"/>
  <c r="Q25" i="9"/>
  <c r="Q11" i="14"/>
  <c r="Q5" i="14"/>
  <c r="Q9" i="14"/>
  <c r="Q34" i="9"/>
  <c r="Q8" i="14"/>
  <c r="Q28" i="9"/>
  <c r="Q33" i="9"/>
  <c r="Q41" i="9"/>
  <c r="Q31" i="9"/>
  <c r="Q14" i="14"/>
  <c r="Q13" i="14"/>
  <c r="Q44" i="9"/>
  <c r="Q23" i="9"/>
  <c r="Q108" i="8"/>
  <c r="Q28" i="8"/>
  <c r="Q37" i="9"/>
  <c r="Q35" i="9"/>
  <c r="Q18" i="14"/>
  <c r="Q16" i="14"/>
  <c r="Q43" i="9"/>
  <c r="Q32" i="9"/>
  <c r="Q36" i="9"/>
  <c r="Q39" i="9"/>
  <c r="Q10" i="14"/>
  <c r="Q15" i="14"/>
  <c r="Q17" i="14"/>
  <c r="Q38" i="9"/>
  <c r="Q6" i="14"/>
  <c r="Q7" i="14"/>
  <c r="Q24" i="9"/>
  <c r="Q29" i="9"/>
  <c r="Q22" i="9"/>
  <c r="Q42" i="9"/>
  <c r="Q45" i="9"/>
  <c r="Q21" i="9"/>
  <c r="Q46" i="9"/>
  <c r="K28" i="8" l="1"/>
  <c r="J28" i="8"/>
  <c r="I28" i="8"/>
  <c r="H28" i="8"/>
  <c r="G28" i="8"/>
  <c r="Q27" i="8"/>
  <c r="G100" i="8" l="1"/>
  <c r="H100" i="8"/>
  <c r="H106" i="8" s="1"/>
  <c r="H108" i="8" s="1"/>
  <c r="I100" i="8"/>
  <c r="I106" i="8" s="1"/>
  <c r="I108" i="8" s="1"/>
  <c r="J100" i="8"/>
  <c r="J106" i="8" s="1"/>
  <c r="J108" i="8" s="1"/>
  <c r="K100" i="8"/>
  <c r="K106" i="8" s="1"/>
  <c r="K108" i="8" s="1"/>
  <c r="F100" i="8"/>
  <c r="F106" i="8" s="1"/>
  <c r="F108" i="8" s="1"/>
  <c r="G29" i="8"/>
  <c r="H29" i="8"/>
  <c r="I29" i="8"/>
  <c r="J29" i="8"/>
  <c r="K29" i="8"/>
  <c r="Q96" i="8"/>
  <c r="Q29" i="8"/>
  <c r="L24" i="8" l="1"/>
  <c r="M24" i="8" s="1"/>
  <c r="N24" i="8" s="1"/>
  <c r="O24" i="8" s="1"/>
  <c r="P24" i="8" s="1"/>
  <c r="A1" i="8"/>
  <c r="L26" i="8"/>
  <c r="M26" i="8" s="1"/>
  <c r="N26" i="8" s="1"/>
  <c r="O26" i="8" s="1"/>
  <c r="P26" i="8" s="1"/>
  <c r="G26" i="8"/>
  <c r="L25" i="8"/>
  <c r="M25" i="8" s="1"/>
  <c r="N25" i="8" s="1"/>
  <c r="O25" i="8" s="1"/>
  <c r="P25" i="8" s="1"/>
  <c r="L23" i="8"/>
  <c r="M23" i="8" s="1"/>
  <c r="N23" i="8" s="1"/>
  <c r="O23" i="8" s="1"/>
  <c r="P23" i="8" s="1"/>
  <c r="L22" i="8"/>
  <c r="M22" i="8" s="1"/>
  <c r="N22" i="8" s="1"/>
  <c r="O22" i="8" s="1"/>
  <c r="P22" i="8" s="1"/>
  <c r="K21" i="8"/>
  <c r="L21" i="8" s="1"/>
  <c r="M21" i="8" s="1"/>
  <c r="N21" i="8" s="1"/>
  <c r="O21" i="8" s="1"/>
  <c r="P21" i="8" s="1"/>
  <c r="J21" i="8"/>
  <c r="H21" i="8"/>
  <c r="G21" i="8"/>
  <c r="F21" i="8"/>
  <c r="K20" i="8"/>
  <c r="L20" i="8" s="1"/>
  <c r="M20" i="8" s="1"/>
  <c r="N20" i="8" s="1"/>
  <c r="O20" i="8" s="1"/>
  <c r="P20" i="8" s="1"/>
  <c r="J20" i="8"/>
  <c r="L18" i="8"/>
  <c r="M18" i="8" s="1"/>
  <c r="G78" i="8"/>
  <c r="H78" i="8"/>
  <c r="I78" i="8"/>
  <c r="J78" i="8"/>
  <c r="K78" i="8"/>
  <c r="G79" i="8"/>
  <c r="H79" i="8"/>
  <c r="I79" i="8"/>
  <c r="J79" i="8"/>
  <c r="K79" i="8"/>
  <c r="G80" i="8"/>
  <c r="H80" i="8"/>
  <c r="I80" i="8"/>
  <c r="J80" i="8"/>
  <c r="K80" i="8"/>
  <c r="F79" i="8"/>
  <c r="F80" i="8"/>
  <c r="F78" i="8"/>
  <c r="G74" i="8"/>
  <c r="H74" i="8"/>
  <c r="I74" i="8"/>
  <c r="G75" i="8"/>
  <c r="H75" i="8"/>
  <c r="I75" i="8"/>
  <c r="J75" i="8"/>
  <c r="K75" i="8"/>
  <c r="G76" i="8"/>
  <c r="H76" i="8"/>
  <c r="I76" i="8"/>
  <c r="J76" i="8"/>
  <c r="K76" i="8"/>
  <c r="F75" i="8"/>
  <c r="F76" i="8"/>
  <c r="Q20" i="8"/>
  <c r="Q26" i="8"/>
  <c r="Q25" i="8"/>
  <c r="Q18" i="8"/>
  <c r="Q24" i="8"/>
  <c r="Q23" i="8"/>
  <c r="Q21" i="8"/>
  <c r="Q76" i="8"/>
  <c r="Q118" i="8"/>
  <c r="Q82" i="8"/>
  <c r="Q81" i="8"/>
  <c r="Q74" i="8"/>
  <c r="Q22" i="8"/>
  <c r="Q73" i="8"/>
  <c r="Q79" i="8"/>
  <c r="Q77" i="8"/>
  <c r="Q116" i="8"/>
  <c r="Q75" i="8"/>
  <c r="Q78" i="8"/>
  <c r="Q80" i="8"/>
  <c r="Q83" i="8"/>
  <c r="Q117" i="8"/>
  <c r="K81" i="8" l="1"/>
  <c r="G77" i="8"/>
  <c r="G81" i="8"/>
  <c r="H77" i="8"/>
  <c r="I81" i="8"/>
  <c r="N18" i="8"/>
  <c r="F81" i="8"/>
  <c r="H81" i="8"/>
  <c r="I77" i="8"/>
  <c r="J81" i="8"/>
  <c r="G82" i="8" l="1"/>
  <c r="H82" i="8"/>
  <c r="I82" i="8"/>
  <c r="O18" i="8"/>
  <c r="F74" i="8"/>
  <c r="F77" i="8" s="1"/>
  <c r="F82" i="8" s="1"/>
  <c r="G89" i="8"/>
  <c r="H89" i="8"/>
  <c r="I89" i="8"/>
  <c r="F89" i="8"/>
  <c r="G6" i="8"/>
  <c r="H6" i="8"/>
  <c r="I6" i="8"/>
  <c r="J6" i="8"/>
  <c r="K6" i="8"/>
  <c r="F6" i="8"/>
  <c r="Q48" i="8"/>
  <c r="Q42" i="8"/>
  <c r="Q89" i="8"/>
  <c r="Q43" i="8"/>
  <c r="Q41" i="8"/>
  <c r="P18" i="8" l="1"/>
  <c r="I95" i="8"/>
  <c r="H37" i="8"/>
  <c r="H43" i="8" s="1"/>
  <c r="I37" i="8"/>
  <c r="I43" i="8" s="1"/>
  <c r="J37" i="8"/>
  <c r="J43" i="8" s="1"/>
  <c r="K37" i="8"/>
  <c r="K43" i="8" s="1"/>
  <c r="G37" i="8"/>
  <c r="G43" i="8" s="1"/>
  <c r="H50" i="8" l="1"/>
  <c r="I50" i="8"/>
  <c r="J50" i="8"/>
  <c r="K50" i="8"/>
  <c r="G50" i="8"/>
  <c r="H44" i="8"/>
  <c r="I10" i="8" s="1"/>
  <c r="I44" i="8"/>
  <c r="J10" i="8" s="1"/>
  <c r="J44" i="8"/>
  <c r="K10" i="8" s="1"/>
  <c r="K44" i="8"/>
  <c r="G44" i="8"/>
  <c r="H10" i="8" s="1"/>
  <c r="L9" i="8"/>
  <c r="Q36" i="8"/>
  <c r="Q37" i="8"/>
  <c r="Q40" i="8"/>
  <c r="Q9" i="8"/>
  <c r="Q44" i="8"/>
  <c r="Q39" i="8"/>
  <c r="Q35" i="8"/>
  <c r="Q46" i="8"/>
  <c r="Q33" i="8"/>
  <c r="Q32" i="8"/>
  <c r="Q38" i="8"/>
  <c r="Q34" i="8"/>
  <c r="Q45" i="8"/>
  <c r="M9" i="8" l="1"/>
  <c r="N9" i="8" s="1"/>
  <c r="O9" i="8" s="1"/>
  <c r="P9" i="8" s="1"/>
  <c r="Q47" i="8"/>
  <c r="Q49" i="8"/>
  <c r="Q50" i="8"/>
  <c r="G38" i="1" l="1"/>
  <c r="G118" i="8" s="1"/>
  <c r="H38" i="1"/>
  <c r="H118" i="8" s="1"/>
  <c r="I38" i="1"/>
  <c r="I118" i="8" s="1"/>
  <c r="J38" i="1"/>
  <c r="J118" i="8" s="1"/>
  <c r="K38" i="1"/>
  <c r="K118" i="8" s="1"/>
  <c r="F38" i="1"/>
  <c r="F118" i="8" s="1"/>
  <c r="F34" i="1"/>
  <c r="F43" i="1" s="1"/>
  <c r="E34" i="1"/>
  <c r="E10" i="1" s="1"/>
  <c r="D34" i="1"/>
  <c r="D10" i="1" s="1"/>
  <c r="C34" i="1"/>
  <c r="C10" i="1" s="1"/>
  <c r="G32" i="1"/>
  <c r="H32" i="1"/>
  <c r="I32" i="1"/>
  <c r="J32" i="1"/>
  <c r="K32" i="1"/>
  <c r="F32" i="1"/>
  <c r="C29" i="1"/>
  <c r="G30" i="3"/>
  <c r="H30" i="3"/>
  <c r="I30" i="3"/>
  <c r="J30" i="3"/>
  <c r="K30" i="3"/>
  <c r="F30" i="3"/>
  <c r="E29" i="3"/>
  <c r="F29" i="3"/>
  <c r="G29" i="3"/>
  <c r="H29" i="3"/>
  <c r="I29" i="3"/>
  <c r="J29" i="3"/>
  <c r="K29" i="3"/>
  <c r="D29" i="3"/>
  <c r="E28" i="3"/>
  <c r="F28" i="3"/>
  <c r="G28" i="3"/>
  <c r="H28" i="3"/>
  <c r="I28" i="3"/>
  <c r="J28" i="3"/>
  <c r="K28" i="3"/>
  <c r="D28" i="3"/>
  <c r="C43" i="1" l="1"/>
  <c r="F44" i="1"/>
  <c r="F46" i="1" s="1"/>
  <c r="E43" i="1"/>
  <c r="D43" i="1"/>
  <c r="Q52" i="8"/>
  <c r="Q103" i="8"/>
  <c r="Q93" i="8"/>
  <c r="Q7" i="3"/>
  <c r="Q12" i="3"/>
  <c r="Q57" i="8"/>
  <c r="Q16" i="3"/>
  <c r="Q56" i="1"/>
  <c r="Q34" i="2"/>
  <c r="Q22" i="1"/>
  <c r="Q53" i="8"/>
  <c r="Q14" i="8"/>
  <c r="Q44" i="2"/>
  <c r="Q30" i="2"/>
  <c r="Q18" i="2"/>
  <c r="Q9" i="1"/>
  <c r="Q91" i="8"/>
  <c r="Q17" i="1"/>
  <c r="Q28" i="3"/>
  <c r="Q31" i="8"/>
  <c r="Q16" i="8"/>
  <c r="Q21" i="3"/>
  <c r="Q48" i="2"/>
  <c r="Q10" i="3"/>
  <c r="Q13" i="3"/>
  <c r="Q43" i="2"/>
  <c r="Q27" i="1"/>
  <c r="Q34" i="1"/>
  <c r="Q56" i="8"/>
  <c r="Q25" i="3"/>
  <c r="Q23" i="2"/>
  <c r="Q12" i="8"/>
  <c r="Q43" i="1"/>
  <c r="Q33" i="1"/>
  <c r="Q29" i="3"/>
  <c r="Q59" i="8"/>
  <c r="Q16" i="2"/>
  <c r="Q101" i="8"/>
  <c r="Q7" i="1"/>
  <c r="Q60" i="8"/>
  <c r="Q13" i="8"/>
  <c r="Q30" i="1"/>
  <c r="Q32" i="2"/>
  <c r="Q37" i="1"/>
  <c r="Q45" i="3"/>
  <c r="Q11" i="2"/>
  <c r="Q24" i="3"/>
  <c r="Q85" i="8"/>
  <c r="Q25" i="2"/>
  <c r="Q58" i="1"/>
  <c r="Q34" i="3"/>
  <c r="Q11" i="1"/>
  <c r="Q20" i="1"/>
  <c r="Q19" i="1"/>
  <c r="Q68" i="8"/>
  <c r="Q15" i="8"/>
  <c r="Q7" i="8"/>
  <c r="Q40" i="2"/>
  <c r="Q115" i="8"/>
  <c r="Q16" i="1"/>
  <c r="Q29" i="2"/>
  <c r="Q84" i="8"/>
  <c r="Q41" i="3"/>
  <c r="Q14" i="3"/>
  <c r="Q9" i="3"/>
  <c r="Q15" i="3"/>
  <c r="Q15" i="1"/>
  <c r="Q8" i="3"/>
  <c r="Q38" i="3"/>
  <c r="Q72" i="8"/>
  <c r="Q39" i="1"/>
  <c r="Q55" i="1"/>
  <c r="Q66" i="8"/>
  <c r="Q25" i="1"/>
  <c r="Q10" i="2"/>
  <c r="Q36" i="1"/>
  <c r="Q28" i="1"/>
  <c r="Q6" i="8"/>
  <c r="Q104" i="8"/>
  <c r="Q57" i="1"/>
  <c r="Q32" i="1"/>
  <c r="Q8" i="2"/>
  <c r="Q95" i="8"/>
  <c r="Q31" i="2"/>
  <c r="Q38" i="2"/>
  <c r="Q65" i="8"/>
  <c r="Q37" i="3"/>
  <c r="Q51" i="1"/>
  <c r="Q47" i="1"/>
  <c r="Q37" i="2"/>
  <c r="Q13" i="1"/>
  <c r="Q99" i="8"/>
  <c r="Q9" i="2"/>
  <c r="Q42" i="1"/>
  <c r="Q64" i="8"/>
  <c r="Q13" i="2"/>
  <c r="Q52" i="1"/>
  <c r="Q6" i="3"/>
  <c r="Q31" i="3"/>
  <c r="Q23" i="3"/>
  <c r="Q54" i="3"/>
  <c r="Q45" i="2"/>
  <c r="Q86" i="8"/>
  <c r="Q46" i="1"/>
  <c r="Q11" i="3"/>
  <c r="Q27" i="2"/>
  <c r="Q11" i="8"/>
  <c r="Q38" i="1"/>
  <c r="Q40" i="3"/>
  <c r="Q21" i="1"/>
  <c r="Q102" i="8"/>
  <c r="Q52" i="3"/>
  <c r="Q33" i="2"/>
  <c r="Q14" i="2"/>
  <c r="Q39" i="3"/>
  <c r="Q27" i="3"/>
  <c r="Q54" i="8"/>
  <c r="Q32" i="3"/>
  <c r="Q69" i="8"/>
  <c r="Q63" i="8"/>
  <c r="Q20" i="2"/>
  <c r="Q26" i="2"/>
  <c r="Q41" i="1"/>
  <c r="Q28" i="2"/>
  <c r="Q18" i="1"/>
  <c r="Q18" i="3"/>
  <c r="Q45" i="1"/>
  <c r="Q71" i="8"/>
  <c r="Q70" i="8"/>
  <c r="Q17" i="3"/>
  <c r="Q12" i="1"/>
  <c r="Q114" i="8"/>
  <c r="Q26" i="1"/>
  <c r="Q26" i="3"/>
  <c r="Q53" i="1"/>
  <c r="Q88" i="8"/>
  <c r="Q15" i="2"/>
  <c r="Q49" i="3"/>
  <c r="Q6" i="1"/>
  <c r="Q31" i="1"/>
  <c r="Q51" i="8"/>
  <c r="Q24" i="1"/>
  <c r="Q19" i="8"/>
  <c r="Q17" i="8"/>
  <c r="Q22" i="3"/>
  <c r="Q44" i="3"/>
  <c r="Q47" i="2"/>
  <c r="Q36" i="2"/>
  <c r="Q51" i="3"/>
  <c r="Q23" i="1"/>
  <c r="Q47" i="3"/>
  <c r="Q90" i="8"/>
  <c r="Q24" i="2"/>
  <c r="Q30" i="3"/>
  <c r="Q17" i="2"/>
  <c r="Q40" i="1"/>
  <c r="Q35" i="1"/>
  <c r="Q100" i="8"/>
  <c r="Q30" i="8"/>
  <c r="Q58" i="8"/>
  <c r="Q10" i="1"/>
  <c r="Q49" i="2"/>
  <c r="Q6" i="2"/>
  <c r="Q12" i="2"/>
  <c r="Q7" i="2"/>
  <c r="Q50" i="1"/>
  <c r="Q54" i="1"/>
  <c r="Q97" i="8"/>
  <c r="Q56" i="3"/>
  <c r="Q20" i="3"/>
  <c r="Q55" i="8"/>
  <c r="Q8" i="1"/>
  <c r="Q62" i="8"/>
  <c r="Q41" i="2"/>
  <c r="Q42" i="3"/>
  <c r="Q98" i="8"/>
  <c r="Q10" i="8"/>
  <c r="Q19" i="2"/>
  <c r="Q49" i="1"/>
  <c r="Q87" i="8"/>
  <c r="Q53" i="3"/>
  <c r="Q35" i="3"/>
  <c r="Q94" i="8"/>
  <c r="Q29" i="1"/>
  <c r="Q46" i="3"/>
  <c r="Q61" i="8"/>
  <c r="Q22" i="2"/>
  <c r="Q48" i="1"/>
  <c r="Q48" i="3"/>
  <c r="Q46" i="2"/>
  <c r="Q21" i="2"/>
  <c r="Q92" i="8"/>
  <c r="Q44" i="1"/>
  <c r="Q55" i="3"/>
  <c r="Q33" i="3"/>
  <c r="Q39" i="2"/>
  <c r="H34" i="1" l="1"/>
  <c r="I34" i="1"/>
  <c r="J34" i="1"/>
  <c r="K34" i="1"/>
  <c r="G34" i="1"/>
  <c r="A1" i="3"/>
  <c r="A1" i="2"/>
  <c r="A1" i="9"/>
  <c r="A1" i="1"/>
  <c r="A7" i="12"/>
  <c r="C2" i="1"/>
  <c r="M19" i="8"/>
  <c r="N19" i="8"/>
  <c r="O19" i="8"/>
  <c r="P19" i="8"/>
  <c r="L19" i="8"/>
  <c r="K94" i="8"/>
  <c r="K14" i="8"/>
  <c r="K60" i="8"/>
  <c r="C3" i="9"/>
  <c r="I12" i="8"/>
  <c r="J12" i="8"/>
  <c r="K12" i="8"/>
  <c r="H12" i="8"/>
  <c r="K72" i="8"/>
  <c r="K55" i="8"/>
  <c r="G103" i="8"/>
  <c r="G106" i="8" s="1"/>
  <c r="G108" i="8" s="1"/>
  <c r="K86" i="8"/>
  <c r="J86" i="8"/>
  <c r="J94" i="8"/>
  <c r="H94" i="8"/>
  <c r="G94" i="8"/>
  <c r="F94" i="8"/>
  <c r="K93" i="8"/>
  <c r="J93" i="8"/>
  <c r="C3" i="8"/>
  <c r="G12" i="1"/>
  <c r="H12" i="1"/>
  <c r="I12" i="1"/>
  <c r="J12" i="1"/>
  <c r="K12" i="1"/>
  <c r="F12" i="1"/>
  <c r="G11" i="1"/>
  <c r="H11" i="1"/>
  <c r="I11" i="1"/>
  <c r="J11" i="1"/>
  <c r="K11" i="1"/>
  <c r="F11" i="1"/>
  <c r="F10" i="1"/>
  <c r="C2" i="9" l="1"/>
  <c r="C2" i="14"/>
  <c r="H95" i="8"/>
  <c r="J89" i="8"/>
  <c r="J74" i="8"/>
  <c r="J77" i="8" s="1"/>
  <c r="J82" i="8" s="1"/>
  <c r="F95" i="8"/>
  <c r="F110" i="8" s="1"/>
  <c r="G95" i="8"/>
  <c r="K89" i="8"/>
  <c r="K74" i="8"/>
  <c r="K77" i="8" s="1"/>
  <c r="K82" i="8" s="1"/>
  <c r="I10" i="1"/>
  <c r="I43" i="1"/>
  <c r="I44" i="1" s="1"/>
  <c r="I46" i="1" s="1"/>
  <c r="G10" i="1"/>
  <c r="G43" i="1"/>
  <c r="G44" i="1" s="1"/>
  <c r="G46" i="1" s="1"/>
  <c r="H10" i="1"/>
  <c r="H43" i="1"/>
  <c r="H44" i="1" s="1"/>
  <c r="H46" i="1" s="1"/>
  <c r="K10" i="1"/>
  <c r="K43" i="1"/>
  <c r="K44" i="1" s="1"/>
  <c r="K46" i="1" s="1"/>
  <c r="J10" i="1"/>
  <c r="J43" i="1"/>
  <c r="J44" i="1" s="1"/>
  <c r="J46" i="1" s="1"/>
  <c r="C2" i="3"/>
  <c r="C2" i="2"/>
  <c r="C2" i="8"/>
  <c r="I110" i="8"/>
  <c r="J117" i="8" l="1"/>
  <c r="H117" i="8"/>
  <c r="I117" i="8"/>
  <c r="K117" i="8"/>
  <c r="K95" i="8"/>
  <c r="K110" i="8" s="1"/>
  <c r="J95" i="8"/>
  <c r="J110" i="8" s="1"/>
  <c r="G110" i="8"/>
  <c r="H110" i="8"/>
  <c r="L15" i="1" l="1"/>
  <c r="G50" i="1"/>
  <c r="H50" i="1"/>
  <c r="I50" i="1"/>
  <c r="J50" i="1"/>
  <c r="K50" i="1"/>
  <c r="G22" i="1"/>
  <c r="H22" i="1"/>
  <c r="I22" i="1"/>
  <c r="J22" i="1"/>
  <c r="K22" i="1"/>
  <c r="L22" i="1" s="1"/>
  <c r="F22" i="1"/>
  <c r="G52" i="1"/>
  <c r="H52" i="1"/>
  <c r="I52" i="1"/>
  <c r="J52" i="1"/>
  <c r="K52" i="1"/>
  <c r="K48" i="2"/>
  <c r="J48" i="2"/>
  <c r="I48" i="2"/>
  <c r="H48" i="2"/>
  <c r="G48" i="2"/>
  <c r="F48" i="2"/>
  <c r="E48" i="2"/>
  <c r="D48" i="2"/>
  <c r="C3" i="2"/>
  <c r="H53" i="1" l="1"/>
  <c r="I8" i="1"/>
  <c r="L16" i="1"/>
  <c r="M15" i="1"/>
  <c r="J8" i="1"/>
  <c r="I53" i="1"/>
  <c r="J13" i="1"/>
  <c r="H13" i="1"/>
  <c r="K13" i="1"/>
  <c r="I13" i="1"/>
  <c r="F13" i="1"/>
  <c r="F117" i="8" s="1"/>
  <c r="G53" i="1"/>
  <c r="G13" i="1"/>
  <c r="G117" i="8" s="1"/>
  <c r="K8" i="1"/>
  <c r="G8" i="1"/>
  <c r="H8" i="1"/>
  <c r="J53" i="1"/>
  <c r="E29" i="2"/>
  <c r="F29" i="2"/>
  <c r="G29" i="2"/>
  <c r="H29" i="2"/>
  <c r="I29" i="2"/>
  <c r="J29" i="2"/>
  <c r="K29" i="2"/>
  <c r="E30" i="2"/>
  <c r="F30" i="2"/>
  <c r="G30" i="2"/>
  <c r="H30" i="2"/>
  <c r="I30" i="2"/>
  <c r="J30" i="2"/>
  <c r="K30" i="2"/>
  <c r="D30" i="2"/>
  <c r="D29" i="2"/>
  <c r="D17" i="2"/>
  <c r="E17" i="2"/>
  <c r="F17" i="2"/>
  <c r="G17" i="2"/>
  <c r="H17" i="2"/>
  <c r="I17" i="2"/>
  <c r="J17" i="2"/>
  <c r="K17" i="2"/>
  <c r="L17" i="2" s="1"/>
  <c r="K19" i="2"/>
  <c r="K21" i="2" s="1"/>
  <c r="J19" i="2"/>
  <c r="J21" i="2" s="1"/>
  <c r="I19" i="2"/>
  <c r="H19" i="2"/>
  <c r="G19" i="2"/>
  <c r="G21" i="2" s="1"/>
  <c r="F19" i="2"/>
  <c r="F21" i="2" s="1"/>
  <c r="E19" i="2"/>
  <c r="D19" i="2"/>
  <c r="C19" i="2"/>
  <c r="C21" i="2" s="1"/>
  <c r="D14" i="2"/>
  <c r="E14" i="2"/>
  <c r="F14" i="2"/>
  <c r="G14" i="2"/>
  <c r="H14" i="2"/>
  <c r="I14" i="2"/>
  <c r="J14" i="2"/>
  <c r="K14" i="2"/>
  <c r="L28" i="3"/>
  <c r="M8" i="3"/>
  <c r="M7" i="3"/>
  <c r="M6" i="3"/>
  <c r="N6" i="3" s="1"/>
  <c r="O6" i="3" s="1"/>
  <c r="P6" i="3" s="1"/>
  <c r="D15" i="3"/>
  <c r="D6" i="3" s="1"/>
  <c r="E15" i="3"/>
  <c r="E6" i="3" s="1"/>
  <c r="F15" i="3"/>
  <c r="F6" i="3" s="1"/>
  <c r="G15" i="3"/>
  <c r="G6" i="3" s="1"/>
  <c r="H15" i="3"/>
  <c r="H6" i="3" s="1"/>
  <c r="I15" i="3"/>
  <c r="I6" i="3" s="1"/>
  <c r="J15" i="3"/>
  <c r="J6" i="3" s="1"/>
  <c r="K15" i="3"/>
  <c r="K6" i="3" s="1"/>
  <c r="D16" i="3"/>
  <c r="D7" i="3" s="1"/>
  <c r="E16" i="3"/>
  <c r="E7" i="3" s="1"/>
  <c r="F16" i="3"/>
  <c r="F7" i="3" s="1"/>
  <c r="G16" i="3"/>
  <c r="G7" i="3" s="1"/>
  <c r="H16" i="3"/>
  <c r="H7" i="3" s="1"/>
  <c r="I16" i="3"/>
  <c r="I7" i="3" s="1"/>
  <c r="J16" i="3"/>
  <c r="J7" i="3" s="1"/>
  <c r="K16" i="3"/>
  <c r="K7" i="3" s="1"/>
  <c r="F17" i="3"/>
  <c r="F8" i="3" s="1"/>
  <c r="G17" i="3"/>
  <c r="G8" i="3" s="1"/>
  <c r="H17" i="3"/>
  <c r="H8" i="3" s="1"/>
  <c r="I17" i="3"/>
  <c r="I8" i="3" s="1"/>
  <c r="J17" i="3"/>
  <c r="J8" i="3" s="1"/>
  <c r="K17" i="3"/>
  <c r="K8" i="3" s="1"/>
  <c r="D29" i="1"/>
  <c r="E29" i="1"/>
  <c r="F29" i="1"/>
  <c r="G29" i="1"/>
  <c r="H29" i="1"/>
  <c r="I29" i="1"/>
  <c r="J29" i="1"/>
  <c r="K29" i="1"/>
  <c r="D26" i="1"/>
  <c r="E26" i="1"/>
  <c r="F26" i="1"/>
  <c r="G26" i="1"/>
  <c r="H26" i="1"/>
  <c r="I26" i="1"/>
  <c r="J26" i="1"/>
  <c r="K26" i="1"/>
  <c r="C26" i="1"/>
  <c r="F41" i="3"/>
  <c r="G41" i="3"/>
  <c r="H41" i="3"/>
  <c r="I41" i="3"/>
  <c r="J41" i="3"/>
  <c r="K41" i="3"/>
  <c r="E41" i="3"/>
  <c r="D54" i="3"/>
  <c r="E54" i="3"/>
  <c r="F54" i="3"/>
  <c r="G54" i="3"/>
  <c r="H54" i="3"/>
  <c r="I54" i="3"/>
  <c r="J54" i="3"/>
  <c r="K54" i="3"/>
  <c r="C54" i="3"/>
  <c r="C27" i="1" s="1"/>
  <c r="D23" i="3"/>
  <c r="E23" i="3"/>
  <c r="F23" i="3"/>
  <c r="F49" i="3" s="1"/>
  <c r="F51" i="3" s="1"/>
  <c r="G23" i="3"/>
  <c r="G49" i="3" s="1"/>
  <c r="H23" i="3"/>
  <c r="H49" i="3" s="1"/>
  <c r="I23" i="3"/>
  <c r="I49" i="3" s="1"/>
  <c r="J23" i="3"/>
  <c r="J49" i="3" s="1"/>
  <c r="J51" i="3" s="1"/>
  <c r="K23" i="3"/>
  <c r="F24" i="3"/>
  <c r="F50" i="3" s="1"/>
  <c r="G24" i="3"/>
  <c r="G50" i="3" s="1"/>
  <c r="H24" i="3"/>
  <c r="H50" i="3" s="1"/>
  <c r="I24" i="3"/>
  <c r="I50" i="3" s="1"/>
  <c r="J24" i="3"/>
  <c r="J50" i="3" s="1"/>
  <c r="K24" i="3"/>
  <c r="K50" i="3" s="1"/>
  <c r="E22" i="3"/>
  <c r="E44" i="3" s="1"/>
  <c r="E45" i="3" s="1"/>
  <c r="F22" i="3"/>
  <c r="F44" i="3" s="1"/>
  <c r="F45" i="3" s="1"/>
  <c r="G22" i="3"/>
  <c r="G44" i="3" s="1"/>
  <c r="G45" i="3" s="1"/>
  <c r="H22" i="3"/>
  <c r="H44" i="3" s="1"/>
  <c r="H45" i="3" s="1"/>
  <c r="I22" i="3"/>
  <c r="I44" i="3" s="1"/>
  <c r="I45" i="3" s="1"/>
  <c r="J22" i="3"/>
  <c r="J44" i="3" s="1"/>
  <c r="J45" i="3" s="1"/>
  <c r="K22" i="3"/>
  <c r="D22" i="3"/>
  <c r="D44" i="3" s="1"/>
  <c r="D45" i="3" s="1"/>
  <c r="E13" i="3"/>
  <c r="E35" i="3" s="1"/>
  <c r="F13" i="3"/>
  <c r="F35" i="3" s="1"/>
  <c r="G13" i="3"/>
  <c r="G35" i="3" s="1"/>
  <c r="H13" i="3"/>
  <c r="H35" i="3" s="1"/>
  <c r="I13" i="3"/>
  <c r="I35" i="3" s="1"/>
  <c r="I37" i="3" s="1"/>
  <c r="J13" i="3"/>
  <c r="J35" i="3" s="1"/>
  <c r="K13" i="3"/>
  <c r="K35" i="3" s="1"/>
  <c r="C3" i="3"/>
  <c r="E25" i="2"/>
  <c r="E44" i="2" s="1"/>
  <c r="F25" i="2"/>
  <c r="F44" i="2" s="1"/>
  <c r="G25" i="2"/>
  <c r="G44" i="2" s="1"/>
  <c r="H25" i="2"/>
  <c r="H44" i="2" s="1"/>
  <c r="I25" i="2"/>
  <c r="I44" i="2" s="1"/>
  <c r="J25" i="2"/>
  <c r="J44" i="2" s="1"/>
  <c r="K25" i="2"/>
  <c r="K44" i="2" s="1"/>
  <c r="D25" i="2"/>
  <c r="D44" i="2" s="1"/>
  <c r="E9" i="2"/>
  <c r="F9" i="2"/>
  <c r="G9" i="2"/>
  <c r="H9" i="2"/>
  <c r="I9" i="2"/>
  <c r="J9" i="2"/>
  <c r="K9" i="2"/>
  <c r="D9" i="2"/>
  <c r="D3" i="1"/>
  <c r="D2" i="1" l="1"/>
  <c r="D2" i="14" s="1"/>
  <c r="D3" i="14"/>
  <c r="I51" i="3"/>
  <c r="K37" i="3"/>
  <c r="G37" i="3"/>
  <c r="H51" i="3"/>
  <c r="J37" i="3"/>
  <c r="F37" i="3"/>
  <c r="K49" i="3"/>
  <c r="K51" i="3" s="1"/>
  <c r="G51" i="3"/>
  <c r="H37" i="3"/>
  <c r="M17" i="2"/>
  <c r="D2" i="8"/>
  <c r="G11" i="2"/>
  <c r="G10" i="2" s="1"/>
  <c r="F11" i="2"/>
  <c r="F10" i="2" s="1"/>
  <c r="E11" i="2"/>
  <c r="E10" i="2" s="1"/>
  <c r="J11" i="2"/>
  <c r="J10" i="2" s="1"/>
  <c r="I11" i="2"/>
  <c r="I10" i="2" s="1"/>
  <c r="H11" i="2"/>
  <c r="H10" i="2" s="1"/>
  <c r="D3" i="8"/>
  <c r="D3" i="9"/>
  <c r="J24" i="2"/>
  <c r="J43" i="2" s="1"/>
  <c r="J45" i="2" s="1"/>
  <c r="M16" i="1"/>
  <c r="N15" i="1"/>
  <c r="K53" i="1"/>
  <c r="G22" i="2"/>
  <c r="F24" i="2"/>
  <c r="F43" i="2" s="1"/>
  <c r="F45" i="2" s="1"/>
  <c r="D3" i="2"/>
  <c r="G24" i="2"/>
  <c r="G43" i="2" s="1"/>
  <c r="G45" i="2" s="1"/>
  <c r="H24" i="2"/>
  <c r="H43" i="2" s="1"/>
  <c r="H45" i="2" s="1"/>
  <c r="H21" i="2"/>
  <c r="H22" i="2" s="1"/>
  <c r="I24" i="2"/>
  <c r="I43" i="2" s="1"/>
  <c r="I45" i="2" s="1"/>
  <c r="K24" i="2"/>
  <c r="K43" i="2" s="1"/>
  <c r="E24" i="2"/>
  <c r="E43" i="2" s="1"/>
  <c r="E45" i="2" s="1"/>
  <c r="I21" i="2"/>
  <c r="D24" i="2"/>
  <c r="D43" i="2" s="1"/>
  <c r="D45" i="2" s="1"/>
  <c r="K22" i="2"/>
  <c r="E21" i="2"/>
  <c r="F26" i="2" s="1"/>
  <c r="D21" i="2"/>
  <c r="D22" i="2" s="1"/>
  <c r="G18" i="3"/>
  <c r="G20" i="3" s="1"/>
  <c r="F18" i="3"/>
  <c r="F20" i="3" s="1"/>
  <c r="J18" i="3"/>
  <c r="J20" i="3" s="1"/>
  <c r="I18" i="3"/>
  <c r="I20" i="3" s="1"/>
  <c r="M28" i="3"/>
  <c r="N28" i="3" s="1"/>
  <c r="O28" i="3" s="1"/>
  <c r="P28" i="3" s="1"/>
  <c r="H18" i="3"/>
  <c r="H20" i="3" s="1"/>
  <c r="D11" i="2"/>
  <c r="D10" i="2" s="1"/>
  <c r="K11" i="2"/>
  <c r="K10" i="2" s="1"/>
  <c r="K44" i="3"/>
  <c r="K45" i="3" s="1"/>
  <c r="K40" i="3" s="1"/>
  <c r="K18" i="3"/>
  <c r="K20" i="3" s="1"/>
  <c r="K27" i="1"/>
  <c r="K55" i="3"/>
  <c r="J27" i="1"/>
  <c r="J28" i="1" s="1"/>
  <c r="J15" i="8" s="1"/>
  <c r="J55" i="3"/>
  <c r="I27" i="1"/>
  <c r="I28" i="1" s="1"/>
  <c r="I15" i="8" s="1"/>
  <c r="I55" i="3"/>
  <c r="H27" i="1"/>
  <c r="H28" i="1" s="1"/>
  <c r="H15" i="8" s="1"/>
  <c r="H55" i="3"/>
  <c r="G27" i="1"/>
  <c r="G28" i="1" s="1"/>
  <c r="G15" i="8" s="1"/>
  <c r="G55" i="3"/>
  <c r="F27" i="1"/>
  <c r="F28" i="1" s="1"/>
  <c r="F55" i="3"/>
  <c r="E27" i="1"/>
  <c r="E28" i="1" s="1"/>
  <c r="E49" i="1" s="1"/>
  <c r="E55" i="3"/>
  <c r="D27" i="1"/>
  <c r="D28" i="1" s="1"/>
  <c r="D49" i="1" s="1"/>
  <c r="D55" i="3"/>
  <c r="N7" i="3"/>
  <c r="O7" i="3" s="1"/>
  <c r="P7" i="3" s="1"/>
  <c r="N8" i="3"/>
  <c r="O8" i="3" s="1"/>
  <c r="P8" i="3" s="1"/>
  <c r="I40" i="3"/>
  <c r="G40" i="3"/>
  <c r="F40" i="3"/>
  <c r="H40" i="3"/>
  <c r="J40" i="3"/>
  <c r="E40" i="3"/>
  <c r="C28" i="1"/>
  <c r="C49" i="1" s="1"/>
  <c r="D3" i="3"/>
  <c r="K25" i="3"/>
  <c r="J25" i="3"/>
  <c r="I25" i="3"/>
  <c r="H25" i="3"/>
  <c r="G25" i="3"/>
  <c r="F25" i="3"/>
  <c r="C34" i="2"/>
  <c r="K26" i="2"/>
  <c r="G26" i="2"/>
  <c r="E3" i="1"/>
  <c r="D2" i="2" l="1"/>
  <c r="G11" i="8"/>
  <c r="G7" i="8"/>
  <c r="I7" i="8"/>
  <c r="I11" i="8"/>
  <c r="F7" i="8"/>
  <c r="F11" i="8"/>
  <c r="H7" i="8"/>
  <c r="H11" i="8"/>
  <c r="J11" i="8"/>
  <c r="J7" i="8"/>
  <c r="I113" i="8"/>
  <c r="I49" i="1"/>
  <c r="D2" i="3"/>
  <c r="E2" i="1"/>
  <c r="E2" i="14" s="1"/>
  <c r="E3" i="14"/>
  <c r="G49" i="1"/>
  <c r="G113" i="8"/>
  <c r="F49" i="1"/>
  <c r="F113" i="8"/>
  <c r="H113" i="8"/>
  <c r="H49" i="1"/>
  <c r="J49" i="1"/>
  <c r="J113" i="8"/>
  <c r="D2" i="9"/>
  <c r="G114" i="8"/>
  <c r="F114" i="8"/>
  <c r="J114" i="8"/>
  <c r="I114" i="8"/>
  <c r="H114" i="8"/>
  <c r="F20" i="1"/>
  <c r="N17" i="2"/>
  <c r="H26" i="2"/>
  <c r="E2" i="9"/>
  <c r="E2" i="8"/>
  <c r="G17" i="8"/>
  <c r="G16" i="8"/>
  <c r="H16" i="8"/>
  <c r="H17" i="8"/>
  <c r="J17" i="8"/>
  <c r="J16" i="8"/>
  <c r="E3" i="8"/>
  <c r="E3" i="9"/>
  <c r="I16" i="8"/>
  <c r="I17" i="8"/>
  <c r="F39" i="2"/>
  <c r="I22" i="2"/>
  <c r="G39" i="2"/>
  <c r="D57" i="1"/>
  <c r="E57" i="1"/>
  <c r="N16" i="1"/>
  <c r="O15" i="1"/>
  <c r="J57" i="1"/>
  <c r="G51" i="1"/>
  <c r="G57" i="1"/>
  <c r="I51" i="1"/>
  <c r="I57" i="1"/>
  <c r="H51" i="1"/>
  <c r="H57" i="1"/>
  <c r="F51" i="1"/>
  <c r="F57" i="1"/>
  <c r="C6" i="1"/>
  <c r="C57" i="1"/>
  <c r="J9" i="1"/>
  <c r="J51" i="1"/>
  <c r="I20" i="1"/>
  <c r="I9" i="1"/>
  <c r="G20" i="1"/>
  <c r="G9" i="1"/>
  <c r="F9" i="1"/>
  <c r="H20" i="1"/>
  <c r="H9" i="1"/>
  <c r="J56" i="1"/>
  <c r="J20" i="1"/>
  <c r="K28" i="1"/>
  <c r="K15" i="8" s="1"/>
  <c r="C56" i="1"/>
  <c r="E3" i="2"/>
  <c r="H39" i="2"/>
  <c r="E7" i="2"/>
  <c r="I26" i="2"/>
  <c r="I39" i="2"/>
  <c r="K45" i="2"/>
  <c r="J22" i="2"/>
  <c r="E39" i="2"/>
  <c r="F22" i="2"/>
  <c r="J26" i="2"/>
  <c r="E26" i="2"/>
  <c r="D26" i="2"/>
  <c r="J39" i="2"/>
  <c r="D41" i="2"/>
  <c r="D15" i="2"/>
  <c r="E22" i="2"/>
  <c r="E56" i="1"/>
  <c r="E6" i="1"/>
  <c r="G6" i="1"/>
  <c r="G56" i="1"/>
  <c r="D56" i="1"/>
  <c r="D6" i="1"/>
  <c r="H56" i="1"/>
  <c r="H6" i="1"/>
  <c r="I6" i="1"/>
  <c r="I56" i="1"/>
  <c r="F56" i="1"/>
  <c r="F6" i="1"/>
  <c r="J6" i="1"/>
  <c r="K42" i="3"/>
  <c r="D55" i="1"/>
  <c r="D54" i="1"/>
  <c r="E55" i="1"/>
  <c r="E54" i="1"/>
  <c r="F55" i="1"/>
  <c r="F54" i="1"/>
  <c r="G55" i="1"/>
  <c r="G54" i="1"/>
  <c r="H55" i="1"/>
  <c r="H54" i="1"/>
  <c r="I55" i="1"/>
  <c r="I54" i="1"/>
  <c r="J55" i="1"/>
  <c r="J54" i="1"/>
  <c r="G42" i="3"/>
  <c r="H42" i="3"/>
  <c r="I42" i="3"/>
  <c r="J42" i="3"/>
  <c r="C55" i="1"/>
  <c r="C54" i="1"/>
  <c r="E3" i="3"/>
  <c r="E41" i="2"/>
  <c r="E15" i="2"/>
  <c r="F41" i="2"/>
  <c r="F15" i="2"/>
  <c r="F7" i="2"/>
  <c r="G41" i="2"/>
  <c r="G15" i="2"/>
  <c r="G7" i="2"/>
  <c r="H41" i="2"/>
  <c r="H15" i="2"/>
  <c r="H7" i="2"/>
  <c r="I41" i="2"/>
  <c r="I15" i="2"/>
  <c r="I7" i="2"/>
  <c r="J41" i="2"/>
  <c r="J15" i="2"/>
  <c r="J7" i="2"/>
  <c r="K41" i="2"/>
  <c r="K15" i="2"/>
  <c r="K7" i="2"/>
  <c r="F3" i="1"/>
  <c r="E2" i="3" l="1"/>
  <c r="E2" i="2"/>
  <c r="K11" i="8"/>
  <c r="K7" i="8"/>
  <c r="F2" i="1"/>
  <c r="F2" i="14" s="1"/>
  <c r="F3" i="14"/>
  <c r="K49" i="1"/>
  <c r="K113" i="8"/>
  <c r="K114" i="8"/>
  <c r="O17" i="2"/>
  <c r="K13" i="8"/>
  <c r="F3" i="8"/>
  <c r="F3" i="9"/>
  <c r="K16" i="8"/>
  <c r="K17" i="8"/>
  <c r="F40" i="2"/>
  <c r="O16" i="1"/>
  <c r="P15" i="1"/>
  <c r="K57" i="1"/>
  <c r="K9" i="1"/>
  <c r="K51" i="1"/>
  <c r="H7" i="1"/>
  <c r="G7" i="1"/>
  <c r="J7" i="1"/>
  <c r="I7" i="1"/>
  <c r="K55" i="1"/>
  <c r="K20" i="1"/>
  <c r="L20" i="1" s="1"/>
  <c r="L21" i="1" s="1"/>
  <c r="L23" i="1" s="1"/>
  <c r="L31" i="1" s="1"/>
  <c r="L33" i="1" s="1"/>
  <c r="L35" i="1" s="1"/>
  <c r="L38" i="1" s="1"/>
  <c r="K56" i="1"/>
  <c r="K54" i="1"/>
  <c r="K6" i="1"/>
  <c r="F3" i="2"/>
  <c r="K39" i="2"/>
  <c r="L39" i="2" s="1"/>
  <c r="H40" i="2"/>
  <c r="E40" i="2"/>
  <c r="G40" i="2"/>
  <c r="I40" i="2"/>
  <c r="J40" i="2"/>
  <c r="K40" i="2"/>
  <c r="F3" i="3"/>
  <c r="G3" i="1"/>
  <c r="F2" i="3" l="1"/>
  <c r="F2" i="2"/>
  <c r="F2" i="8"/>
  <c r="G2" i="1"/>
  <c r="G2" i="14" s="1"/>
  <c r="G3" i="14"/>
  <c r="F2" i="9"/>
  <c r="M39" i="2"/>
  <c r="P17" i="2"/>
  <c r="G3" i="8"/>
  <c r="G3" i="9"/>
  <c r="P16" i="1"/>
  <c r="K7" i="1"/>
  <c r="G3" i="2"/>
  <c r="G3" i="3"/>
  <c r="H3" i="1"/>
  <c r="G2" i="8" l="1"/>
  <c r="G2" i="3"/>
  <c r="G2" i="2"/>
  <c r="H2" i="1"/>
  <c r="H2" i="14" s="1"/>
  <c r="H3" i="14"/>
  <c r="G2" i="9"/>
  <c r="N39" i="2"/>
  <c r="H2" i="8"/>
  <c r="H2" i="9"/>
  <c r="H3" i="8"/>
  <c r="H3" i="9"/>
  <c r="H3" i="2"/>
  <c r="H3" i="3"/>
  <c r="I3" i="1"/>
  <c r="H2" i="3" l="1"/>
  <c r="H2" i="2"/>
  <c r="I2" i="1"/>
  <c r="I2" i="14" s="1"/>
  <c r="I3" i="14"/>
  <c r="O39" i="2"/>
  <c r="I3" i="8"/>
  <c r="I3" i="9"/>
  <c r="I3" i="2"/>
  <c r="I3" i="3"/>
  <c r="J3" i="1"/>
  <c r="I2" i="3" l="1"/>
  <c r="I2" i="9"/>
  <c r="J2" i="1"/>
  <c r="J2" i="14" s="1"/>
  <c r="J3" i="14"/>
  <c r="I2" i="8"/>
  <c r="I2" i="2"/>
  <c r="P39" i="2"/>
  <c r="J2" i="8"/>
  <c r="J3" i="8"/>
  <c r="J3" i="9"/>
  <c r="J3" i="2"/>
  <c r="J3" i="3"/>
  <c r="K3" i="1"/>
  <c r="J2" i="3" l="1"/>
  <c r="J2" i="2"/>
  <c r="K2" i="1"/>
  <c r="K2" i="14" s="1"/>
  <c r="K3" i="14"/>
  <c r="J2" i="9"/>
  <c r="K3" i="8"/>
  <c r="K3" i="9"/>
  <c r="K3" i="2"/>
  <c r="K3" i="3"/>
  <c r="L3" i="1"/>
  <c r="E34" i="2"/>
  <c r="F34" i="2"/>
  <c r="G34" i="2"/>
  <c r="H34" i="2"/>
  <c r="I34" i="2"/>
  <c r="J34" i="2"/>
  <c r="K34" i="2"/>
  <c r="D34" i="2"/>
  <c r="D36" i="2" s="1"/>
  <c r="K2" i="3" l="1"/>
  <c r="K2" i="9"/>
  <c r="K2" i="8"/>
  <c r="K2" i="2"/>
  <c r="L2" i="1"/>
  <c r="L2" i="14" s="1"/>
  <c r="L3" i="14"/>
  <c r="L3" i="8"/>
  <c r="L3" i="9"/>
  <c r="G36" i="2"/>
  <c r="L3" i="2"/>
  <c r="F36" i="2"/>
  <c r="E36" i="2"/>
  <c r="H36" i="2"/>
  <c r="I36" i="2"/>
  <c r="K36" i="2"/>
  <c r="J36" i="2"/>
  <c r="M3" i="1"/>
  <c r="L3" i="3"/>
  <c r="L2" i="9" l="1"/>
  <c r="L2" i="8"/>
  <c r="M2" i="1"/>
  <c r="M2" i="14" s="1"/>
  <c r="M3" i="14"/>
  <c r="L2" i="2"/>
  <c r="L2" i="3"/>
  <c r="M3" i="8"/>
  <c r="M3" i="9"/>
  <c r="M3" i="2"/>
  <c r="N3" i="1"/>
  <c r="M3" i="3"/>
  <c r="M2" i="3" l="1"/>
  <c r="M2" i="2"/>
  <c r="M2" i="8"/>
  <c r="M2" i="9"/>
  <c r="N2" i="1"/>
  <c r="N2" i="14" s="1"/>
  <c r="N3" i="14"/>
  <c r="N3" i="8"/>
  <c r="N3" i="9"/>
  <c r="N3" i="2"/>
  <c r="O3" i="1"/>
  <c r="N3" i="3"/>
  <c r="N2" i="3" l="1"/>
  <c r="N2" i="2"/>
  <c r="N2" i="9"/>
  <c r="O2" i="1"/>
  <c r="O2" i="14" s="1"/>
  <c r="O3" i="14"/>
  <c r="N2" i="8"/>
  <c r="O3" i="8"/>
  <c r="O3" i="9"/>
  <c r="O3" i="2"/>
  <c r="P3" i="1"/>
  <c r="O3" i="3"/>
  <c r="O2" i="9" l="1"/>
  <c r="O2" i="8"/>
  <c r="P2" i="1"/>
  <c r="P2" i="14" s="1"/>
  <c r="P3" i="14"/>
  <c r="O2" i="3"/>
  <c r="O2" i="2"/>
  <c r="P3" i="8"/>
  <c r="P3" i="9"/>
  <c r="P3" i="2"/>
  <c r="P3" i="3"/>
  <c r="P2" i="3" l="1"/>
  <c r="P2" i="8"/>
  <c r="P2" i="2"/>
  <c r="P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7" authorId="0" shapeId="0" xr:uid="{0AA90278-5CF3-44B7-8EB7-8B20E8CADE57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Given the maturity of the Swiss mobile market, constant growth in gross additions suggests Sunrise has been doing well to take market share - likely from mobile products bundled with internet / TV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6" authorId="0" shapeId="0" xr:uid="{9694EA33-E598-4CD1-8688-60001D7DF32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Market is fully mature so growth only comes from market share gains; forecast to fade back down to LTG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6" authorId="0" shapeId="0" xr:uid="{929F486E-EA0E-43D8-9235-D4A39FC4D945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Hubbing and hardware revenues are very low margin, so providing this analysis gives a better indication of improvement in the underlying business</t>
        </r>
      </text>
    </comment>
    <comment ref="F40" authorId="0" shapeId="0" xr:uid="{0F4D7377-B5DC-44DA-BA7F-66FC5D6FA3FA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Pre IPO capital structure</t>
        </r>
      </text>
    </comment>
    <comment ref="G40" authorId="0" shapeId="0" xr:uid="{B871EF68-29EE-4266-9B47-614A3AF87D33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Pre IPO capital structure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L7" authorId="0" shapeId="0" xr:uid="{A8947247-65CC-4F57-88E4-E3E864855D83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From guidance in the AR that 2020 capex would be SFr410-450 mn, falling to SFr250-290 mn in 2021</t>
        </r>
      </text>
    </comment>
    <comment ref="L9" authorId="0" shapeId="0" xr:uid="{3F50FA94-6624-430A-B782-89394D3905E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 not allow subscriber base to go beyond fully-amortised</t>
        </r>
      </text>
    </comment>
    <comment ref="B15" authorId="0" shapeId="0" xr:uid="{6433DD31-AC49-4180-873B-6632EFB7552B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Monitor for deterioration in cash collection not justified by change in business mix</t>
        </r>
      </text>
    </comment>
    <comment ref="B20" authorId="0" shapeId="0" xr:uid="{5932E4DB-262D-4A00-A769-1BCAEC3C458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 current contract assets in 2018/2019</t>
        </r>
      </text>
    </comment>
    <comment ref="F21" authorId="0" shapeId="0" xr:uid="{D031CBF3-8C61-4EA1-B0CE-4D2355235038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38.14 derivative financial asset</t>
        </r>
      </text>
    </comment>
    <comment ref="F25" authorId="0" shapeId="0" xr:uid="{95A0AD84-91A6-4ADA-AF14-9BE9383FB60F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96.8 pension liability
158 derivative financial liability</t>
        </r>
      </text>
    </comment>
    <comment ref="G41" authorId="0" shapeId="0" xr:uid="{887A3639-422F-45B5-8BF4-6E40C2983381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Doesn't reconcile to CF due to accruals</t>
        </r>
      </text>
    </comment>
    <comment ref="K54" authorId="0" shapeId="0" xr:uid="{EDFDE7EB-313C-4D90-8A5E-C7F45B7FC6F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Doesn't tie to P&amp;L due to impairment losses</t>
        </r>
      </text>
    </comment>
    <comment ref="G71" authorId="0" shapeId="0" xr:uid="{496E021C-D7B4-4460-B814-85AFCFA95BBB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1,339 IPO proceeds</t>
        </r>
      </text>
    </comment>
    <comment ref="B74" authorId="0" shapeId="0" xr:uid="{5E05864D-8F74-411A-9023-7EFF6546AA2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current contract assets in 2018 and 2019</t>
        </r>
      </text>
    </comment>
    <comment ref="B86" authorId="0" shapeId="0" xr:uid="{350C5FBA-BAA3-4D6E-9F23-3B4EAB3A5D0E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current contract assets in 2018 and 2019</t>
        </r>
      </text>
    </comment>
    <comment ref="B93" authorId="0" shapeId="0" xr:uid="{956F7527-4B6E-42F7-80EC-0650CBA95ADC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 current contract assets in 2018/2019</t>
        </r>
      </text>
    </comment>
    <comment ref="F94" authorId="0" shapeId="0" xr:uid="{2759DB69-8BD5-4F90-AC61-9FCA82A46156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38.14 derivative financial asset</t>
        </r>
      </text>
    </comment>
    <comment ref="F101" authorId="0" shapeId="0" xr:uid="{9969261A-A9BC-4126-8ED1-1937A7B40F6F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96.8 pension liability
158 derivative financial liability</t>
        </r>
      </text>
    </comment>
  </commentList>
</comments>
</file>

<file path=xl/sharedStrings.xml><?xml version="1.0" encoding="utf-8"?>
<sst xmlns="http://schemas.openxmlformats.org/spreadsheetml/2006/main" count="325" uniqueCount="286">
  <si>
    <t>Company name</t>
  </si>
  <si>
    <t>Sunrise Communications</t>
  </si>
  <si>
    <t>Currency</t>
  </si>
  <si>
    <t>SFr</t>
  </si>
  <si>
    <t>Units</t>
  </si>
  <si>
    <t>Millions</t>
  </si>
  <si>
    <t>Income Statement</t>
  </si>
  <si>
    <t>Total revenue</t>
  </si>
  <si>
    <t>Gross profit</t>
  </si>
  <si>
    <t>Wages, salaries and pension costs</t>
  </si>
  <si>
    <t>Change in wage costs</t>
  </si>
  <si>
    <t>Wage costs % of sales</t>
  </si>
  <si>
    <t>Other operating expenses</t>
  </si>
  <si>
    <t>Change in other operating expenses</t>
  </si>
  <si>
    <t>Depreciation</t>
  </si>
  <si>
    <t>Amortisation</t>
  </si>
  <si>
    <t>EBIT</t>
  </si>
  <si>
    <t>FX gains/losses</t>
  </si>
  <si>
    <t>Gain on disposal of subsidiary</t>
  </si>
  <si>
    <t>Weighted-average shares outstanding (diluted)</t>
  </si>
  <si>
    <t>Balance sheet</t>
  </si>
  <si>
    <t>Intangible assets</t>
  </si>
  <si>
    <t>PP&amp;E</t>
  </si>
  <si>
    <t>Right-of-use assets</t>
  </si>
  <si>
    <t>Non-current trade receivables</t>
  </si>
  <si>
    <t>Other non-current assets</t>
  </si>
  <si>
    <t>Inventories</t>
  </si>
  <si>
    <t>Current trade receivables</t>
  </si>
  <si>
    <t>Current prepaid expenses</t>
  </si>
  <si>
    <t>Cash and equivalents</t>
  </si>
  <si>
    <t>Total assets</t>
  </si>
  <si>
    <t>Equity</t>
  </si>
  <si>
    <t>Non-current trade payables</t>
  </si>
  <si>
    <t>Current lease liabilities</t>
  </si>
  <si>
    <t>Current trade payables</t>
  </si>
  <si>
    <t>Income tax payable</t>
  </si>
  <si>
    <t>Other current liabilities</t>
  </si>
  <si>
    <t>Total liabilities and equity</t>
  </si>
  <si>
    <t>Net income</t>
  </si>
  <si>
    <t>Purchase of mobile spectrum license</t>
  </si>
  <si>
    <t>Income Statement Operating Statistics</t>
  </si>
  <si>
    <t>EBITDA</t>
  </si>
  <si>
    <t>Balance Sheet Operating Statistics</t>
  </si>
  <si>
    <t>OWC % revenues</t>
  </si>
  <si>
    <t>Long term assets % revenue</t>
  </si>
  <si>
    <t>Net Debt and Interest Statistics</t>
  </si>
  <si>
    <t>Debt</t>
  </si>
  <si>
    <t>Net debt</t>
  </si>
  <si>
    <t>Net debt / net debt + equity</t>
  </si>
  <si>
    <t>Returns</t>
  </si>
  <si>
    <t>ROE</t>
  </si>
  <si>
    <t>Other service revenue</t>
  </si>
  <si>
    <t>Total mobile revenue</t>
  </si>
  <si>
    <t>Revenue growth</t>
  </si>
  <si>
    <t xml:space="preserve">Total </t>
  </si>
  <si>
    <t>Landline voice revenue</t>
  </si>
  <si>
    <t>Landline services (incl. voice) revenue</t>
  </si>
  <si>
    <t>Other internet &amp; TV revenue</t>
  </si>
  <si>
    <t>Total Internet &amp; TV revenue</t>
  </si>
  <si>
    <t>Other voice services revenue growth</t>
  </si>
  <si>
    <t>Hubbing revenue growth</t>
  </si>
  <si>
    <t>Other internet &amp; TV revenue growth</t>
  </si>
  <si>
    <t>Income Statement Assumptions</t>
  </si>
  <si>
    <t>Gross profit margin (excl. hubbing &amp; hardware revenue)</t>
  </si>
  <si>
    <t>Other operating expenses % of revenue</t>
  </si>
  <si>
    <t>Non-recurring expenses</t>
  </si>
  <si>
    <t>Profit before tax</t>
  </si>
  <si>
    <t>Balance Sheet Assumptions</t>
  </si>
  <si>
    <t>Balance sheet check</t>
  </si>
  <si>
    <t>Depreciation as % of opening balance</t>
  </si>
  <si>
    <t>Days payable outstanding</t>
  </si>
  <si>
    <t>Days sales outstanding</t>
  </si>
  <si>
    <t>Days sales of inventory</t>
  </si>
  <si>
    <t>Cash Flow Statement</t>
  </si>
  <si>
    <t>Equity issuance/repurchases</t>
  </si>
  <si>
    <t>Other non-current liabilities</t>
  </si>
  <si>
    <t>Present value of new leases % sales</t>
  </si>
  <si>
    <t>Lease depreciation as % of opening balance</t>
  </si>
  <si>
    <t>Lease repayment % opening balance</t>
  </si>
  <si>
    <t>Features</t>
  </si>
  <si>
    <t>Model Details</t>
  </si>
  <si>
    <t>◦</t>
  </si>
  <si>
    <t>Date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</si>
  <si>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</si>
  <si>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</si>
  <si>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</si>
  <si>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</si>
  <si>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</si>
  <si>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</si>
  <si>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</si>
  <si>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</si>
  <si>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Model for mobile and fixed line telecoms company</t>
  </si>
  <si>
    <t>IS</t>
  </si>
  <si>
    <t>BS</t>
  </si>
  <si>
    <t>Balance Sheet</t>
  </si>
  <si>
    <t>Cash Flow Statement and Debt Schedule</t>
  </si>
  <si>
    <t>CFS and Debt</t>
  </si>
  <si>
    <t>Mobile</t>
  </si>
  <si>
    <t>Fixed</t>
  </si>
  <si>
    <t>Mobile segment revenues</t>
  </si>
  <si>
    <t>Fixed line segment revenues</t>
  </si>
  <si>
    <t>Glossary</t>
  </si>
  <si>
    <t>Glossary of sector terminology</t>
  </si>
  <si>
    <t>Telecoms Sector Model</t>
  </si>
  <si>
    <t>This document is for training purposes only. Financial Edge accepts no responsibility or liability for any other purpose or usage.</t>
  </si>
  <si>
    <t>www.fe.training</t>
  </si>
  <si>
    <t>Fixed Line Segment</t>
  </si>
  <si>
    <t>Mobile business segment</t>
  </si>
  <si>
    <t xml:space="preserve">Balance Sheet </t>
  </si>
  <si>
    <t>Prepaid (PAYG) service revenue</t>
  </si>
  <si>
    <t>Hardware revenue / gross addition</t>
  </si>
  <si>
    <t>Hardware (handset) revenue</t>
  </si>
  <si>
    <t>Total post paid subscriber growth</t>
  </si>
  <si>
    <t>Mobile business revenue build up</t>
  </si>
  <si>
    <t>Post paid (contract) service revenue</t>
  </si>
  <si>
    <t>End</t>
  </si>
  <si>
    <t>Other service (inc. roaming &amp; connection fees) revenue</t>
  </si>
  <si>
    <t>Add  - Gross additions</t>
  </si>
  <si>
    <t>Post paid subscribers</t>
  </si>
  <si>
    <t>Beginning - post paid subscribers</t>
  </si>
  <si>
    <t>Ending - post paid subscribers</t>
  </si>
  <si>
    <t>Growth of post paid gross additions</t>
  </si>
  <si>
    <t>Gross additions / beginning post paid subscribers</t>
  </si>
  <si>
    <t xml:space="preserve">   </t>
  </si>
  <si>
    <t>Total (post paid &amp; pre paid) subscriber growth</t>
  </si>
  <si>
    <t>Average post paid subscribers</t>
  </si>
  <si>
    <t>Pre paid subscriber growth</t>
  </si>
  <si>
    <t>Total average (post paid &amp; pre paid) subscriber growth</t>
  </si>
  <si>
    <t>Average Revenue Per User (ARPU) per month</t>
  </si>
  <si>
    <t>Prepaid subscribers</t>
  </si>
  <si>
    <t>Ending - post paid (contract) subscribers</t>
  </si>
  <si>
    <t>Ending - pre paid (PAYG) subscribers</t>
  </si>
  <si>
    <t>Post paid subscriber ARPU growth</t>
  </si>
  <si>
    <t>Change in hardware revenue / gross addition</t>
  </si>
  <si>
    <t>Churn rate (migrating post paid subscribers)</t>
  </si>
  <si>
    <t>Subtract - Churn (migrating post paid subscribers)</t>
  </si>
  <si>
    <t>Growth in other service (inc. roaming &amp; connection fees) revenue</t>
  </si>
  <si>
    <t>Fixed business revenue build up</t>
  </si>
  <si>
    <t>Mobile subscriber analysis</t>
  </si>
  <si>
    <t>Fixed subscriber analysis</t>
  </si>
  <si>
    <t>Landline voice subscriber growth</t>
  </si>
  <si>
    <t>Internet subscriber growth</t>
  </si>
  <si>
    <t>TV subscriber growth</t>
  </si>
  <si>
    <t>TV subscribers</t>
  </si>
  <si>
    <t>Landline total subscribers</t>
  </si>
  <si>
    <t>Landline voice subscriber additions</t>
  </si>
  <si>
    <t>Internet subscriber additions</t>
  </si>
  <si>
    <t>TV subscriber additions</t>
  </si>
  <si>
    <t>Landline total subscriber additions</t>
  </si>
  <si>
    <t>Landline voice average subscribers</t>
  </si>
  <si>
    <t>Internet average subscribers</t>
  </si>
  <si>
    <t>TV average subscribers</t>
  </si>
  <si>
    <t>Landline total average subscribers</t>
  </si>
  <si>
    <t>Pre paid subscriber ARPU growth</t>
  </si>
  <si>
    <t>Landline voice subscriber ARPU growth</t>
  </si>
  <si>
    <t>Internet subscriber ARPU growth</t>
  </si>
  <si>
    <t>TV subscriber ARPU growth</t>
  </si>
  <si>
    <t>Blended (weighted average) ARPU</t>
  </si>
  <si>
    <t>Blended (weighted average) ARPU growth</t>
  </si>
  <si>
    <t>Hubbing (sale of excess voice network capacity to other carriers) revenue</t>
  </si>
  <si>
    <t>Landline voice ARPU</t>
  </si>
  <si>
    <t>Internet ARPU</t>
  </si>
  <si>
    <t>TV ARPU</t>
  </si>
  <si>
    <t>Internet revenue</t>
  </si>
  <si>
    <t>TV revenue</t>
  </si>
  <si>
    <t>Total fixed line revenue</t>
  </si>
  <si>
    <t>Fixed line revenue growth</t>
  </si>
  <si>
    <t>Number Of Share Outstanding</t>
  </si>
  <si>
    <t>Full Time Employees</t>
  </si>
  <si>
    <t>Change in Full Time Employees</t>
  </si>
  <si>
    <t>Total Revenue / Full Time Employee</t>
  </si>
  <si>
    <t>Gross margin %</t>
  </si>
  <si>
    <t>Mobile services revenue</t>
  </si>
  <si>
    <t>Landline services revenue</t>
  </si>
  <si>
    <t>Mobile hardware and fixed hubbing revenue (very low margin)</t>
  </si>
  <si>
    <t>Calculations</t>
  </si>
  <si>
    <t>Change in revenue / Full Time Employee</t>
  </si>
  <si>
    <t>Change in cost / Full Time Employee</t>
  </si>
  <si>
    <t>Cost / Full Time Employee</t>
  </si>
  <si>
    <t>Non recurring income / (expenses)</t>
  </si>
  <si>
    <t>EBITDA margin %</t>
  </si>
  <si>
    <t>EBIT margin %</t>
  </si>
  <si>
    <t>FX gains / (losses)</t>
  </si>
  <si>
    <t>Asset disposal gains / (losses)</t>
  </si>
  <si>
    <t>Beginning intangibles</t>
  </si>
  <si>
    <t>Subtract amortization</t>
  </si>
  <si>
    <t>Ending intangibles</t>
  </si>
  <si>
    <t>Amortization - Subscriber base</t>
  </si>
  <si>
    <t>Amortization - Other % opening balance</t>
  </si>
  <si>
    <t>Beginning subscriber base</t>
  </si>
  <si>
    <t>Ending subscriber base</t>
  </si>
  <si>
    <t>Ending goodwill</t>
  </si>
  <si>
    <t>Beginning goodwill</t>
  </si>
  <si>
    <t>Amortization - goodwill</t>
  </si>
  <si>
    <t>Add purchase of other intangibles</t>
  </si>
  <si>
    <t>Add purchase of mobile spectrum licence</t>
  </si>
  <si>
    <t>Subtract impairment</t>
  </si>
  <si>
    <t>Beginning mobile spectrum licence &amp; other intangibles</t>
  </si>
  <si>
    <t>Ending mobile spectrum licence &amp; other intangibles</t>
  </si>
  <si>
    <t>Beginning PP&amp;E</t>
  </si>
  <si>
    <t>Add capex</t>
  </si>
  <si>
    <t>Subtract depreciation</t>
  </si>
  <si>
    <t>Ending PP&amp;E</t>
  </si>
  <si>
    <t>Beginning Right of Use asset</t>
  </si>
  <si>
    <t>Add new leases (non-cash capex)</t>
  </si>
  <si>
    <t>Ending Right of Use asset</t>
  </si>
  <si>
    <t>Beginning lease liabilities</t>
  </si>
  <si>
    <t>Subtract lease repayment</t>
  </si>
  <si>
    <t>Add new leases</t>
  </si>
  <si>
    <t>Ending lease liabilities</t>
  </si>
  <si>
    <t>Beginning equity</t>
  </si>
  <si>
    <t>Add net income</t>
  </si>
  <si>
    <t>Subtract dividends</t>
  </si>
  <si>
    <t>Share issuance / (repurchase) and other</t>
  </si>
  <si>
    <t>Ending equity</t>
  </si>
  <si>
    <t>Operating working capital</t>
  </si>
  <si>
    <t>Total current assets</t>
  </si>
  <si>
    <t>Total operating current assets</t>
  </si>
  <si>
    <t>Total current liabilities</t>
  </si>
  <si>
    <t>Total operating liabilities</t>
  </si>
  <si>
    <t>Interest income</t>
  </si>
  <si>
    <t>Interest expense</t>
  </si>
  <si>
    <t>Financing cash flow</t>
  </si>
  <si>
    <t>Investing cash flow</t>
  </si>
  <si>
    <t>Operating cash flow</t>
  </si>
  <si>
    <t>Landline total growth</t>
  </si>
  <si>
    <t>Revolver</t>
  </si>
  <si>
    <t>Tax expense</t>
  </si>
  <si>
    <t>Interest rate on cash</t>
  </si>
  <si>
    <t>Long term debt issuance / (repayment)</t>
  </si>
  <si>
    <t>Long term debt</t>
  </si>
  <si>
    <t>Interest rate on long term debt</t>
  </si>
  <si>
    <t>Interest rate in revolver</t>
  </si>
  <si>
    <t>Interest assumptions</t>
  </si>
  <si>
    <t>Add back depreciation</t>
  </si>
  <si>
    <t>Add back amortization</t>
  </si>
  <si>
    <t>Change in OWC</t>
  </si>
  <si>
    <t>Purchase of intangibles</t>
  </si>
  <si>
    <t>Change in revolver</t>
  </si>
  <si>
    <t>Change in long term debt</t>
  </si>
  <si>
    <t>Non-current lease liability</t>
  </si>
  <si>
    <t>Dividends</t>
  </si>
  <si>
    <t>Beginning cash</t>
  </si>
  <si>
    <t>Net cash flow</t>
  </si>
  <si>
    <t>Ending cash</t>
  </si>
  <si>
    <t>Cash flow available to service debt</t>
  </si>
  <si>
    <t>Cash balance available to service debt</t>
  </si>
  <si>
    <t>Surplus cash / (revolver requirement)</t>
  </si>
  <si>
    <t>Beginning revolver</t>
  </si>
  <si>
    <t>Revolver issuance / (repayment)</t>
  </si>
  <si>
    <t>Ending revolver</t>
  </si>
  <si>
    <t>Interest calculations</t>
  </si>
  <si>
    <t>Interest on revolver</t>
  </si>
  <si>
    <t>Total interest expense</t>
  </si>
  <si>
    <t>Cash interest expense</t>
  </si>
  <si>
    <t>Non cash interest expense</t>
  </si>
  <si>
    <t>Interest on long term debt</t>
  </si>
  <si>
    <t>Add non cash interest expense</t>
  </si>
  <si>
    <t>Total liabilities</t>
  </si>
  <si>
    <t>Total capex</t>
  </si>
  <si>
    <t>Lease repayment</t>
  </si>
  <si>
    <t>Less non cash lease capex</t>
  </si>
  <si>
    <t>Add back non cash lease interest expense</t>
  </si>
  <si>
    <t>Cash capex</t>
  </si>
  <si>
    <t>Cash flow statement lease adjustments</t>
  </si>
  <si>
    <t>Non cash lease interest expense (operating cash flow)</t>
  </si>
  <si>
    <t>Cash Capex (investing cash flow)</t>
  </si>
  <si>
    <t>Lease repayment (financing cash flow)</t>
  </si>
  <si>
    <t>EBITDA (underlying)</t>
  </si>
  <si>
    <t>Non current deferred tax liability</t>
  </si>
  <si>
    <t>Non current tax liability % beginning PP&amp;E</t>
  </si>
  <si>
    <t>EBITDA (underlying) margin %</t>
  </si>
  <si>
    <t>EBITDA (underlying) margin % excl. hubbing &amp; hardware revenue</t>
  </si>
  <si>
    <t>Debt / EBITDA (underlying)</t>
  </si>
  <si>
    <t>Net debt / EBITDA (underlying)</t>
  </si>
  <si>
    <t>EBITDA (underlying) / interest expense</t>
  </si>
  <si>
    <t>Effective Tax Rate</t>
  </si>
  <si>
    <t>Marginal Tax Rate</t>
  </si>
  <si>
    <t>Purchase of other intangibles % sales</t>
  </si>
  <si>
    <t>Capex % sales</t>
  </si>
  <si>
    <t>Average pre paid subscribers</t>
  </si>
  <si>
    <t>Landline voice subscribers</t>
  </si>
  <si>
    <t>Internet subscribers</t>
  </si>
  <si>
    <t>Pre-tax ROIC</t>
  </si>
  <si>
    <t>Net income margin %</t>
  </si>
  <si>
    <t>Dividend payout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</si>
</sst>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d/m/yy;@"/>
    <numFmt numFmtId="169" formatCode="mm/yy"/>
    <numFmt numFmtId="170" formatCode="#,##0;\(#,##0\)"/>
    <numFmt numFmtId="171" formatCode="0.0%"/>
    <numFmt numFmtId="172" formatCode="0.0"/>
    <numFmt numFmtId="173" formatCode="0.0\x"/>
    <numFmt numFmtId="174" formatCode="#,##0.0_);\(#,##0.0\)\,0.0_);@_)"/>
    <numFmt numFmtId="175" formatCode="[$-409]d\-mmm\-yy;@"/>
    <numFmt numFmtId="176" formatCode="#,##0.0\ \x_);\(#,##0.0\ \x\);"/>
    <numFmt numFmtId="177" formatCode="#,##0.0\ \x_);\(#,##0.0\ \x\)"/>
    <numFmt numFmtId="178" formatCode="#,##0.0_);\(#,##0.0\);0.0_);@_)"/>
    <numFmt numFmtId="179" formatCode="0.0%_);\(0.0%\)"/>
    <numFmt numFmtId="180" formatCode="#,##0.0;\(#,##0.0\)"/>
  </numFmts>
  <fonts count="40" x14ac:knownFonts="1"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6"/>
      <color theme="0"/>
      <name val="Calibri Light"/>
      <family val="2"/>
      <scheme val="major"/>
    </font>
    <font>
      <b/>
      <sz val="12"/>
      <color rgb="FF16326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rgb="FF085393"/>
      <name val="Calibri"/>
      <family val="2"/>
      <scheme val="minor"/>
    </font>
    <font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163260"/>
      <name val="Calibri"/>
      <family val="2"/>
      <scheme val="minor"/>
    </font>
    <font>
      <sz val="11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1C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8" fontId="0" fillId="0" borderId="0"/>
    <xf numFmtId="179" fontId="9" fillId="2" borderId="0" applyFont="0" applyFill="0" applyBorder="0" applyAlignment="0" applyProtection="0"/>
    <xf numFmtId="178" fontId="17" fillId="0" borderId="0"/>
    <xf numFmtId="176" fontId="11" fillId="6" borderId="1" applyNumberFormat="0">
      <protection locked="0"/>
    </xf>
    <xf numFmtId="0" fontId="8" fillId="4" borderId="0" applyNumberFormat="0" applyFont="0" applyAlignment="0" applyProtection="0">
      <alignment vertical="top"/>
    </xf>
    <xf numFmtId="174" fontId="5" fillId="2" borderId="0" applyNumberFormat="0" applyBorder="0" applyProtection="0">
      <alignment horizontal="center"/>
    </xf>
    <xf numFmtId="175" fontId="9" fillId="0" borderId="0" applyFont="0" applyFill="0" applyBorder="0" applyAlignment="0" applyProtection="0"/>
    <xf numFmtId="175" fontId="10" fillId="5" borderId="0">
      <alignment horizontal="center"/>
    </xf>
    <xf numFmtId="174" fontId="11" fillId="2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7" fillId="2" borderId="0" applyNumberFormat="0">
      <alignment horizontal="left"/>
    </xf>
    <xf numFmtId="0" fontId="12" fillId="5" borderId="0" applyNumberFormat="0" applyAlignment="0">
      <alignment horizontal="left"/>
    </xf>
    <xf numFmtId="0" fontId="13" fillId="0" borderId="0" applyNumberFormat="0" applyFill="0" applyBorder="0">
      <alignment horizontal="left" vertical="center"/>
    </xf>
    <xf numFmtId="178" fontId="19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6" applyNumberFormat="0" applyAlignment="0" applyProtection="0"/>
    <xf numFmtId="0" fontId="29" fillId="11" borderId="7" applyNumberFormat="0" applyAlignment="0" applyProtection="0"/>
    <xf numFmtId="0" fontId="30" fillId="0" borderId="8" applyNumberFormat="0" applyFill="0" applyAlignment="0" applyProtection="0"/>
    <xf numFmtId="0" fontId="31" fillId="12" borderId="9" applyNumberFormat="0" applyAlignment="0" applyProtection="0"/>
    <xf numFmtId="0" fontId="32" fillId="0" borderId="0" applyNumberFormat="0" applyFill="0" applyBorder="0" applyAlignment="0" applyProtection="0"/>
    <xf numFmtId="0" fontId="9" fillId="13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78" fontId="19" fillId="0" borderId="0" applyNumberFormat="0" applyFill="0" applyBorder="0" applyAlignment="0" applyProtection="0"/>
    <xf numFmtId="178" fontId="20" fillId="0" borderId="0" applyNumberFormat="0" applyFill="0" applyBorder="0" applyAlignment="0" applyProtection="0"/>
  </cellStyleXfs>
  <cellXfs count="122">
    <xf numFmtId="178" fontId="0" fillId="0" borderId="0" xfId="0"/>
    <xf numFmtId="178" fontId="11" fillId="0" borderId="0" xfId="8" applyNumberFormat="1" applyFont="1" applyFill="1"/>
    <xf numFmtId="168" fontId="0" fillId="0" borderId="0" xfId="0" applyNumberFormat="1"/>
    <xf numFmtId="178" fontId="2" fillId="0" borderId="0" xfId="0" applyFont="1"/>
    <xf numFmtId="9" fontId="0" fillId="0" borderId="0" xfId="0" applyNumberFormat="1"/>
    <xf numFmtId="170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8" fontId="5" fillId="2" borderId="0" xfId="0" applyFont="1" applyFill="1"/>
    <xf numFmtId="178" fontId="5" fillId="3" borderId="0" xfId="0" applyFont="1" applyFill="1"/>
    <xf numFmtId="178" fontId="4" fillId="0" borderId="0" xfId="0" applyFont="1"/>
    <xf numFmtId="169" fontId="5" fillId="3" borderId="0" xfId="0" applyNumberFormat="1" applyFont="1" applyFill="1" applyAlignment="1">
      <alignment horizontal="right"/>
    </xf>
    <xf numFmtId="170" fontId="4" fillId="0" borderId="0" xfId="0" applyNumberFormat="1" applyFont="1"/>
    <xf numFmtId="171" fontId="0" fillId="0" borderId="0" xfId="1" applyNumberFormat="1" applyFont="1" applyFill="1"/>
    <xf numFmtId="178" fontId="0" fillId="0" borderId="0" xfId="0"/>
    <xf numFmtId="178" fontId="0" fillId="0" borderId="0" xfId="0" applyAlignment="1">
      <alignment horizontal="right"/>
    </xf>
    <xf numFmtId="170" fontId="0" fillId="0" borderId="0" xfId="0" applyNumberFormat="1" applyAlignment="1">
      <alignment horizontal="right"/>
    </xf>
    <xf numFmtId="178" fontId="0" fillId="0" borderId="0" xfId="0" applyFont="1"/>
    <xf numFmtId="178" fontId="0" fillId="0" borderId="0" xfId="0" applyFill="1"/>
    <xf numFmtId="170" fontId="0" fillId="0" borderId="0" xfId="0" applyNumberFormat="1" applyFill="1"/>
    <xf numFmtId="178" fontId="0" fillId="0" borderId="0" xfId="0" applyFill="1" applyAlignment="1">
      <alignment horizontal="right"/>
    </xf>
    <xf numFmtId="173" fontId="0" fillId="0" borderId="0" xfId="0" applyNumberFormat="1" applyFill="1"/>
    <xf numFmtId="178" fontId="11" fillId="0" borderId="0" xfId="8" applyNumberFormat="1" applyFill="1"/>
    <xf numFmtId="171" fontId="11" fillId="6" borderId="1" xfId="3" applyNumberFormat="1">
      <protection locked="0"/>
    </xf>
    <xf numFmtId="178" fontId="14" fillId="0" borderId="0" xfId="0" applyFont="1"/>
    <xf numFmtId="179" fontId="0" fillId="0" borderId="0" xfId="1" applyFont="1" applyFill="1"/>
    <xf numFmtId="178" fontId="3" fillId="0" borderId="0" xfId="0" applyFont="1"/>
    <xf numFmtId="172" fontId="11" fillId="0" borderId="0" xfId="8" applyNumberFormat="1" applyFill="1"/>
    <xf numFmtId="178" fontId="13" fillId="0" borderId="0" xfId="12" applyNumberFormat="1">
      <alignment horizontal="left" vertical="center"/>
    </xf>
    <xf numFmtId="179" fontId="11" fillId="6" borderId="1" xfId="3" applyNumberFormat="1">
      <protection locked="0"/>
    </xf>
    <xf numFmtId="172" fontId="11" fillId="6" borderId="1" xfId="3" applyNumberFormat="1">
      <protection locked="0"/>
    </xf>
    <xf numFmtId="180" fontId="0" fillId="0" borderId="0" xfId="0" applyNumberFormat="1"/>
    <xf numFmtId="180" fontId="11" fillId="0" borderId="0" xfId="8" applyNumberFormat="1" applyFill="1"/>
    <xf numFmtId="170" fontId="11" fillId="0" borderId="0" xfId="8" applyNumberFormat="1" applyFill="1"/>
    <xf numFmtId="178" fontId="11" fillId="0" borderId="0" xfId="8" applyNumberFormat="1" applyFill="1" applyAlignment="1">
      <alignment horizontal="right"/>
    </xf>
    <xf numFmtId="179" fontId="11" fillId="6" borderId="1" xfId="1" applyFont="1" applyFill="1" applyBorder="1" applyProtection="1">
      <protection locked="0"/>
    </xf>
    <xf numFmtId="178" fontId="8" fillId="7" borderId="0" xfId="0" applyFont="1" applyFill="1"/>
    <xf numFmtId="178" fontId="8" fillId="4" borderId="0" xfId="4" applyNumberFormat="1" applyFont="1" applyAlignment="1"/>
    <xf numFmtId="174" fontId="16" fillId="4" borderId="0" xfId="4" applyNumberFormat="1" applyFont="1" applyAlignment="1">
      <alignment vertical="center" wrapText="1"/>
    </xf>
    <xf numFmtId="178" fontId="8" fillId="4" borderId="0" xfId="4" applyNumberFormat="1" applyFont="1" applyAlignment="1">
      <alignment horizontal="left" vertical="top"/>
    </xf>
    <xf numFmtId="178" fontId="17" fillId="4" borderId="0" xfId="4" applyNumberFormat="1" applyFont="1" applyAlignment="1">
      <alignment horizontal="center" vertical="top"/>
    </xf>
    <xf numFmtId="178" fontId="0" fillId="4" borderId="0" xfId="4" applyNumberFormat="1" applyFont="1" applyAlignment="1"/>
    <xf numFmtId="178" fontId="8" fillId="4" borderId="0" xfId="4" applyNumberFormat="1" applyFont="1" applyAlignment="1">
      <alignment vertical="top"/>
    </xf>
    <xf numFmtId="178" fontId="17" fillId="4" borderId="0" xfId="4" applyNumberFormat="1" applyFont="1" applyAlignment="1">
      <alignment vertical="top"/>
    </xf>
    <xf numFmtId="178" fontId="8" fillId="4" borderId="0" xfId="4" applyNumberFormat="1" applyFont="1" applyAlignment="1">
      <alignment vertical="top" wrapText="1"/>
    </xf>
    <xf numFmtId="174" fontId="8" fillId="4" borderId="0" xfId="4" applyNumberFormat="1" applyFont="1" applyAlignment="1">
      <alignment vertical="top"/>
    </xf>
    <xf numFmtId="174" fontId="17" fillId="4" borderId="0" xfId="4" applyNumberFormat="1" applyFont="1" applyAlignment="1">
      <alignment horizontal="center" vertical="top"/>
    </xf>
    <xf numFmtId="174" fontId="8" fillId="4" borderId="0" xfId="4" applyNumberFormat="1" applyFont="1" applyAlignment="1"/>
    <xf numFmtId="174" fontId="18" fillId="4" borderId="0" xfId="4" applyNumberFormat="1" applyFont="1" applyAlignment="1">
      <alignment vertical="center" wrapText="1"/>
    </xf>
    <xf numFmtId="178" fontId="8" fillId="4" borderId="2" xfId="4" applyNumberFormat="1" applyFont="1" applyBorder="1" applyAlignment="1">
      <alignment vertical="top"/>
    </xf>
    <xf numFmtId="178" fontId="16" fillId="0" borderId="0" xfId="0" applyFont="1" applyAlignment="1">
      <alignment vertical="center" wrapText="1"/>
    </xf>
    <xf numFmtId="178" fontId="13" fillId="4" borderId="0" xfId="4" applyNumberFormat="1" applyFont="1" applyAlignment="1">
      <alignment vertical="center"/>
    </xf>
    <xf numFmtId="178" fontId="17" fillId="0" borderId="0" xfId="0" applyFont="1" applyAlignment="1">
      <alignment horizontal="center" vertical="top"/>
    </xf>
    <xf numFmtId="178" fontId="8" fillId="0" borderId="0" xfId="0" applyFont="1" applyAlignment="1">
      <alignment vertical="top"/>
    </xf>
    <xf numFmtId="174" fontId="11" fillId="6" borderId="1" xfId="3" applyNumberFormat="1">
      <protection locked="0"/>
    </xf>
    <xf numFmtId="174" fontId="11" fillId="0" borderId="0" xfId="8" applyFill="1" applyBorder="1" applyAlignment="1">
      <alignment vertical="top"/>
    </xf>
    <xf numFmtId="174" fontId="8" fillId="0" borderId="0" xfId="4" applyNumberFormat="1" applyFont="1" applyFill="1" applyAlignment="1"/>
    <xf numFmtId="178" fontId="8" fillId="0" borderId="0" xfId="0" applyFont="1"/>
    <xf numFmtId="178" fontId="0" fillId="4" borderId="0" xfId="4" applyNumberFormat="1" applyFont="1" applyAlignment="1">
      <alignment horizontal="left"/>
    </xf>
    <xf numFmtId="178" fontId="15" fillId="0" borderId="0" xfId="0" applyFont="1"/>
    <xf numFmtId="178" fontId="13" fillId="0" borderId="0" xfId="0" applyFont="1" applyAlignment="1">
      <alignment vertical="center"/>
    </xf>
    <xf numFmtId="174" fontId="8" fillId="4" borderId="0" xfId="4" applyNumberFormat="1" applyFont="1" applyAlignment="1">
      <alignment horizontal="left" vertical="top"/>
    </xf>
    <xf numFmtId="178" fontId="17" fillId="4" borderId="2" xfId="4" applyNumberFormat="1" applyFont="1" applyBorder="1" applyAlignment="1">
      <alignment horizontal="center" vertical="top"/>
    </xf>
    <xf numFmtId="178" fontId="8" fillId="4" borderId="2" xfId="4" applyNumberFormat="1" applyFont="1" applyBorder="1" applyAlignment="1"/>
    <xf numFmtId="178" fontId="16" fillId="4" borderId="2" xfId="4" applyNumberFormat="1" applyFont="1" applyBorder="1" applyAlignment="1">
      <alignment vertical="center" wrapText="1"/>
    </xf>
    <xf numFmtId="178" fontId="0" fillId="0" borderId="0" xfId="0"/>
    <xf numFmtId="178" fontId="0" fillId="0" borderId="0" xfId="0"/>
    <xf numFmtId="178" fontId="0" fillId="0" borderId="0" xfId="0"/>
    <xf numFmtId="175" fontId="5" fillId="3" borderId="0" xfId="6" applyFont="1" applyFill="1"/>
    <xf numFmtId="171" fontId="11" fillId="0" borderId="0" xfId="8" applyNumberFormat="1" applyFill="1"/>
    <xf numFmtId="179" fontId="11" fillId="0" borderId="0" xfId="8" applyNumberFormat="1" applyFill="1"/>
    <xf numFmtId="170" fontId="6" fillId="0" borderId="0" xfId="0" applyNumberFormat="1" applyFont="1"/>
    <xf numFmtId="170" fontId="0" fillId="0" borderId="0" xfId="0" applyNumberFormat="1" applyFont="1"/>
    <xf numFmtId="171" fontId="0" fillId="0" borderId="0" xfId="0" applyNumberFormat="1" applyFont="1"/>
    <xf numFmtId="170" fontId="3" fillId="0" borderId="0" xfId="0" applyNumberFormat="1" applyFont="1"/>
    <xf numFmtId="171" fontId="11" fillId="6" borderId="1" xfId="3" applyNumberFormat="1" applyFont="1">
      <protection locked="0"/>
    </xf>
    <xf numFmtId="171" fontId="0" fillId="0" borderId="0" xfId="0" applyNumberFormat="1" applyFont="1" applyAlignment="1">
      <alignment horizontal="right"/>
    </xf>
    <xf numFmtId="172" fontId="0" fillId="0" borderId="0" xfId="0" applyNumberFormat="1" applyFont="1"/>
    <xf numFmtId="172" fontId="11" fillId="0" borderId="0" xfId="8" applyNumberFormat="1" applyFont="1" applyFill="1"/>
    <xf numFmtId="178" fontId="0" fillId="0" borderId="0" xfId="0" applyFont="1" applyFill="1"/>
    <xf numFmtId="178" fontId="11" fillId="6" borderId="1" xfId="3" applyNumberFormat="1">
      <protection locked="0"/>
    </xf>
    <xf numFmtId="178" fontId="0" fillId="0" borderId="0" xfId="0" applyFont="1" applyAlignment="1">
      <alignment horizontal="right"/>
    </xf>
    <xf numFmtId="171" fontId="0" fillId="0" borderId="0" xfId="0" applyNumberFormat="1" applyFill="1" applyAlignment="1">
      <alignment horizontal="right"/>
    </xf>
    <xf numFmtId="178" fontId="38" fillId="0" borderId="0" xfId="12" applyNumberFormat="1" applyFont="1">
      <alignment horizontal="left" vertical="center"/>
    </xf>
    <xf numFmtId="178" fontId="3" fillId="0" borderId="0" xfId="0" applyFont="1" applyFill="1"/>
    <xf numFmtId="178" fontId="13" fillId="0" borderId="0" xfId="12" applyNumberFormat="1" applyFill="1">
      <alignment horizontal="left" vertical="center"/>
    </xf>
    <xf numFmtId="171" fontId="0" fillId="0" borderId="0" xfId="0" applyNumberFormat="1" applyFill="1"/>
    <xf numFmtId="178" fontId="0" fillId="0" borderId="0" xfId="0"/>
    <xf numFmtId="178" fontId="13" fillId="0" borderId="0" xfId="12" applyNumberFormat="1" applyBorder="1">
      <alignment horizontal="left" vertical="center"/>
    </xf>
    <xf numFmtId="178" fontId="0" fillId="0" borderId="0" xfId="0" applyBorder="1"/>
    <xf numFmtId="178" fontId="0" fillId="0" borderId="0" xfId="0" applyBorder="1" applyAlignment="1">
      <alignment horizontal="right"/>
    </xf>
    <xf numFmtId="178" fontId="0" fillId="0" borderId="0" xfId="0"/>
    <xf numFmtId="178" fontId="0" fillId="0" borderId="0" xfId="0"/>
    <xf numFmtId="178" fontId="0" fillId="0" borderId="0" xfId="0"/>
    <xf numFmtId="178" fontId="0" fillId="0" borderId="0" xfId="0"/>
    <xf numFmtId="178" fontId="39" fillId="2" borderId="0" xfId="10" applyNumberFormat="1" applyFont="1">
      <alignment horizontal="left"/>
    </xf>
    <xf numFmtId="178" fontId="9" fillId="0" borderId="0" xfId="0" applyFont="1"/>
    <xf numFmtId="178" fontId="39" fillId="5" borderId="0" xfId="11" applyNumberFormat="1" applyFont="1" applyAlignment="1">
      <alignment horizontal="left" vertical="center"/>
    </xf>
    <xf numFmtId="178" fontId="39" fillId="5" borderId="0" xfId="11" applyNumberFormat="1" applyFont="1" applyAlignment="1"/>
    <xf numFmtId="174" fontId="39" fillId="2" borderId="0" xfId="10" applyNumberFormat="1" applyFont="1" applyAlignment="1"/>
    <xf numFmtId="174" fontId="39" fillId="5" borderId="0" xfId="11" applyNumberFormat="1" applyFont="1" applyAlignment="1"/>
    <xf numFmtId="178" fontId="5" fillId="5" borderId="0" xfId="0" applyFont="1" applyFill="1"/>
    <xf numFmtId="178" fontId="39" fillId="2" borderId="0" xfId="0" applyFont="1" applyFill="1"/>
    <xf numFmtId="178" fontId="0" fillId="0" borderId="0" xfId="0"/>
    <xf numFmtId="178" fontId="0" fillId="0" borderId="0" xfId="0"/>
    <xf numFmtId="178" fontId="0" fillId="0" borderId="0" xfId="0"/>
    <xf numFmtId="178" fontId="0" fillId="0" borderId="0" xfId="0"/>
    <xf numFmtId="178" fontId="0" fillId="0" borderId="0" xfId="0"/>
    <xf numFmtId="180" fontId="0" fillId="0" borderId="0" xfId="0" applyNumberFormat="1" applyFill="1"/>
    <xf numFmtId="178" fontId="0" fillId="38" borderId="0" xfId="0" applyFill="1"/>
    <xf numFmtId="178" fontId="0" fillId="0" borderId="0" xfId="0"/>
    <xf numFmtId="178" fontId="0" fillId="0" borderId="0" xfId="0"/>
    <xf numFmtId="174" fontId="7" fillId="2" borderId="0" xfId="10" applyNumberFormat="1" applyAlignment="1">
      <alignment horizontal="center"/>
    </xf>
    <xf numFmtId="174" fontId="7" fillId="5" borderId="0" xfId="11" applyNumberFormat="1" applyFont="1" applyAlignment="1">
      <alignment horizontal="center" vertical="center"/>
    </xf>
    <xf numFmtId="174" fontId="8" fillId="4" borderId="0" xfId="4" applyNumberFormat="1" applyFont="1" applyAlignment="1">
      <alignment horizontal="left" vertical="top"/>
    </xf>
    <xf numFmtId="174" fontId="0" fillId="4" borderId="0" xfId="0" applyNumberFormat="1" applyFill="1" applyAlignment="1">
      <alignment horizontal="center" vertical="center" wrapText="1"/>
    </xf>
    <xf numFmtId="174" fontId="0" fillId="4" borderId="0" xfId="0" applyNumberFormat="1" applyFill="1" applyBorder="1" applyAlignment="1">
      <alignment horizontal="center" vertical="center" wrapText="1"/>
    </xf>
    <xf numFmtId="178" fontId="0" fillId="4" borderId="0" xfId="4" applyNumberFormat="1" applyFont="1" applyAlignment="1"/>
    <xf numFmtId="178" fontId="13" fillId="4" borderId="0" xfId="4" applyNumberFormat="1" applyFont="1" applyAlignment="1">
      <alignment horizontal="left" vertical="center"/>
    </xf>
    <xf numFmtId="175" fontId="0" fillId="4" borderId="0" xfId="4" applyNumberFormat="1" applyFont="1" applyAlignment="1">
      <alignment horizontal="left"/>
    </xf>
    <xf numFmtId="178" fontId="0" fillId="4" borderId="0" xfId="4" applyNumberFormat="1" applyFont="1" applyAlignment="1">
      <alignment horizontal="left"/>
    </xf>
  </cellXfs>
  <cellStyles count="61">
    <cellStyle name="20% - Accent1" xfId="36" builtinId="30" hidden="1"/>
    <cellStyle name="20% - Accent2" xfId="40" builtinId="34" hidden="1"/>
    <cellStyle name="20% - Accent3" xfId="44" builtinId="38" hidden="1"/>
    <cellStyle name="20% - Accent4" xfId="48" builtinId="42" hidden="1"/>
    <cellStyle name="20% - Accent5" xfId="52" builtinId="46" hidden="1"/>
    <cellStyle name="20% - Accent6" xfId="56" builtinId="50" hidden="1"/>
    <cellStyle name="40% - Accent1" xfId="37" builtinId="31" hidden="1"/>
    <cellStyle name="40% - Accent2" xfId="41" builtinId="35" hidden="1"/>
    <cellStyle name="40% - Accent3" xfId="45" builtinId="39" hidden="1"/>
    <cellStyle name="40% - Accent4" xfId="49" builtinId="43" hidden="1"/>
    <cellStyle name="40% - Accent5" xfId="53" builtinId="47" hidden="1"/>
    <cellStyle name="40% - Accent6" xfId="57" builtinId="51" hidden="1"/>
    <cellStyle name="60% - Accent1" xfId="38" builtinId="32" hidden="1"/>
    <cellStyle name="60% - Accent2" xfId="42" builtinId="36" hidden="1"/>
    <cellStyle name="60% - Accent3" xfId="46" builtinId="40" hidden="1"/>
    <cellStyle name="60% - Accent4" xfId="50" builtinId="44" hidden="1"/>
    <cellStyle name="60% - Accent5" xfId="54" builtinId="48" hidden="1"/>
    <cellStyle name="60% - Accent6" xfId="58" builtinId="52" hidden="1"/>
    <cellStyle name="Accent1" xfId="35" builtinId="29" hidden="1"/>
    <cellStyle name="Accent2" xfId="39" builtinId="33" hidden="1"/>
    <cellStyle name="Accent3" xfId="43" builtinId="37" hidden="1"/>
    <cellStyle name="Accent4" xfId="47" builtinId="41" hidden="1"/>
    <cellStyle name="Accent5" xfId="51" builtinId="45" hidden="1"/>
    <cellStyle name="Accent6" xfId="55" builtinId="49" hidden="1"/>
    <cellStyle name="Background Fill" xfId="4" xr:uid="{BB79B441-7C23-4EB6-9B93-1645BC98142F}"/>
    <cellStyle name="Bad" xfId="25" builtinId="27" hidden="1"/>
    <cellStyle name="Calculation" xfId="28" builtinId="22" hidden="1"/>
    <cellStyle name="Check Cell" xfId="30" builtinId="23" hidden="1"/>
    <cellStyle name="Column Heading" xfId="5" xr:uid="{3BA96B78-8075-4D5D-B272-F746F0730368}"/>
    <cellStyle name="Comma" xfId="15" builtinId="3" hidden="1"/>
    <cellStyle name="Comma [0]" xfId="16" builtinId="6" hidden="1"/>
    <cellStyle name="Currency" xfId="17" builtinId="4" hidden="1"/>
    <cellStyle name="Currency [0]" xfId="18" builtinId="7" hidden="1"/>
    <cellStyle name="Date" xfId="6" xr:uid="{741C81F3-FCC4-42C6-9BAF-D1651C18C355}"/>
    <cellStyle name="Date Heading" xfId="7" xr:uid="{74838CAD-7EB5-40EC-BBA3-41050B6C7D2C}"/>
    <cellStyle name="Explanatory Text" xfId="33" builtinId="53" hidden="1"/>
    <cellStyle name="Followed Hyperlink" xfId="14" builtinId="9" hidden="1"/>
    <cellStyle name="Followed Hyperlink" xfId="60" builtinId="9" hidden="1"/>
    <cellStyle name="Good" xfId="24" builtinId="26" hidden="1"/>
    <cellStyle name="Hard Coded Number" xfId="8" xr:uid="{DAE13C11-051A-4326-870C-247DF653735B}"/>
    <cellStyle name="Heading 1" xfId="20" builtinId="16" hidden="1"/>
    <cellStyle name="Heading 2" xfId="21" builtinId="17" hidden="1"/>
    <cellStyle name="Heading 3" xfId="22" builtinId="18" hidden="1"/>
    <cellStyle name="Heading 4" xfId="23" builtinId="19" hidden="1"/>
    <cellStyle name="Hyperlink" xfId="13" builtinId="8" hidden="1"/>
    <cellStyle name="Hyperlink" xfId="59" builtinId="8" hidden="1"/>
    <cellStyle name="Input" xfId="3" builtinId="20" customBuiltin="1"/>
    <cellStyle name="Linked Cell" xfId="29" builtinId="24" hidden="1"/>
    <cellStyle name="Multiple" xfId="9" xr:uid="{AC4ADEB9-22ED-435C-87B1-B1FC7E3CE052}"/>
    <cellStyle name="Neutral" xfId="26" builtinId="28" hidden="1"/>
    <cellStyle name="Normal" xfId="0" builtinId="0" customBuiltin="1"/>
    <cellStyle name="Note" xfId="32" builtinId="10" hidden="1"/>
    <cellStyle name="Output" xfId="27" builtinId="21" hidden="1"/>
    <cellStyle name="Percent" xfId="1" builtinId="5" customBuiltin="1"/>
    <cellStyle name="Primary Title" xfId="10" xr:uid="{4BBF4834-0AB0-4875-BBC2-6B8FE8FBF0CE}"/>
    <cellStyle name="Row label" xfId="2" xr:uid="{F595A21C-2B31-429F-B9F4-B2899D842D90}"/>
    <cellStyle name="Secondary Title" xfId="11" xr:uid="{14B21F51-D810-4230-B559-7E1BDEB7D04F}"/>
    <cellStyle name="Tertiary Title" xfId="12" xr:uid="{B47BD415-651F-4059-92D2-BAE3ADE4394E}"/>
    <cellStyle name="Title" xfId="19" builtinId="15" hidden="1"/>
    <cellStyle name="Total" xfId="34" builtinId="25" hidden="1"/>
    <cellStyle name="Warning Text" xfId="31" builtinId="11" hidden="1"/>
  </cellStyles>
  <dxfs count="0"/>
  <tableStyles count="0" defaultTableStyle="TableStyleMedium2" defaultPivotStyle="PivotStyleMedium9"/>
  <colors>
    <mruColors>
      <color rgb="FF085393"/>
      <color rgb="FF1C5393"/>
      <color rgb="FF1632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E88BB-4B5C-443C-A718-EBAEE2090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147" y="1021080"/>
          <a:ext cx="3715703" cy="531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202312</xdr:colOff>
      <xdr:row>3</xdr:row>
      <xdr:rowOff>9511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16885-AC86-4F0E-A43E-4A677174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33" y="123820"/>
          <a:ext cx="404204" cy="342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borah%20Taylor/AppData/Local/Packages/Microsoft.Office.Desktop_8wekyb3d8bbwe/LocalCache/Roaming/Microsoft/Excel/Burberry%20Financial%20Forecasting%20Full%20Instructo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IS"/>
      <sheetName val="BS"/>
      <sheetName val="CFS"/>
      <sheetName val="Segments"/>
      <sheetName val="Scenarios"/>
      <sheetName val="Benchmark vs Consensus"/>
    </sheetNames>
    <sheetDataSet>
      <sheetData sheetId="0"/>
      <sheetData sheetId="1">
        <row r="10">
          <cell r="N10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96A2-4457-4995-B8B4-FC0CF249EF2B}">
  <dimension ref="A1:U19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style="15" customWidth="1"/>
    <col min="2" max="13" width="9.19921875" style="15" customWidth="1"/>
    <col min="14" max="14" width="9.86328125" style="15" customWidth="1"/>
    <col min="15" max="26" width="9.1328125" style="15" customWidth="1"/>
    <col min="27" max="16384" width="9.1328125" style="15"/>
  </cols>
  <sheetData>
    <row r="1" spans="1:21" s="60" customFormat="1" ht="189.75" customHeight="1" x14ac:dyDescent="0.8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5"/>
      <c r="P1" s="15"/>
      <c r="Q1" s="15"/>
      <c r="R1" s="15"/>
      <c r="S1" s="15"/>
      <c r="T1" s="15"/>
      <c r="U1" s="15"/>
    </row>
    <row r="2" spans="1:21" s="54" customFormat="1" ht="75" customHeight="1" x14ac:dyDescent="0.4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5"/>
      <c r="P2" s="15"/>
      <c r="Q2" s="15"/>
      <c r="R2" s="15"/>
      <c r="S2" s="15"/>
      <c r="T2" s="15"/>
      <c r="U2" s="15"/>
    </row>
    <row r="3" spans="1:21" s="58" customFormat="1" ht="7.5" customHeight="1" x14ac:dyDescent="0.45">
      <c r="B3" s="61"/>
      <c r="C3" s="61"/>
      <c r="F3" s="51"/>
      <c r="G3" s="51"/>
      <c r="H3" s="51"/>
      <c r="I3" s="51"/>
      <c r="J3" s="51"/>
      <c r="K3" s="51"/>
      <c r="O3" s="15"/>
      <c r="P3" s="15"/>
      <c r="Q3" s="15"/>
      <c r="R3" s="15"/>
      <c r="S3" s="15"/>
      <c r="T3" s="15"/>
      <c r="U3" s="15"/>
    </row>
    <row r="4" spans="1:21" s="58" customFormat="1" ht="15" customHeight="1" x14ac:dyDescent="0.45">
      <c r="A4" s="62"/>
      <c r="B4" s="47"/>
      <c r="C4" s="115"/>
      <c r="D4" s="115"/>
      <c r="E4" s="48"/>
      <c r="F4" s="39"/>
      <c r="G4" s="39"/>
      <c r="H4" s="39"/>
      <c r="I4" s="39"/>
      <c r="J4" s="39"/>
      <c r="K4" s="39"/>
      <c r="L4" s="48"/>
      <c r="M4" s="48"/>
      <c r="N4" s="48"/>
      <c r="O4" s="15"/>
      <c r="P4" s="15"/>
      <c r="Q4" s="15"/>
      <c r="R4" s="15"/>
      <c r="S4" s="15"/>
      <c r="T4" s="15"/>
      <c r="U4" s="15"/>
    </row>
    <row r="5" spans="1:21" s="58" customFormat="1" ht="15" customHeight="1" x14ac:dyDescent="0.45">
      <c r="A5" s="116" t="s">
        <v>104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5"/>
      <c r="P5" s="15"/>
      <c r="Q5" s="15"/>
      <c r="R5" s="15"/>
      <c r="S5" s="15"/>
      <c r="T5" s="15"/>
      <c r="U5" s="15"/>
    </row>
    <row r="6" spans="1:21" s="58" customFormat="1" ht="15" customHeight="1" x14ac:dyDescent="0.4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5"/>
      <c r="P6" s="15"/>
      <c r="Q6" s="15"/>
      <c r="R6" s="15"/>
      <c r="S6" s="15"/>
      <c r="T6" s="15"/>
      <c r="U6" s="15"/>
    </row>
    <row r="7" spans="1:21" s="58" customFormat="1" ht="15" customHeight="1" x14ac:dyDescent="0.45">
      <c r="A7" s="116" t="str">
        <f ca="1">"© "&amp;YEAR(TODAY())&amp;" Financial Edge Training"</f>
        <v>© 2021 Financial Edge Training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5"/>
      <c r="P7" s="15"/>
      <c r="Q7" s="15"/>
      <c r="R7" s="15"/>
      <c r="S7" s="15"/>
      <c r="T7" s="15"/>
      <c r="U7" s="15"/>
    </row>
    <row r="8" spans="1:21" s="58" customFormat="1" ht="15" customHeight="1" x14ac:dyDescent="0.45">
      <c r="A8" s="117" t="s">
        <v>105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5"/>
      <c r="P8" s="15"/>
      <c r="Q8" s="15"/>
      <c r="R8" s="15"/>
      <c r="S8" s="15"/>
      <c r="T8" s="15"/>
      <c r="U8" s="15"/>
    </row>
    <row r="9" spans="1:21" s="58" customFormat="1" ht="15" customHeight="1" thickBot="1" x14ac:dyDescent="0.5">
      <c r="A9" s="50"/>
      <c r="B9" s="63"/>
      <c r="C9" s="50"/>
      <c r="D9" s="50"/>
      <c r="E9" s="64"/>
      <c r="F9" s="65"/>
      <c r="G9" s="65"/>
      <c r="H9" s="65"/>
      <c r="I9" s="65"/>
      <c r="J9" s="65"/>
      <c r="K9" s="65"/>
      <c r="L9" s="64"/>
      <c r="M9" s="64"/>
      <c r="N9" s="64"/>
      <c r="O9" s="15"/>
      <c r="P9" s="15"/>
      <c r="Q9" s="15"/>
      <c r="R9" s="15"/>
      <c r="S9" s="15"/>
      <c r="T9" s="15"/>
      <c r="U9" s="15"/>
    </row>
    <row r="10" spans="1:21" s="58" customFormat="1" ht="15" customHeight="1" x14ac:dyDescent="0.45">
      <c r="A10" s="15"/>
      <c r="B10" s="15"/>
      <c r="C10" s="15"/>
      <c r="D10" s="15"/>
      <c r="E10" s="15"/>
      <c r="F10" s="15"/>
      <c r="G10" s="112"/>
      <c r="H10" s="112"/>
      <c r="I10" s="112"/>
      <c r="J10" s="112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58" customFormat="1" ht="15" customHeight="1" x14ac:dyDescent="0.45">
      <c r="A11" s="15"/>
      <c r="B11" s="15"/>
      <c r="C11" s="15"/>
      <c r="D11" s="15"/>
      <c r="E11" s="15"/>
      <c r="F11" s="15"/>
      <c r="G11" s="112"/>
      <c r="H11" s="112"/>
      <c r="I11" s="112"/>
      <c r="J11" s="112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58" customFormat="1" ht="15" customHeight="1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58" customFormat="1" ht="15" customHeight="1" x14ac:dyDescent="0.45">
      <c r="A13" s="15"/>
      <c r="B13" s="15"/>
      <c r="C13" s="15"/>
      <c r="D13" s="15"/>
      <c r="E13" s="15"/>
      <c r="F13" s="15"/>
      <c r="G13" s="112"/>
      <c r="H13" s="112"/>
      <c r="I13" s="112"/>
      <c r="J13" s="112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58" customFormat="1" ht="15" customHeight="1" x14ac:dyDescent="0.45">
      <c r="A14" s="15"/>
      <c r="B14" s="15"/>
      <c r="C14" s="15"/>
      <c r="D14" s="15"/>
      <c r="E14" s="15"/>
      <c r="F14" s="15"/>
      <c r="G14" s="112"/>
      <c r="H14" s="112"/>
      <c r="I14" s="112"/>
      <c r="J14" s="112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58" customFormat="1" ht="15" customHeight="1" x14ac:dyDescent="0.45">
      <c r="A15" s="15"/>
      <c r="B15" s="15"/>
      <c r="C15" s="15"/>
      <c r="D15" s="15"/>
      <c r="E15" s="15"/>
      <c r="F15" s="15"/>
      <c r="G15" s="112"/>
      <c r="H15" s="112"/>
      <c r="I15" s="112"/>
      <c r="J15" s="112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58" customFormat="1" ht="15" customHeight="1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58" customFormat="1" ht="15" customHeight="1" x14ac:dyDescent="0.45">
      <c r="A17" s="15"/>
      <c r="B17" s="15"/>
      <c r="C17" s="15"/>
      <c r="D17" s="15"/>
      <c r="E17" s="15"/>
      <c r="F17" s="15"/>
      <c r="G17" s="112"/>
      <c r="H17" s="112"/>
      <c r="I17" s="112"/>
      <c r="J17" s="112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58" customFormat="1" ht="15" customHeight="1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15" customHeight="1" x14ac:dyDescent="0.45"/>
  </sheetData>
  <mergeCells count="9">
    <mergeCell ref="G10:J11"/>
    <mergeCell ref="G13:J15"/>
    <mergeCell ref="G17:J17"/>
    <mergeCell ref="A1:N1"/>
    <mergeCell ref="A2:N2"/>
    <mergeCell ref="C4:D4"/>
    <mergeCell ref="A5:N6"/>
    <mergeCell ref="A7:N7"/>
    <mergeCell ref="A8:N8"/>
  </mergeCells>
  <hyperlinks>
    <hyperlink ref="A8" r:id="rId1" xr:uid="{0A5746D7-E4A6-4960-BEDE-A02FCFEF50D5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2020&amp;C&amp;10Page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5D78-CDDF-4176-838A-A54B99288DEC}">
  <dimension ref="A1:X21"/>
  <sheetViews>
    <sheetView showGridLines="0" zoomScale="90" zoomScaleNormal="90" workbookViewId="0"/>
  </sheetViews>
  <sheetFormatPr defaultColWidth="9.1328125" defaultRowHeight="14.25" x14ac:dyDescent="0.45"/>
  <cols>
    <col min="1" max="1" width="1.46484375" style="15" customWidth="1"/>
    <col min="2" max="2" width="2.86328125" style="15" customWidth="1"/>
    <col min="3" max="3" width="13.19921875" style="15" customWidth="1"/>
    <col min="4" max="4" width="2.86328125" style="15" customWidth="1"/>
    <col min="5" max="7" width="1.46484375" style="15" customWidth="1"/>
    <col min="8" max="8" width="2.86328125" style="15" customWidth="1"/>
    <col min="9" max="9" width="42.796875" style="15" customWidth="1"/>
    <col min="10" max="11" width="1.46484375" style="15" customWidth="1"/>
    <col min="12" max="12" width="15.53125" style="15" customWidth="1"/>
    <col min="13" max="14" width="1.46484375" style="15" customWidth="1"/>
    <col min="15" max="15" width="2.86328125" style="15" customWidth="1"/>
    <col min="16" max="16" width="32.53125" style="15" customWidth="1"/>
    <col min="17" max="17" width="2.86328125" style="15" customWidth="1"/>
    <col min="18" max="18" width="1.46484375" style="15" customWidth="1"/>
    <col min="19" max="22" width="9.1328125" style="15"/>
    <col min="23" max="23" width="9.1328125" style="15" customWidth="1"/>
    <col min="24" max="16384" width="9.1328125" style="15"/>
  </cols>
  <sheetData>
    <row r="1" spans="1:24" s="97" customFormat="1" x14ac:dyDescent="0.45">
      <c r="A1" s="100" t="s">
        <v>103</v>
      </c>
      <c r="B1" s="100"/>
      <c r="C1" s="100"/>
      <c r="D1" s="100"/>
      <c r="E1" s="100"/>
      <c r="F1" s="100"/>
      <c r="G1" s="100"/>
      <c r="H1" s="100"/>
      <c r="I1" s="100"/>
      <c r="J1" s="9"/>
      <c r="K1" s="9"/>
      <c r="L1" s="9"/>
      <c r="M1" s="9"/>
      <c r="N1" s="9"/>
      <c r="O1" s="9"/>
      <c r="P1" s="9"/>
      <c r="Q1" s="9"/>
      <c r="R1" s="9"/>
    </row>
    <row r="2" spans="1:24" s="97" customFormat="1" x14ac:dyDescent="0.45">
      <c r="A2" s="101"/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  <c r="M2" s="102"/>
      <c r="N2" s="102"/>
      <c r="O2" s="102"/>
      <c r="P2" s="102"/>
      <c r="Q2" s="102"/>
      <c r="R2" s="102"/>
    </row>
    <row r="3" spans="1:24" s="37" customFormat="1" ht="7.5" customHeight="1" x14ac:dyDescent="0.45">
      <c r="S3" s="15"/>
      <c r="T3" s="15"/>
      <c r="U3" s="15"/>
      <c r="V3" s="15"/>
      <c r="W3" s="15"/>
      <c r="X3" s="15"/>
    </row>
    <row r="4" spans="1:24" s="37" customFormat="1" ht="22.5" customHeight="1" x14ac:dyDescent="0.45">
      <c r="A4" s="38"/>
      <c r="B4" s="119" t="s">
        <v>79</v>
      </c>
      <c r="C4" s="119"/>
      <c r="D4" s="119"/>
      <c r="E4" s="119"/>
      <c r="F4" s="119"/>
      <c r="G4" s="119"/>
      <c r="H4" s="119"/>
      <c r="I4" s="119"/>
      <c r="K4" s="38"/>
      <c r="L4" s="119" t="s">
        <v>80</v>
      </c>
      <c r="M4" s="119"/>
      <c r="N4" s="119"/>
      <c r="O4" s="119"/>
      <c r="P4" s="119"/>
      <c r="Q4" s="39"/>
      <c r="R4" s="39"/>
      <c r="S4" s="15"/>
      <c r="T4" s="15"/>
      <c r="U4" s="15"/>
      <c r="V4" s="15"/>
      <c r="W4" s="15"/>
      <c r="X4" s="15"/>
    </row>
    <row r="5" spans="1:24" s="37" customFormat="1" ht="15" customHeight="1" x14ac:dyDescent="0.45">
      <c r="A5" s="40"/>
      <c r="B5" s="41" t="s">
        <v>81</v>
      </c>
      <c r="C5" s="42" t="s">
        <v>91</v>
      </c>
      <c r="D5" s="43"/>
      <c r="E5" s="43"/>
      <c r="F5" s="43"/>
      <c r="G5" s="43"/>
      <c r="H5" s="43"/>
      <c r="I5" s="43"/>
      <c r="K5" s="38"/>
      <c r="L5" s="44" t="s">
        <v>0</v>
      </c>
      <c r="M5" s="44"/>
      <c r="N5" s="118" t="s">
        <v>1</v>
      </c>
      <c r="O5" s="118"/>
      <c r="P5" s="118"/>
      <c r="Q5" s="118"/>
      <c r="R5" s="39"/>
      <c r="S5" s="15"/>
      <c r="T5" s="15"/>
      <c r="U5" s="15"/>
      <c r="V5" s="15"/>
      <c r="W5" s="15"/>
      <c r="X5" s="15"/>
    </row>
    <row r="6" spans="1:24" s="37" customFormat="1" ht="15" customHeight="1" x14ac:dyDescent="0.45">
      <c r="A6" s="45"/>
      <c r="B6" s="41"/>
      <c r="C6" s="42"/>
      <c r="D6" s="43"/>
      <c r="E6" s="43"/>
      <c r="F6" s="43"/>
      <c r="G6" s="43"/>
      <c r="H6" s="43"/>
      <c r="I6" s="43"/>
      <c r="K6" s="40"/>
      <c r="L6" s="44" t="s">
        <v>82</v>
      </c>
      <c r="M6" s="44"/>
      <c r="N6" s="120">
        <v>43830</v>
      </c>
      <c r="O6" s="120"/>
      <c r="P6" s="120"/>
      <c r="Q6" s="120"/>
      <c r="R6" s="39"/>
      <c r="S6" s="15"/>
      <c r="T6" s="15"/>
      <c r="U6" s="15"/>
      <c r="V6" s="15"/>
      <c r="W6" s="15"/>
      <c r="X6" s="15"/>
    </row>
    <row r="7" spans="1:24" s="37" customFormat="1" ht="15" customHeight="1" x14ac:dyDescent="0.45">
      <c r="A7" s="43"/>
      <c r="B7" s="41"/>
      <c r="C7" s="42"/>
      <c r="D7" s="43"/>
      <c r="E7" s="43"/>
      <c r="F7" s="43"/>
      <c r="G7" s="43"/>
      <c r="H7" s="43"/>
      <c r="I7" s="43"/>
      <c r="K7" s="45"/>
      <c r="L7" s="44" t="s">
        <v>2</v>
      </c>
      <c r="M7" s="44"/>
      <c r="N7" s="118" t="s">
        <v>3</v>
      </c>
      <c r="O7" s="118"/>
      <c r="P7" s="118"/>
      <c r="Q7" s="118"/>
      <c r="R7" s="39"/>
      <c r="S7" s="15"/>
      <c r="T7" s="15"/>
      <c r="U7" s="15"/>
      <c r="V7" s="15"/>
      <c r="W7" s="15"/>
      <c r="X7" s="15"/>
    </row>
    <row r="8" spans="1:24" s="37" customFormat="1" ht="15" customHeight="1" x14ac:dyDescent="0.45">
      <c r="A8" s="43"/>
      <c r="B8" s="41"/>
      <c r="C8" s="43"/>
      <c r="D8" s="43"/>
      <c r="E8" s="43"/>
      <c r="F8" s="43"/>
      <c r="G8" s="43"/>
      <c r="H8" s="43"/>
      <c r="I8" s="43"/>
      <c r="K8" s="43"/>
      <c r="L8" s="44" t="s">
        <v>4</v>
      </c>
      <c r="M8" s="44"/>
      <c r="N8" s="118" t="s">
        <v>5</v>
      </c>
      <c r="O8" s="118"/>
      <c r="P8" s="118"/>
      <c r="Q8" s="118"/>
      <c r="R8" s="39"/>
      <c r="S8" s="15"/>
      <c r="T8" s="15"/>
      <c r="U8" s="15"/>
      <c r="V8" s="15"/>
      <c r="W8" s="15"/>
      <c r="X8" s="15"/>
    </row>
    <row r="9" spans="1:24" s="37" customFormat="1" ht="15" customHeight="1" x14ac:dyDescent="0.45">
      <c r="A9" s="46"/>
      <c r="B9" s="47"/>
      <c r="C9" s="46"/>
      <c r="D9" s="46"/>
      <c r="E9" s="46"/>
      <c r="F9" s="46"/>
      <c r="G9" s="46"/>
      <c r="H9" s="46"/>
      <c r="I9" s="46"/>
      <c r="K9" s="43"/>
      <c r="L9" s="44" t="s">
        <v>83</v>
      </c>
      <c r="M9" s="44"/>
      <c r="N9" s="118" t="s">
        <v>84</v>
      </c>
      <c r="O9" s="118"/>
      <c r="P9" s="118"/>
      <c r="Q9" s="118"/>
      <c r="R9" s="39"/>
      <c r="S9" s="15"/>
      <c r="T9" s="15"/>
      <c r="U9" s="15"/>
      <c r="V9" s="15"/>
      <c r="W9" s="15"/>
      <c r="X9" s="15"/>
    </row>
    <row r="10" spans="1:24" s="37" customFormat="1" ht="15" customHeight="1" x14ac:dyDescent="0.45">
      <c r="A10" s="48"/>
      <c r="B10" s="48"/>
      <c r="C10" s="48"/>
      <c r="D10" s="48"/>
      <c r="E10" s="48"/>
      <c r="F10" s="48"/>
      <c r="G10" s="48"/>
      <c r="H10" s="48"/>
      <c r="I10" s="48"/>
      <c r="K10" s="43"/>
      <c r="L10" s="44" t="s">
        <v>85</v>
      </c>
      <c r="M10" s="44"/>
      <c r="N10" s="121">
        <v>0</v>
      </c>
      <c r="O10" s="121"/>
      <c r="P10" s="121"/>
      <c r="Q10" s="121"/>
      <c r="R10" s="49"/>
      <c r="S10" s="15"/>
      <c r="T10" s="15"/>
      <c r="U10" s="15"/>
      <c r="V10" s="15"/>
      <c r="W10" s="15"/>
      <c r="X10" s="15"/>
    </row>
    <row r="11" spans="1:24" s="37" customFormat="1" ht="15" customHeight="1" thickBot="1" x14ac:dyDescent="0.5">
      <c r="A11" s="50"/>
      <c r="B11" s="50"/>
      <c r="C11" s="50"/>
      <c r="D11" s="50"/>
      <c r="E11" s="50"/>
      <c r="F11" s="50"/>
      <c r="G11" s="50"/>
      <c r="H11" s="50"/>
      <c r="I11" s="50"/>
      <c r="K11" s="50"/>
      <c r="L11" s="50"/>
      <c r="M11" s="50"/>
      <c r="N11" s="50"/>
      <c r="O11" s="50"/>
      <c r="P11" s="50"/>
      <c r="Q11" s="50"/>
      <c r="R11" s="50"/>
      <c r="S11" s="15"/>
      <c r="T11" s="15"/>
      <c r="U11" s="15"/>
      <c r="V11" s="15"/>
      <c r="W11" s="15"/>
      <c r="X11" s="15"/>
    </row>
    <row r="12" spans="1:24" s="37" customFormat="1" ht="7.5" customHeight="1" x14ac:dyDescent="0.45">
      <c r="K12" s="51"/>
      <c r="L12" s="51"/>
      <c r="M12" s="51"/>
      <c r="N12" s="51"/>
      <c r="O12" s="51"/>
      <c r="P12" s="51"/>
      <c r="Q12" s="51"/>
      <c r="R12" s="51"/>
      <c r="S12" s="15"/>
      <c r="T12" s="15"/>
      <c r="U12" s="15"/>
      <c r="V12" s="15"/>
      <c r="W12" s="15"/>
      <c r="X12" s="15"/>
    </row>
    <row r="13" spans="1:24" s="37" customFormat="1" ht="22.5" customHeight="1" x14ac:dyDescent="0.45">
      <c r="A13" s="42"/>
      <c r="B13" s="119" t="s">
        <v>86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N13" s="38"/>
      <c r="O13" s="119" t="s">
        <v>87</v>
      </c>
      <c r="P13" s="119"/>
      <c r="Q13" s="119"/>
      <c r="R13" s="52"/>
      <c r="S13" s="15"/>
      <c r="T13" s="15"/>
      <c r="U13" s="15"/>
      <c r="V13" s="15"/>
      <c r="W13" s="15"/>
      <c r="X13" s="15"/>
    </row>
    <row r="14" spans="1:24" s="37" customFormat="1" ht="15" customHeight="1" x14ac:dyDescent="0.45">
      <c r="A14" s="43"/>
      <c r="B14" s="121" t="s">
        <v>92</v>
      </c>
      <c r="C14" s="121"/>
      <c r="D14" s="121" t="s">
        <v>6</v>
      </c>
      <c r="E14" s="121"/>
      <c r="F14" s="121"/>
      <c r="G14" s="121"/>
      <c r="H14" s="121"/>
      <c r="I14" s="121"/>
      <c r="J14" s="121"/>
      <c r="K14" s="121"/>
      <c r="L14" s="121"/>
      <c r="N14" s="40"/>
      <c r="O14" s="53"/>
      <c r="P14" s="54"/>
      <c r="Q14" s="54"/>
      <c r="R14" s="43"/>
      <c r="S14" s="15"/>
      <c r="T14" s="15"/>
      <c r="U14" s="15"/>
      <c r="V14" s="15"/>
      <c r="W14" s="15"/>
      <c r="X14" s="15"/>
    </row>
    <row r="15" spans="1:24" s="37" customFormat="1" ht="15" customHeight="1" x14ac:dyDescent="0.45">
      <c r="A15" s="43"/>
      <c r="B15" s="121" t="s">
        <v>93</v>
      </c>
      <c r="C15" s="121"/>
      <c r="D15" s="121" t="s">
        <v>94</v>
      </c>
      <c r="E15" s="121"/>
      <c r="F15" s="121"/>
      <c r="G15" s="121"/>
      <c r="H15" s="121"/>
      <c r="I15" s="121"/>
      <c r="J15" s="121"/>
      <c r="K15" s="121"/>
      <c r="L15" s="121"/>
      <c r="N15" s="45"/>
      <c r="O15" s="53"/>
      <c r="P15" s="55" t="s">
        <v>88</v>
      </c>
      <c r="Q15" s="54"/>
      <c r="R15" s="43"/>
      <c r="S15" s="15"/>
      <c r="T15" s="15"/>
      <c r="U15" s="15"/>
      <c r="V15" s="15"/>
      <c r="W15" s="15"/>
      <c r="X15" s="15"/>
    </row>
    <row r="16" spans="1:24" s="37" customFormat="1" ht="15" customHeight="1" x14ac:dyDescent="0.45">
      <c r="A16" s="43"/>
      <c r="B16" s="121" t="s">
        <v>96</v>
      </c>
      <c r="C16" s="121"/>
      <c r="D16" s="121" t="s">
        <v>95</v>
      </c>
      <c r="E16" s="121"/>
      <c r="F16" s="121"/>
      <c r="G16" s="121"/>
      <c r="H16" s="121"/>
      <c r="I16" s="121"/>
      <c r="J16" s="121"/>
      <c r="K16" s="121"/>
      <c r="L16" s="121"/>
      <c r="N16" s="43"/>
      <c r="O16" s="53"/>
      <c r="P16" s="56" t="s">
        <v>89</v>
      </c>
      <c r="Q16" s="54"/>
      <c r="R16" s="43"/>
      <c r="S16" s="15"/>
      <c r="T16" s="15"/>
      <c r="U16" s="15"/>
      <c r="V16" s="15"/>
      <c r="W16" s="15"/>
      <c r="X16" s="15"/>
    </row>
    <row r="17" spans="1:24" s="37" customFormat="1" ht="15" customHeight="1" x14ac:dyDescent="0.45">
      <c r="A17" s="43"/>
      <c r="B17" s="121" t="s">
        <v>97</v>
      </c>
      <c r="C17" s="121"/>
      <c r="D17" s="121" t="s">
        <v>99</v>
      </c>
      <c r="E17" s="121"/>
      <c r="F17" s="121"/>
      <c r="G17" s="121"/>
      <c r="H17" s="121"/>
      <c r="I17" s="121"/>
      <c r="J17" s="121"/>
      <c r="K17" s="121"/>
      <c r="L17" s="121"/>
      <c r="N17" s="43"/>
      <c r="O17" s="53"/>
      <c r="P17" s="15" t="s">
        <v>90</v>
      </c>
      <c r="Q17" s="54"/>
      <c r="R17" s="43"/>
      <c r="S17" s="15"/>
      <c r="T17" s="15"/>
      <c r="U17" s="15"/>
      <c r="V17" s="15"/>
      <c r="W17" s="15"/>
      <c r="X17" s="15"/>
    </row>
    <row r="18" spans="1:24" s="37" customFormat="1" ht="15" customHeight="1" x14ac:dyDescent="0.45">
      <c r="A18" s="48"/>
      <c r="B18" s="121" t="s">
        <v>98</v>
      </c>
      <c r="C18" s="121"/>
      <c r="D18" s="121" t="s">
        <v>100</v>
      </c>
      <c r="E18" s="121"/>
      <c r="F18" s="121"/>
      <c r="G18" s="121"/>
      <c r="H18" s="121"/>
      <c r="I18" s="121"/>
      <c r="J18" s="121"/>
      <c r="K18" s="121"/>
      <c r="L18" s="121"/>
      <c r="N18" s="48"/>
      <c r="O18" s="57"/>
      <c r="P18" s="57"/>
      <c r="Q18" s="57"/>
      <c r="R18" s="48"/>
      <c r="S18" s="15"/>
      <c r="T18" s="15"/>
      <c r="U18" s="15"/>
      <c r="V18" s="15"/>
      <c r="W18" s="15"/>
      <c r="X18" s="15"/>
    </row>
    <row r="19" spans="1:24" s="37" customFormat="1" ht="15" customHeight="1" x14ac:dyDescent="0.45">
      <c r="A19" s="48"/>
      <c r="B19" s="59" t="s">
        <v>101</v>
      </c>
      <c r="C19" s="59"/>
      <c r="D19" s="59" t="s">
        <v>102</v>
      </c>
      <c r="E19" s="59"/>
      <c r="F19" s="59"/>
      <c r="G19" s="59"/>
      <c r="H19" s="59"/>
      <c r="I19" s="59"/>
      <c r="J19" s="59"/>
      <c r="K19" s="59"/>
      <c r="L19" s="59"/>
      <c r="N19" s="48"/>
      <c r="O19" s="57"/>
      <c r="P19" s="57"/>
      <c r="Q19" s="57"/>
      <c r="R19" s="48"/>
      <c r="S19" s="15"/>
      <c r="T19" s="15"/>
      <c r="U19" s="15"/>
      <c r="V19" s="15"/>
      <c r="W19" s="15"/>
      <c r="X19" s="15"/>
    </row>
    <row r="20" spans="1:24" ht="14.65" thickBot="1" x14ac:dyDescent="0.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50"/>
      <c r="O20" s="50"/>
      <c r="P20" s="50"/>
      <c r="Q20" s="50"/>
      <c r="R20" s="50"/>
    </row>
    <row r="21" spans="1:24" x14ac:dyDescent="0.45">
      <c r="Q21" s="58"/>
    </row>
  </sheetData>
  <mergeCells count="20">
    <mergeCell ref="B18:C18"/>
    <mergeCell ref="D18:L18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N8:Q8"/>
    <mergeCell ref="B4:I4"/>
    <mergeCell ref="L4:P4"/>
    <mergeCell ref="N5:Q5"/>
    <mergeCell ref="N6:Q6"/>
    <mergeCell ref="N7:Q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B8CC-FB24-459A-B4B4-177E0E909971}">
  <sheetPr>
    <pageSetUpPr fitToPage="1"/>
  </sheetPr>
  <dimension ref="A1:Q50"/>
  <sheetViews>
    <sheetView zoomScale="150" zoomScaleNormal="150" workbookViewId="0">
      <pane xSplit="2" ySplit="3" topLeftCell="K43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48" sqref="L48"/>
    </sheetView>
  </sheetViews>
  <sheetFormatPr defaultRowHeight="15.75" x14ac:dyDescent="0.45"/>
  <cols>
    <col min="1" max="1" width="1.59765625" style="29" customWidth="1"/>
    <col min="2" max="2" width="40.59765625" style="18" customWidth="1"/>
    <col min="3" max="6" width="9.06640625" customWidth="1"/>
    <col min="7" max="7" width="9.1328125" customWidth="1"/>
    <col min="8" max="10" width="9.06640625" customWidth="1"/>
  </cols>
  <sheetData>
    <row r="1" spans="1:17" s="97" customFormat="1" ht="14.25" x14ac:dyDescent="0.45">
      <c r="A1" s="96" t="str">
        <f>Info!A1</f>
        <v>Telecoms Sector Model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 s="97" customFormat="1" ht="14.25" x14ac:dyDescent="0.45">
      <c r="A2" s="98"/>
      <c r="B2" s="99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97" customFormat="1" ht="14.25" x14ac:dyDescent="0.45">
      <c r="A3" s="98" t="s">
        <v>107</v>
      </c>
      <c r="B3" s="99"/>
      <c r="C3" s="69">
        <f>IS!C$3</f>
        <v>40908</v>
      </c>
      <c r="D3" s="69">
        <f>IS!D$3</f>
        <v>41274</v>
      </c>
      <c r="E3" s="69">
        <f>IS!E$3</f>
        <v>41639</v>
      </c>
      <c r="F3" s="69">
        <f>IS!F$3</f>
        <v>42004</v>
      </c>
      <c r="G3" s="69">
        <f>IS!G$3</f>
        <v>42369</v>
      </c>
      <c r="H3" s="69">
        <f>IS!H$3</f>
        <v>42735</v>
      </c>
      <c r="I3" s="69">
        <f>IS!I$3</f>
        <v>43100</v>
      </c>
      <c r="J3" s="69">
        <f>IS!J$3</f>
        <v>43465</v>
      </c>
      <c r="K3" s="69">
        <f>IS!K$3</f>
        <v>43830</v>
      </c>
      <c r="L3" s="69">
        <f>IS!L$3</f>
        <v>44196</v>
      </c>
      <c r="M3" s="69">
        <f>IS!M$3</f>
        <v>44561</v>
      </c>
      <c r="N3" s="69">
        <f>IS!N$3</f>
        <v>44926</v>
      </c>
      <c r="O3" s="69">
        <f>IS!O$3</f>
        <v>45291</v>
      </c>
      <c r="P3" s="69">
        <f>IS!P$3</f>
        <v>45657</v>
      </c>
    </row>
    <row r="5" spans="1:17" x14ac:dyDescent="0.45">
      <c r="A5" s="29" t="s">
        <v>138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x14ac:dyDescent="0.45">
      <c r="B6" s="18" t="s">
        <v>134</v>
      </c>
      <c r="C6" s="70">
        <v>0.151</v>
      </c>
      <c r="D6" s="70">
        <v>0.13900000000000001</v>
      </c>
      <c r="E6" s="70">
        <v>0.14300000000000002</v>
      </c>
      <c r="F6" s="70">
        <v>0.14599999999999999</v>
      </c>
      <c r="G6" s="71">
        <v>0.13900000000000001</v>
      </c>
      <c r="H6" s="71">
        <v>0.14099999999999999</v>
      </c>
      <c r="I6" s="71">
        <v>0.13300000000000001</v>
      </c>
      <c r="J6" s="71">
        <v>0.13800000000000001</v>
      </c>
      <c r="K6" s="71">
        <v>0.13300000000000001</v>
      </c>
      <c r="L6" s="30">
        <v>0.13300000000000001</v>
      </c>
      <c r="M6" s="30">
        <v>0.13300000000000001</v>
      </c>
      <c r="N6" s="30">
        <v>0.13300000000000001</v>
      </c>
      <c r="O6" s="30">
        <v>0.13300000000000001</v>
      </c>
      <c r="P6" s="30">
        <v>0.13300000000000001</v>
      </c>
      <c r="Q6" t="str">
        <f ca="1">IFERROR(_xlfn.FORMULATEXT(P6),"")</f>
        <v/>
      </c>
    </row>
    <row r="7" spans="1:17" x14ac:dyDescent="0.45">
      <c r="A7" s="29" t="s">
        <v>123</v>
      </c>
      <c r="B7" s="18" t="s">
        <v>121</v>
      </c>
      <c r="C7" s="7"/>
      <c r="D7" s="7"/>
      <c r="E7" s="26">
        <f t="shared" ref="E7:K7" si="0">E10/D10-1</f>
        <v>6.8900946409554686E-2</v>
      </c>
      <c r="F7" s="26">
        <f t="shared" si="0"/>
        <v>-9.328825011504227E-4</v>
      </c>
      <c r="G7" s="26">
        <f t="shared" si="0"/>
        <v>7.1662838806358264E-2</v>
      </c>
      <c r="H7" s="26">
        <f t="shared" si="0"/>
        <v>7.5152156755753374E-2</v>
      </c>
      <c r="I7" s="26">
        <f t="shared" si="0"/>
        <v>8.2659583040577189E-2</v>
      </c>
      <c r="J7" s="26">
        <f t="shared" si="0"/>
        <v>0.15813060095661036</v>
      </c>
      <c r="K7" s="26">
        <f t="shared" si="0"/>
        <v>0.10643004521213695</v>
      </c>
      <c r="L7" s="30">
        <v>0.1</v>
      </c>
      <c r="M7" s="24">
        <v>0.1</v>
      </c>
      <c r="N7" s="24">
        <v>0.1</v>
      </c>
      <c r="O7" s="24">
        <v>0.1</v>
      </c>
      <c r="P7" s="24">
        <v>0.1</v>
      </c>
      <c r="Q7" s="67" t="str">
        <f ca="1">IFERROR(_xlfn.FORMULATEXT(P7),"")</f>
        <v/>
      </c>
    </row>
    <row r="8" spans="1:17" s="67" customFormat="1" x14ac:dyDescent="0.45">
      <c r="A8" s="29"/>
      <c r="B8" s="18"/>
      <c r="C8" s="70"/>
      <c r="Q8" s="67" t="str">
        <f t="shared" ref="Q8:Q49" ca="1" si="1">IFERROR(_xlfn.FORMULATEXT(P8),"")</f>
        <v/>
      </c>
    </row>
    <row r="9" spans="1:17" x14ac:dyDescent="0.45">
      <c r="B9" s="18" t="s">
        <v>119</v>
      </c>
      <c r="C9" s="5"/>
      <c r="D9" s="15">
        <f>C12</f>
        <v>1104.7</v>
      </c>
      <c r="E9" s="15">
        <f t="shared" ref="E9:K9" si="2">D12</f>
        <v>1181.0999999999999</v>
      </c>
      <c r="F9" s="15">
        <f t="shared" si="2"/>
        <v>1258</v>
      </c>
      <c r="G9" s="15">
        <f t="shared" si="2"/>
        <v>1319.9</v>
      </c>
      <c r="H9" s="15">
        <f t="shared" si="2"/>
        <v>1399.6</v>
      </c>
      <c r="I9" s="15">
        <f t="shared" si="2"/>
        <v>1485.2</v>
      </c>
      <c r="J9" s="15">
        <f t="shared" si="2"/>
        <v>1594</v>
      </c>
      <c r="K9" s="15">
        <f t="shared" si="2"/>
        <v>1728.8</v>
      </c>
      <c r="L9" s="15">
        <f>K12</f>
        <v>1891.4</v>
      </c>
      <c r="M9" s="95" t="str">
        <f t="shared" ref="M9:M15" ca="1" si="3">IFERROR(_xlfn.FORMULATEXT(L9),"")</f>
        <v>=K12</v>
      </c>
      <c r="N9" s="15"/>
      <c r="O9" s="15"/>
      <c r="P9" s="15"/>
      <c r="Q9" s="67" t="str">
        <f t="shared" ca="1" si="1"/>
        <v/>
      </c>
    </row>
    <row r="10" spans="1:17" x14ac:dyDescent="0.45">
      <c r="B10" s="18" t="s">
        <v>117</v>
      </c>
      <c r="C10" s="5"/>
      <c r="D10" s="66">
        <f t="shared" ref="D10:K10" si="4">D12-D9-D11</f>
        <v>229.95329999999987</v>
      </c>
      <c r="E10" s="66">
        <f t="shared" si="4"/>
        <v>245.79730000000009</v>
      </c>
      <c r="F10" s="66">
        <f t="shared" si="4"/>
        <v>245.56800000000007</v>
      </c>
      <c r="G10" s="15">
        <f t="shared" si="4"/>
        <v>263.16609999999986</v>
      </c>
      <c r="H10" s="66">
        <f t="shared" si="4"/>
        <v>282.94360000000012</v>
      </c>
      <c r="I10" s="66">
        <f t="shared" si="4"/>
        <v>306.33159999999998</v>
      </c>
      <c r="J10" s="66">
        <f t="shared" si="4"/>
        <v>354.77199999999993</v>
      </c>
      <c r="K10" s="66">
        <f t="shared" si="4"/>
        <v>392.53040000000016</v>
      </c>
      <c r="L10" s="66">
        <f>(1+L7)*K10</f>
        <v>431.78344000000021</v>
      </c>
      <c r="M10" s="95" t="str">
        <f t="shared" ca="1" si="3"/>
        <v>=(1+L7)*K10</v>
      </c>
      <c r="N10" s="66"/>
      <c r="O10" s="66"/>
      <c r="P10" s="66"/>
      <c r="Q10" s="67" t="str">
        <f t="shared" ca="1" si="1"/>
        <v/>
      </c>
    </row>
    <row r="11" spans="1:17" x14ac:dyDescent="0.45">
      <c r="B11" s="18" t="s">
        <v>135</v>
      </c>
      <c r="C11" s="5"/>
      <c r="D11" s="15">
        <f t="shared" ref="D11:K11" si="5">-D6*D9</f>
        <v>-153.55330000000001</v>
      </c>
      <c r="E11" s="15">
        <f t="shared" si="5"/>
        <v>-168.8973</v>
      </c>
      <c r="F11" s="15">
        <f t="shared" si="5"/>
        <v>-183.66799999999998</v>
      </c>
      <c r="G11" s="15">
        <f t="shared" si="5"/>
        <v>-183.46610000000004</v>
      </c>
      <c r="H11" s="15">
        <f t="shared" si="5"/>
        <v>-197.34359999999998</v>
      </c>
      <c r="I11" s="15">
        <f t="shared" si="5"/>
        <v>-197.53160000000003</v>
      </c>
      <c r="J11" s="15">
        <f t="shared" si="5"/>
        <v>-219.97200000000001</v>
      </c>
      <c r="K11" s="15">
        <f t="shared" si="5"/>
        <v>-229.93040000000002</v>
      </c>
      <c r="L11" s="15">
        <f>L6*L9*-1</f>
        <v>-251.55620000000002</v>
      </c>
      <c r="M11" s="95" t="str">
        <f t="shared" ca="1" si="3"/>
        <v>=L6*L9*-1</v>
      </c>
      <c r="N11" s="15"/>
      <c r="O11" s="15"/>
      <c r="P11" s="15"/>
      <c r="Q11" s="67" t="str">
        <f t="shared" ca="1" si="1"/>
        <v/>
      </c>
    </row>
    <row r="12" spans="1:17" x14ac:dyDescent="0.45">
      <c r="B12" s="27" t="s">
        <v>120</v>
      </c>
      <c r="C12" s="23">
        <v>1104.7</v>
      </c>
      <c r="D12" s="23">
        <v>1181.0999999999999</v>
      </c>
      <c r="E12" s="23">
        <v>1258</v>
      </c>
      <c r="F12" s="23">
        <v>1319.9</v>
      </c>
      <c r="G12" s="23">
        <v>1399.6</v>
      </c>
      <c r="H12" s="23">
        <v>1485.2</v>
      </c>
      <c r="I12" s="23">
        <v>1594</v>
      </c>
      <c r="J12" s="23">
        <v>1728.8</v>
      </c>
      <c r="K12" s="23">
        <v>1891.4</v>
      </c>
      <c r="L12" s="15">
        <f>SUM(L9:L11)</f>
        <v>2071.6272400000003</v>
      </c>
      <c r="M12" s="95" t="str">
        <f t="shared" ca="1" si="3"/>
        <v>=SUM(L9:L11)</v>
      </c>
      <c r="N12" s="15"/>
      <c r="O12" s="15"/>
      <c r="P12" s="15"/>
      <c r="Q12" s="67" t="str">
        <f t="shared" ca="1" si="1"/>
        <v/>
      </c>
    </row>
    <row r="13" spans="1:17" s="67" customFormat="1" x14ac:dyDescent="0.45">
      <c r="A13" s="29"/>
      <c r="B13" s="27"/>
      <c r="C13" s="23"/>
      <c r="D13" s="23"/>
      <c r="E13" s="23"/>
      <c r="F13" s="23"/>
      <c r="G13" s="23"/>
      <c r="H13" s="23"/>
      <c r="I13" s="23"/>
      <c r="J13" s="23"/>
      <c r="K13" s="23"/>
      <c r="M13" s="95" t="str">
        <f t="shared" ca="1" si="3"/>
        <v/>
      </c>
      <c r="Q13" s="67" t="str">
        <f t="shared" ca="1" si="1"/>
        <v/>
      </c>
    </row>
    <row r="14" spans="1:17" x14ac:dyDescent="0.45">
      <c r="B14" s="18" t="s">
        <v>112</v>
      </c>
      <c r="C14" s="15"/>
      <c r="D14" s="26">
        <f t="shared" ref="D14:K14" si="6">D12/C12-1</f>
        <v>6.9159047705259269E-2</v>
      </c>
      <c r="E14" s="26">
        <f t="shared" si="6"/>
        <v>6.5108796884260522E-2</v>
      </c>
      <c r="F14" s="26">
        <f t="shared" si="6"/>
        <v>4.9205087440381545E-2</v>
      </c>
      <c r="G14" s="26">
        <f t="shared" si="6"/>
        <v>6.0383362375937333E-2</v>
      </c>
      <c r="H14" s="26">
        <f t="shared" si="6"/>
        <v>6.1160331523292477E-2</v>
      </c>
      <c r="I14" s="26">
        <f t="shared" si="6"/>
        <v>7.325612712092644E-2</v>
      </c>
      <c r="J14" s="26">
        <f t="shared" si="6"/>
        <v>8.4567126725219488E-2</v>
      </c>
      <c r="K14" s="26">
        <f t="shared" si="6"/>
        <v>9.4053678852383138E-2</v>
      </c>
      <c r="L14" s="26">
        <f>L12/K12-1</f>
        <v>9.5287744527863039E-2</v>
      </c>
      <c r="M14" s="95" t="str">
        <f t="shared" ca="1" si="3"/>
        <v>=L12/K12-1</v>
      </c>
      <c r="N14" s="26"/>
      <c r="O14" s="26"/>
      <c r="P14" s="26"/>
      <c r="Q14" s="67" t="str">
        <f t="shared" ca="1" si="1"/>
        <v/>
      </c>
    </row>
    <row r="15" spans="1:17" x14ac:dyDescent="0.45">
      <c r="B15" s="18" t="s">
        <v>122</v>
      </c>
      <c r="C15" s="7"/>
      <c r="D15" s="26">
        <f t="shared" ref="D15:K15" si="7">D10/D9</f>
        <v>0.20815904770525923</v>
      </c>
      <c r="E15" s="26">
        <f t="shared" si="7"/>
        <v>0.20810879688426054</v>
      </c>
      <c r="F15" s="26">
        <f t="shared" si="7"/>
        <v>0.19520508744038162</v>
      </c>
      <c r="G15" s="26">
        <f t="shared" si="7"/>
        <v>0.19938336237593746</v>
      </c>
      <c r="H15" s="26">
        <f t="shared" si="7"/>
        <v>0.20216033152329246</v>
      </c>
      <c r="I15" s="26">
        <f t="shared" si="7"/>
        <v>0.20625612712092645</v>
      </c>
      <c r="J15" s="26">
        <f t="shared" si="7"/>
        <v>0.22256712672521953</v>
      </c>
      <c r="K15" s="26">
        <f t="shared" si="7"/>
        <v>0.22705367885238326</v>
      </c>
      <c r="L15" s="26">
        <f>L10/L9</f>
        <v>0.22828774452786307</v>
      </c>
      <c r="M15" s="95" t="str">
        <f t="shared" ca="1" si="3"/>
        <v>=L10/L9</v>
      </c>
      <c r="N15" s="26"/>
      <c r="O15" s="26"/>
      <c r="P15" s="26"/>
      <c r="Q15" s="67" t="str">
        <f t="shared" ca="1" si="1"/>
        <v/>
      </c>
    </row>
    <row r="16" spans="1:17" x14ac:dyDescent="0.45">
      <c r="Q16" s="67" t="str">
        <f t="shared" ca="1" si="1"/>
        <v/>
      </c>
    </row>
    <row r="17" spans="1:17" x14ac:dyDescent="0.45">
      <c r="B17" s="18" t="s">
        <v>126</v>
      </c>
      <c r="C17" s="15"/>
      <c r="D17" s="26">
        <f t="shared" ref="D17:K17" si="8">D20/C20-1</f>
        <v>-5.0331256798180513E-2</v>
      </c>
      <c r="E17" s="26">
        <f t="shared" si="8"/>
        <v>0.28384006663890049</v>
      </c>
      <c r="F17" s="26">
        <f t="shared" si="8"/>
        <v>-7.1451743714517346E-2</v>
      </c>
      <c r="G17" s="26">
        <f t="shared" si="8"/>
        <v>-0.16918508166652113</v>
      </c>
      <c r="H17" s="26">
        <f t="shared" si="8"/>
        <v>-0.11511774600504621</v>
      </c>
      <c r="I17" s="26">
        <f t="shared" si="8"/>
        <v>-0.10229297849590113</v>
      </c>
      <c r="J17" s="26">
        <f t="shared" si="8"/>
        <v>-0.16953414505029119</v>
      </c>
      <c r="K17" s="26">
        <f t="shared" si="8"/>
        <v>-0.10310756972111557</v>
      </c>
      <c r="L17" s="30">
        <f>K17*0.95</f>
        <v>-9.7952191235059785E-2</v>
      </c>
      <c r="M17" s="30">
        <f t="shared" ref="M17:P17" si="9">L17*0.95</f>
        <v>-9.3054581673306797E-2</v>
      </c>
      <c r="N17" s="30">
        <f t="shared" si="9"/>
        <v>-8.840185258964145E-2</v>
      </c>
      <c r="O17" s="30">
        <f t="shared" si="9"/>
        <v>-8.3981759960159372E-2</v>
      </c>
      <c r="P17" s="30">
        <f t="shared" si="9"/>
        <v>-7.97826719621514E-2</v>
      </c>
      <c r="Q17" s="67" t="str">
        <f t="shared" ca="1" si="1"/>
        <v>=O17*0.95</v>
      </c>
    </row>
    <row r="18" spans="1:17" s="67" customFormat="1" x14ac:dyDescent="0.45">
      <c r="A18" s="29"/>
      <c r="B18" s="18"/>
      <c r="D18" s="26"/>
      <c r="E18" s="26"/>
      <c r="F18" s="26"/>
      <c r="G18" s="26"/>
      <c r="H18" s="26"/>
      <c r="I18" s="26"/>
      <c r="J18" s="26"/>
      <c r="K18" s="26"/>
      <c r="Q18" s="67" t="str">
        <f t="shared" ca="1" si="1"/>
        <v/>
      </c>
    </row>
    <row r="19" spans="1:17" x14ac:dyDescent="0.45">
      <c r="B19" s="18" t="s">
        <v>130</v>
      </c>
      <c r="C19" s="15">
        <f t="shared" ref="C19:K19" si="10">C12</f>
        <v>1104.7</v>
      </c>
      <c r="D19" s="15">
        <f t="shared" si="10"/>
        <v>1181.0999999999999</v>
      </c>
      <c r="E19" s="15">
        <f t="shared" si="10"/>
        <v>1258</v>
      </c>
      <c r="F19" s="15">
        <f t="shared" si="10"/>
        <v>1319.9</v>
      </c>
      <c r="G19" s="15">
        <f t="shared" si="10"/>
        <v>1399.6</v>
      </c>
      <c r="H19" s="15">
        <f t="shared" si="10"/>
        <v>1485.2</v>
      </c>
      <c r="I19" s="15">
        <f t="shared" si="10"/>
        <v>1594</v>
      </c>
      <c r="J19" s="15">
        <f t="shared" si="10"/>
        <v>1728.8</v>
      </c>
      <c r="K19" s="15">
        <f t="shared" si="10"/>
        <v>1891.4</v>
      </c>
      <c r="L19" s="15">
        <f>L12</f>
        <v>2071.6272400000003</v>
      </c>
      <c r="M19" s="95" t="str">
        <f t="shared" ref="M19:M26" ca="1" si="11">IFERROR(_xlfn.FORMULATEXT(L19),"")</f>
        <v>=L12</v>
      </c>
      <c r="N19" s="15"/>
      <c r="O19" s="15"/>
      <c r="P19" s="15"/>
      <c r="Q19" s="67" t="str">
        <f t="shared" ca="1" si="1"/>
        <v/>
      </c>
    </row>
    <row r="20" spans="1:17" x14ac:dyDescent="0.45">
      <c r="B20" s="18" t="s">
        <v>131</v>
      </c>
      <c r="C20" s="23">
        <v>1011.3</v>
      </c>
      <c r="D20" s="23">
        <v>960.4</v>
      </c>
      <c r="E20" s="23">
        <v>1233</v>
      </c>
      <c r="F20" s="23">
        <v>1144.9000000000001</v>
      </c>
      <c r="G20" s="23">
        <v>951.2</v>
      </c>
      <c r="H20" s="23">
        <v>841.7</v>
      </c>
      <c r="I20" s="23">
        <v>755.6</v>
      </c>
      <c r="J20" s="23">
        <v>627.5</v>
      </c>
      <c r="K20" s="23">
        <v>562.79999999999995</v>
      </c>
      <c r="L20" s="15">
        <f>(1+L17)*K20</f>
        <v>507.67250677290826</v>
      </c>
      <c r="M20" s="95" t="str">
        <f t="shared" ca="1" si="11"/>
        <v>=(1+L17)*K20</v>
      </c>
      <c r="N20" s="67"/>
      <c r="O20" s="67"/>
      <c r="P20" s="67"/>
      <c r="Q20" s="67" t="str">
        <f t="shared" ca="1" si="1"/>
        <v/>
      </c>
    </row>
    <row r="21" spans="1:17" x14ac:dyDescent="0.45">
      <c r="B21" s="27" t="s">
        <v>54</v>
      </c>
      <c r="C21" s="15">
        <f>SUM(C19:C20)</f>
        <v>2116</v>
      </c>
      <c r="D21" s="15">
        <f t="shared" ref="D21:K21" si="12">SUM(D19:D20)</f>
        <v>2141.5</v>
      </c>
      <c r="E21" s="15">
        <f t="shared" si="12"/>
        <v>2491</v>
      </c>
      <c r="F21" s="15">
        <f t="shared" si="12"/>
        <v>2464.8000000000002</v>
      </c>
      <c r="G21" s="15">
        <f t="shared" si="12"/>
        <v>2350.8000000000002</v>
      </c>
      <c r="H21" s="15">
        <f t="shared" si="12"/>
        <v>2326.9</v>
      </c>
      <c r="I21" s="15">
        <f t="shared" si="12"/>
        <v>2349.6</v>
      </c>
      <c r="J21" s="15">
        <f t="shared" si="12"/>
        <v>2356.3000000000002</v>
      </c>
      <c r="K21" s="15">
        <f t="shared" si="12"/>
        <v>2454.1999999999998</v>
      </c>
      <c r="L21" s="15">
        <f>SUM(L19:L20)</f>
        <v>2579.2997467729083</v>
      </c>
      <c r="M21" s="95" t="str">
        <f t="shared" ca="1" si="11"/>
        <v>=SUM(L19:L20)</v>
      </c>
      <c r="N21" s="15"/>
      <c r="O21" s="15"/>
      <c r="P21" s="15"/>
      <c r="Q21" s="67" t="str">
        <f t="shared" ca="1" si="1"/>
        <v/>
      </c>
    </row>
    <row r="22" spans="1:17" x14ac:dyDescent="0.45">
      <c r="B22" s="18" t="s">
        <v>124</v>
      </c>
      <c r="C22" s="15"/>
      <c r="D22" s="26">
        <f t="shared" ref="D22:K22" si="13">D21/C21-1</f>
        <v>1.205103969754262E-2</v>
      </c>
      <c r="E22" s="26">
        <f t="shared" si="13"/>
        <v>0.16320336212934849</v>
      </c>
      <c r="F22" s="26">
        <f t="shared" si="13"/>
        <v>-1.0517864311521352E-2</v>
      </c>
      <c r="G22" s="26">
        <f t="shared" si="13"/>
        <v>-4.6251217137293077E-2</v>
      </c>
      <c r="H22" s="26">
        <f t="shared" si="13"/>
        <v>-1.016675174408721E-2</v>
      </c>
      <c r="I22" s="26">
        <f t="shared" si="13"/>
        <v>9.7554686492757892E-3</v>
      </c>
      <c r="J22" s="26">
        <f t="shared" si="13"/>
        <v>2.8515491998639675E-3</v>
      </c>
      <c r="K22" s="26">
        <f t="shared" si="13"/>
        <v>4.1548189958833692E-2</v>
      </c>
      <c r="L22" s="26">
        <f>L21/K21-1</f>
        <v>5.0973737581659462E-2</v>
      </c>
      <c r="M22" s="95" t="str">
        <f t="shared" ca="1" si="11"/>
        <v>=L21/K21-1</v>
      </c>
      <c r="N22" s="26"/>
      <c r="O22" s="26"/>
      <c r="P22" s="26"/>
      <c r="Q22" s="67" t="str">
        <f t="shared" ca="1" si="1"/>
        <v/>
      </c>
    </row>
    <row r="23" spans="1:17" x14ac:dyDescent="0.4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95" t="str">
        <f t="shared" ca="1" si="11"/>
        <v/>
      </c>
      <c r="N23" s="15"/>
      <c r="O23" s="15"/>
      <c r="P23" s="15"/>
      <c r="Q23" s="67" t="str">
        <f t="shared" ca="1" si="1"/>
        <v/>
      </c>
    </row>
    <row r="24" spans="1:17" x14ac:dyDescent="0.45">
      <c r="B24" s="18" t="s">
        <v>125</v>
      </c>
      <c r="C24" s="15"/>
      <c r="D24" s="15">
        <f t="shared" ref="D24:K24" si="14">AVERAGE(C19:D19)</f>
        <v>1142.9000000000001</v>
      </c>
      <c r="E24" s="15">
        <f t="shared" si="14"/>
        <v>1219.55</v>
      </c>
      <c r="F24" s="15">
        <f t="shared" si="14"/>
        <v>1288.95</v>
      </c>
      <c r="G24" s="15">
        <f t="shared" si="14"/>
        <v>1359.75</v>
      </c>
      <c r="H24" s="15">
        <f t="shared" si="14"/>
        <v>1442.4</v>
      </c>
      <c r="I24" s="15">
        <f t="shared" si="14"/>
        <v>1539.6</v>
      </c>
      <c r="J24" s="15">
        <f t="shared" si="14"/>
        <v>1661.4</v>
      </c>
      <c r="K24" s="15">
        <f t="shared" si="14"/>
        <v>1810.1</v>
      </c>
      <c r="L24" s="15">
        <f>AVERAGE(K19:L19)</f>
        <v>1981.5136200000002</v>
      </c>
      <c r="M24" s="95" t="str">
        <f t="shared" ca="1" si="11"/>
        <v>=AVERAGE(K19:L19)</v>
      </c>
      <c r="N24" s="15"/>
      <c r="O24" s="15"/>
      <c r="P24" s="15"/>
      <c r="Q24" s="67" t="str">
        <f t="shared" ca="1" si="1"/>
        <v/>
      </c>
    </row>
    <row r="25" spans="1:17" x14ac:dyDescent="0.45">
      <c r="B25" s="18" t="s">
        <v>280</v>
      </c>
      <c r="C25" s="15"/>
      <c r="D25" s="15">
        <f t="shared" ref="D25:K25" si="15">AVERAGE(C20:D20)</f>
        <v>985.84999999999991</v>
      </c>
      <c r="E25" s="15">
        <f t="shared" si="15"/>
        <v>1096.7</v>
      </c>
      <c r="F25" s="15">
        <f t="shared" si="15"/>
        <v>1188.95</v>
      </c>
      <c r="G25" s="15">
        <f t="shared" si="15"/>
        <v>1048.0500000000002</v>
      </c>
      <c r="H25" s="15">
        <f t="shared" si="15"/>
        <v>896.45</v>
      </c>
      <c r="I25" s="15">
        <f t="shared" si="15"/>
        <v>798.65000000000009</v>
      </c>
      <c r="J25" s="15">
        <f t="shared" si="15"/>
        <v>691.55</v>
      </c>
      <c r="K25" s="15">
        <f t="shared" si="15"/>
        <v>595.15</v>
      </c>
      <c r="L25" s="15">
        <f>AVERAGE(K20:L20)</f>
        <v>535.23625338645411</v>
      </c>
      <c r="M25" s="95" t="str">
        <f t="shared" ca="1" si="11"/>
        <v>=AVERAGE(K20:L20)</v>
      </c>
      <c r="N25" s="15"/>
      <c r="O25" s="15"/>
      <c r="P25" s="15"/>
      <c r="Q25" s="67" t="str">
        <f t="shared" ca="1" si="1"/>
        <v/>
      </c>
    </row>
    <row r="26" spans="1:17" x14ac:dyDescent="0.45">
      <c r="B26" s="18" t="s">
        <v>127</v>
      </c>
      <c r="C26" s="11"/>
      <c r="D26" s="15">
        <f t="shared" ref="D26:K26" si="16">AVERAGE(C21:D21)</f>
        <v>2128.75</v>
      </c>
      <c r="E26" s="15">
        <f t="shared" si="16"/>
        <v>2316.25</v>
      </c>
      <c r="F26" s="15">
        <f t="shared" si="16"/>
        <v>2477.9</v>
      </c>
      <c r="G26" s="15">
        <f t="shared" si="16"/>
        <v>2407.8000000000002</v>
      </c>
      <c r="H26" s="15">
        <f t="shared" si="16"/>
        <v>2338.8500000000004</v>
      </c>
      <c r="I26" s="15">
        <f t="shared" si="16"/>
        <v>2338.25</v>
      </c>
      <c r="J26" s="15">
        <f t="shared" si="16"/>
        <v>2352.9499999999998</v>
      </c>
      <c r="K26" s="15">
        <f t="shared" si="16"/>
        <v>2405.25</v>
      </c>
      <c r="L26" s="15">
        <f>AVERAGE(K21:L21)</f>
        <v>2516.7498733864541</v>
      </c>
      <c r="M26" s="95" t="str">
        <f t="shared" ca="1" si="11"/>
        <v>=AVERAGE(K21:L21)</v>
      </c>
      <c r="N26" s="15"/>
      <c r="O26" s="15"/>
      <c r="P26" s="15"/>
      <c r="Q26" s="67" t="str">
        <f t="shared" ca="1" si="1"/>
        <v/>
      </c>
    </row>
    <row r="27" spans="1:17" x14ac:dyDescent="0.45">
      <c r="Q27" s="67" t="str">
        <f t="shared" ca="1" si="1"/>
        <v/>
      </c>
    </row>
    <row r="28" spans="1:17" x14ac:dyDescent="0.45">
      <c r="A28" s="29" t="s">
        <v>128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7" t="str">
        <f t="shared" ca="1" si="1"/>
        <v/>
      </c>
    </row>
    <row r="29" spans="1:17" x14ac:dyDescent="0.45">
      <c r="B29" s="18" t="s">
        <v>132</v>
      </c>
      <c r="C29" s="15"/>
      <c r="D29" s="26">
        <f t="shared" ref="D29:K30" si="17">D32/C32-1</f>
        <v>-1.19760479041916E-2</v>
      </c>
      <c r="E29" s="26">
        <f t="shared" si="17"/>
        <v>-9.5454545454545459E-2</v>
      </c>
      <c r="F29" s="26">
        <f t="shared" si="17"/>
        <v>-0.12395309882747074</v>
      </c>
      <c r="G29" s="26">
        <f t="shared" si="17"/>
        <v>-8.9866156787762774E-2</v>
      </c>
      <c r="H29" s="26">
        <f t="shared" si="17"/>
        <v>-6.5126050420168058E-2</v>
      </c>
      <c r="I29" s="26">
        <f t="shared" si="17"/>
        <v>-6.5168539325842656E-2</v>
      </c>
      <c r="J29" s="26">
        <f t="shared" si="17"/>
        <v>-3.1250000000000111E-2</v>
      </c>
      <c r="K29" s="26">
        <f t="shared" si="17"/>
        <v>-4.7146401985111663E-2</v>
      </c>
      <c r="L29" s="30">
        <v>-3.5000000000000003E-2</v>
      </c>
      <c r="M29" s="30">
        <v>-0.02</v>
      </c>
      <c r="N29" s="30">
        <v>-0.02</v>
      </c>
      <c r="O29" s="30">
        <v>-0.02</v>
      </c>
      <c r="P29" s="30">
        <v>-0.02</v>
      </c>
      <c r="Q29" s="67" t="str">
        <f t="shared" ca="1" si="1"/>
        <v/>
      </c>
    </row>
    <row r="30" spans="1:17" x14ac:dyDescent="0.45">
      <c r="B30" s="18" t="s">
        <v>153</v>
      </c>
      <c r="C30" s="15"/>
      <c r="D30" s="26">
        <f t="shared" si="17"/>
        <v>-9.4339622641509413E-2</v>
      </c>
      <c r="E30" s="26">
        <f t="shared" si="17"/>
        <v>-9.8958333333333259E-2</v>
      </c>
      <c r="F30" s="26">
        <f t="shared" si="17"/>
        <v>-6.3583815028901869E-2</v>
      </c>
      <c r="G30" s="26">
        <f t="shared" si="17"/>
        <v>1.5432098765432167E-2</v>
      </c>
      <c r="H30" s="26">
        <f t="shared" si="17"/>
        <v>-9.7264437689969618E-2</v>
      </c>
      <c r="I30" s="26">
        <f t="shared" si="17"/>
        <v>-0.14478114478114479</v>
      </c>
      <c r="J30" s="26">
        <f t="shared" si="17"/>
        <v>-9.4488188976377896E-2</v>
      </c>
      <c r="K30" s="26">
        <f t="shared" si="17"/>
        <v>-7.8260869565217384E-2</v>
      </c>
      <c r="L30" s="30">
        <v>-0.06</v>
      </c>
      <c r="M30" s="30">
        <v>-0.06</v>
      </c>
      <c r="N30" s="30">
        <v>-0.06</v>
      </c>
      <c r="O30" s="30">
        <v>-0.06</v>
      </c>
      <c r="P30" s="30">
        <v>-0.06</v>
      </c>
      <c r="Q30" s="67" t="str">
        <f t="shared" ca="1" si="1"/>
        <v/>
      </c>
    </row>
    <row r="31" spans="1:17" x14ac:dyDescent="0.45">
      <c r="Q31" s="67" t="str">
        <f t="shared" ca="1" si="1"/>
        <v/>
      </c>
    </row>
    <row r="32" spans="1:17" x14ac:dyDescent="0.45">
      <c r="B32" s="18" t="s">
        <v>118</v>
      </c>
      <c r="C32" s="28">
        <v>66.8</v>
      </c>
      <c r="D32" s="28">
        <v>66</v>
      </c>
      <c r="E32" s="28">
        <v>59.7</v>
      </c>
      <c r="F32" s="28">
        <v>52.3</v>
      </c>
      <c r="G32" s="28">
        <v>47.6</v>
      </c>
      <c r="H32" s="28">
        <v>44.5</v>
      </c>
      <c r="I32" s="28">
        <v>41.6</v>
      </c>
      <c r="J32" s="28">
        <v>40.299999999999997</v>
      </c>
      <c r="K32" s="28">
        <v>38.4</v>
      </c>
      <c r="L32" s="15">
        <f>(1+L29)*K32</f>
        <v>37.055999999999997</v>
      </c>
      <c r="M32" s="95" t="str">
        <f t="shared" ref="M32:M36" ca="1" si="18">IFERROR(_xlfn.FORMULATEXT(L32),"")</f>
        <v>=(1+L29)*K32</v>
      </c>
      <c r="N32" s="67"/>
      <c r="O32" s="67"/>
      <c r="P32" s="67"/>
      <c r="Q32" s="67" t="str">
        <f t="shared" ca="1" si="1"/>
        <v/>
      </c>
    </row>
    <row r="33" spans="1:17" x14ac:dyDescent="0.45">
      <c r="B33" s="18" t="s">
        <v>129</v>
      </c>
      <c r="C33" s="28">
        <v>21.2</v>
      </c>
      <c r="D33" s="28">
        <v>19.2</v>
      </c>
      <c r="E33" s="28">
        <v>17.3</v>
      </c>
      <c r="F33" s="28">
        <v>16.2</v>
      </c>
      <c r="G33" s="28">
        <v>16.45</v>
      </c>
      <c r="H33" s="28">
        <v>14.85</v>
      </c>
      <c r="I33" s="28">
        <v>12.7</v>
      </c>
      <c r="J33" s="28">
        <v>11.5</v>
      </c>
      <c r="K33" s="28">
        <v>10.6</v>
      </c>
      <c r="L33" s="95">
        <f>(1+L30)*K33</f>
        <v>9.9639999999999986</v>
      </c>
      <c r="M33" s="95" t="str">
        <f t="shared" ca="1" si="18"/>
        <v>=(1+L30)*K33</v>
      </c>
      <c r="N33" s="67"/>
      <c r="O33" s="67"/>
      <c r="P33" s="67"/>
      <c r="Q33" s="67" t="str">
        <f t="shared" ca="1" si="1"/>
        <v/>
      </c>
    </row>
    <row r="34" spans="1:17" x14ac:dyDescent="0.45">
      <c r="B34" s="18" t="s">
        <v>157</v>
      </c>
      <c r="C34" s="15">
        <f>SUMPRODUCT(C32:C33,C19:C20)/C21</f>
        <v>45.006389413988657</v>
      </c>
      <c r="D34" s="15">
        <f t="shared" ref="D34:K34" si="19">SUMPRODUCT(D32:D33,D24:D25)/D26</f>
        <v>44.326351145038167</v>
      </c>
      <c r="E34" s="15">
        <f t="shared" si="19"/>
        <v>39.62441230437129</v>
      </c>
      <c r="F34" s="15">
        <f t="shared" si="19"/>
        <v>34.97843940433431</v>
      </c>
      <c r="G34" s="15">
        <f t="shared" si="19"/>
        <v>34.041250311487659</v>
      </c>
      <c r="H34" s="15">
        <f t="shared" si="19"/>
        <v>33.135550591102458</v>
      </c>
      <c r="I34" s="15">
        <f t="shared" si="19"/>
        <v>31.72894900032075</v>
      </c>
      <c r="J34" s="15">
        <f t="shared" si="19"/>
        <v>31.835459742025968</v>
      </c>
      <c r="K34" s="15">
        <f t="shared" si="19"/>
        <v>31.521226483733496</v>
      </c>
      <c r="L34" s="15">
        <f>SUMPRODUCT(L24:L25,L32:L33)/L26</f>
        <v>31.294354502335086</v>
      </c>
      <c r="M34" s="95" t="str">
        <f t="shared" ca="1" si="18"/>
        <v>=SUMPRODUCT(L24:L25,L32:L33)/L26</v>
      </c>
      <c r="N34" s="15"/>
      <c r="O34" s="15"/>
      <c r="P34" s="15"/>
      <c r="Q34" s="67" t="str">
        <f t="shared" ca="1" si="1"/>
        <v/>
      </c>
    </row>
    <row r="35" spans="1:17" s="88" customFormat="1" x14ac:dyDescent="0.45">
      <c r="A35" s="29"/>
      <c r="B35" s="18"/>
      <c r="M35" s="95" t="str">
        <f t="shared" ca="1" si="18"/>
        <v/>
      </c>
    </row>
    <row r="36" spans="1:17" x14ac:dyDescent="0.45">
      <c r="B36" s="18" t="s">
        <v>158</v>
      </c>
      <c r="C36" s="15"/>
      <c r="D36" s="26">
        <f t="shared" ref="D36:K36" si="20">D34/C34-1</f>
        <v>-1.5109816135109089E-2</v>
      </c>
      <c r="E36" s="26">
        <f t="shared" si="20"/>
        <v>-0.10607547698392505</v>
      </c>
      <c r="F36" s="26">
        <f t="shared" si="20"/>
        <v>-0.11725026643548342</v>
      </c>
      <c r="G36" s="26">
        <f t="shared" si="20"/>
        <v>-2.6793336375393606E-2</v>
      </c>
      <c r="H36" s="26">
        <f t="shared" si="20"/>
        <v>-2.6605947551801901E-2</v>
      </c>
      <c r="I36" s="26">
        <f t="shared" si="20"/>
        <v>-4.2449923592318695E-2</v>
      </c>
      <c r="J36" s="26">
        <f t="shared" si="20"/>
        <v>3.3568947305548935E-3</v>
      </c>
      <c r="K36" s="26">
        <f t="shared" si="20"/>
        <v>-9.8705424969143252E-3</v>
      </c>
      <c r="L36" s="26">
        <f>L34/K34-1</f>
        <v>-7.1974350844339341E-3</v>
      </c>
      <c r="M36" s="95" t="str">
        <f t="shared" ca="1" si="18"/>
        <v>=L34/K34-1</v>
      </c>
      <c r="N36" s="26"/>
      <c r="O36" s="26"/>
      <c r="P36" s="26"/>
      <c r="Q36" s="67" t="str">
        <f ca="1">IFERROR(_xlfn.FORMULATEXT(P36),"")</f>
        <v/>
      </c>
    </row>
    <row r="37" spans="1:17" x14ac:dyDescent="0.45">
      <c r="Q37" s="67" t="str">
        <f t="shared" ca="1" si="1"/>
        <v/>
      </c>
    </row>
    <row r="38" spans="1:17" x14ac:dyDescent="0.45">
      <c r="A38" s="29" t="s">
        <v>113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67" t="str">
        <f t="shared" ca="1" si="1"/>
        <v/>
      </c>
    </row>
    <row r="39" spans="1:17" x14ac:dyDescent="0.45">
      <c r="B39" s="18" t="s">
        <v>136</v>
      </c>
      <c r="C39" s="15"/>
      <c r="D39" s="7"/>
      <c r="E39" s="7">
        <f t="shared" ref="E39:K39" si="21">E45/D45-1</f>
        <v>-6.2514749013920401E-2</v>
      </c>
      <c r="F39" s="7">
        <f t="shared" si="21"/>
        <v>-0.22100052009890181</v>
      </c>
      <c r="G39" s="7">
        <f t="shared" si="21"/>
        <v>2.5501543537253646E-2</v>
      </c>
      <c r="H39" s="7">
        <f t="shared" si="21"/>
        <v>0.34067077054757777</v>
      </c>
      <c r="I39" s="7">
        <f t="shared" si="21"/>
        <v>4.5751929274798764E-2</v>
      </c>
      <c r="J39" s="7">
        <f t="shared" si="21"/>
        <v>9.9101695967606984E-2</v>
      </c>
      <c r="K39" s="7">
        <f t="shared" si="21"/>
        <v>6.5401996239840221E-2</v>
      </c>
      <c r="L39" s="24">
        <f>K39*0.8</f>
        <v>5.232159699187218E-2</v>
      </c>
      <c r="M39" s="24">
        <f t="shared" ref="M39:P39" si="22">L39*0.8</f>
        <v>4.1857277593497749E-2</v>
      </c>
      <c r="N39" s="24">
        <f t="shared" si="22"/>
        <v>3.3485822074798201E-2</v>
      </c>
      <c r="O39" s="24">
        <f t="shared" si="22"/>
        <v>2.6788657659838563E-2</v>
      </c>
      <c r="P39" s="24">
        <f t="shared" si="22"/>
        <v>2.1430926127870852E-2</v>
      </c>
      <c r="Q39" s="67" t="str">
        <f ca="1">IFERROR(_xlfn.FORMULATEXT(P39),"")</f>
        <v>=O39*0.8</v>
      </c>
    </row>
    <row r="40" spans="1:17" x14ac:dyDescent="0.45">
      <c r="B40" s="18" t="s">
        <v>133</v>
      </c>
      <c r="C40" s="15"/>
      <c r="D40" s="15"/>
      <c r="E40" s="7">
        <f t="shared" ref="E40:K40" si="23">E41/D41-1</f>
        <v>-0.13267610394825402</v>
      </c>
      <c r="F40" s="7">
        <f t="shared" si="23"/>
        <v>1.8228581140389406</v>
      </c>
      <c r="G40" s="7">
        <f t="shared" si="23"/>
        <v>-3.3411875269521163E-2</v>
      </c>
      <c r="H40" s="7">
        <f t="shared" si="23"/>
        <v>-9.4940267791342015E-2</v>
      </c>
      <c r="I40" s="7">
        <f t="shared" si="23"/>
        <v>-6.5396248866936846E-2</v>
      </c>
      <c r="J40" s="7">
        <f t="shared" si="23"/>
        <v>-5.8962996833177406E-2</v>
      </c>
      <c r="K40" s="7">
        <f t="shared" si="23"/>
        <v>-0.1512630152967559</v>
      </c>
      <c r="L40" s="24">
        <v>-0.05</v>
      </c>
      <c r="M40" s="24">
        <v>-0.05</v>
      </c>
      <c r="N40" s="24">
        <v>-0.05</v>
      </c>
      <c r="O40" s="24">
        <v>-0.05</v>
      </c>
      <c r="P40" s="24">
        <v>-0.05</v>
      </c>
      <c r="Q40" s="67" t="str">
        <f ca="1">IFERROR(_xlfn.FORMULATEXT(P40),"")</f>
        <v/>
      </c>
    </row>
    <row r="41" spans="1:17" x14ac:dyDescent="0.45">
      <c r="B41" s="18" t="s">
        <v>110</v>
      </c>
      <c r="C41" s="15"/>
      <c r="D41" s="15">
        <f t="shared" ref="D41:K41" si="24">D46/D10*1000</f>
        <v>417.47607014119848</v>
      </c>
      <c r="E41" s="15">
        <f t="shared" si="24"/>
        <v>362.08697166323623</v>
      </c>
      <c r="F41" s="15">
        <f t="shared" si="24"/>
        <v>1022.1201459473543</v>
      </c>
      <c r="G41" s="15">
        <f t="shared" si="24"/>
        <v>987.96919512049658</v>
      </c>
      <c r="H41" s="15">
        <f t="shared" si="24"/>
        <v>894.17113516615996</v>
      </c>
      <c r="I41" s="15">
        <f t="shared" si="24"/>
        <v>835.6956970812023</v>
      </c>
      <c r="J41" s="15">
        <f t="shared" si="24"/>
        <v>786.42057434070341</v>
      </c>
      <c r="K41" s="15">
        <f t="shared" si="24"/>
        <v>667.46422697452203</v>
      </c>
      <c r="L41" s="15">
        <f>(1+L40)*K41</f>
        <v>634.09101562579588</v>
      </c>
      <c r="M41" s="95" t="str">
        <f t="shared" ref="M41:M48" ca="1" si="25">IFERROR(_xlfn.FORMULATEXT(L41),"")</f>
        <v>=(1+L40)*K41</v>
      </c>
      <c r="N41" s="67"/>
      <c r="O41" s="67"/>
      <c r="P41" s="67"/>
      <c r="Q41" s="67" t="str">
        <f ca="1">IFERROR(_xlfn.FORMULATEXT(P41),"")</f>
        <v/>
      </c>
    </row>
    <row r="42" spans="1:17" s="88" customFormat="1" x14ac:dyDescent="0.45">
      <c r="A42" s="29"/>
      <c r="M42" s="95" t="str">
        <f t="shared" ca="1" si="25"/>
        <v/>
      </c>
    </row>
    <row r="43" spans="1:17" x14ac:dyDescent="0.45">
      <c r="B43" s="18" t="s">
        <v>114</v>
      </c>
      <c r="C43" s="15"/>
      <c r="D43" s="15">
        <f t="shared" ref="D43:K43" si="26">D32*D24*12/1000</f>
        <v>905.17680000000007</v>
      </c>
      <c r="E43" s="15">
        <f t="shared" si="26"/>
        <v>873.68561999999986</v>
      </c>
      <c r="F43" s="15">
        <f t="shared" si="26"/>
        <v>808.94501999999989</v>
      </c>
      <c r="G43" s="15">
        <f t="shared" si="26"/>
        <v>776.68919999999991</v>
      </c>
      <c r="H43" s="15">
        <f t="shared" si="26"/>
        <v>770.24160000000006</v>
      </c>
      <c r="I43" s="15">
        <f t="shared" si="26"/>
        <v>768.56832000000009</v>
      </c>
      <c r="J43" s="15">
        <f t="shared" si="26"/>
        <v>803.45303999999999</v>
      </c>
      <c r="K43" s="15">
        <f t="shared" si="26"/>
        <v>834.09407999999996</v>
      </c>
      <c r="L43" s="15">
        <f>L24*L32*12/1000</f>
        <v>881.12362443263987</v>
      </c>
      <c r="M43" s="95" t="str">
        <f t="shared" ca="1" si="25"/>
        <v>=L24*L32*12/1000</v>
      </c>
      <c r="N43" s="15"/>
      <c r="O43" s="15"/>
      <c r="P43" s="15"/>
      <c r="Q43" s="67" t="str">
        <f t="shared" ca="1" si="1"/>
        <v/>
      </c>
    </row>
    <row r="44" spans="1:17" x14ac:dyDescent="0.45">
      <c r="B44" s="18" t="s">
        <v>109</v>
      </c>
      <c r="C44" s="15"/>
      <c r="D44" s="15">
        <f t="shared" ref="D44:K44" si="27">D33*D25*12/1000</f>
        <v>227.13983999999996</v>
      </c>
      <c r="E44" s="15">
        <f t="shared" si="27"/>
        <v>227.67491999999999</v>
      </c>
      <c r="F44" s="15">
        <f t="shared" si="27"/>
        <v>231.13188</v>
      </c>
      <c r="G44" s="15">
        <f t="shared" si="27"/>
        <v>206.88507000000001</v>
      </c>
      <c r="H44" s="15">
        <f t="shared" si="27"/>
        <v>159.74739000000002</v>
      </c>
      <c r="I44" s="15">
        <f t="shared" si="27"/>
        <v>121.71426000000001</v>
      </c>
      <c r="J44" s="15">
        <f t="shared" si="27"/>
        <v>95.433899999999994</v>
      </c>
      <c r="K44" s="15">
        <f t="shared" si="27"/>
        <v>75.703079999999986</v>
      </c>
      <c r="L44" s="95">
        <f>L25*L33*12/1000</f>
        <v>63.997128344911545</v>
      </c>
      <c r="M44" s="95" t="str">
        <f t="shared" ca="1" si="25"/>
        <v>=L25*L33*12/1000</v>
      </c>
      <c r="N44" s="15"/>
      <c r="O44" s="15"/>
      <c r="P44" s="15"/>
      <c r="Q44" s="67" t="str">
        <f t="shared" ca="1" si="1"/>
        <v/>
      </c>
    </row>
    <row r="45" spans="1:17" x14ac:dyDescent="0.45">
      <c r="B45" s="18" t="s">
        <v>116</v>
      </c>
      <c r="C45" s="15"/>
      <c r="D45" s="15">
        <f t="shared" ref="D45:K45" si="28">D47-D46-D44-D43</f>
        <v>80.683359999999993</v>
      </c>
      <c r="E45" s="15">
        <f t="shared" si="28"/>
        <v>75.639460000000213</v>
      </c>
      <c r="F45" s="15">
        <f t="shared" si="28"/>
        <v>58.92310000000009</v>
      </c>
      <c r="G45" s="15">
        <f t="shared" si="28"/>
        <v>60.425730000000044</v>
      </c>
      <c r="H45" s="15">
        <f t="shared" si="28"/>
        <v>81.011009999999942</v>
      </c>
      <c r="I45" s="15">
        <f t="shared" si="28"/>
        <v>84.717419999999947</v>
      </c>
      <c r="J45" s="15">
        <f t="shared" si="28"/>
        <v>93.113060000000019</v>
      </c>
      <c r="K45" s="15">
        <f t="shared" si="28"/>
        <v>99.202840000000037</v>
      </c>
      <c r="L45" s="15">
        <f>(1+L39)*K45</f>
        <v>104.39329101492922</v>
      </c>
      <c r="M45" s="95" t="str">
        <f t="shared" ca="1" si="25"/>
        <v>=(1+L39)*K45</v>
      </c>
      <c r="N45" s="67"/>
      <c r="O45" s="67"/>
      <c r="P45" s="67"/>
      <c r="Q45" s="67" t="str">
        <f t="shared" ca="1" si="1"/>
        <v/>
      </c>
    </row>
    <row r="46" spans="1:17" x14ac:dyDescent="0.45">
      <c r="B46" s="3" t="s">
        <v>111</v>
      </c>
      <c r="C46" s="23">
        <v>96</v>
      </c>
      <c r="D46" s="23">
        <v>96</v>
      </c>
      <c r="E46" s="23">
        <v>89</v>
      </c>
      <c r="F46" s="23">
        <v>251</v>
      </c>
      <c r="G46" s="23">
        <v>260</v>
      </c>
      <c r="H46" s="23">
        <v>253</v>
      </c>
      <c r="I46" s="23">
        <v>256</v>
      </c>
      <c r="J46" s="23">
        <v>279</v>
      </c>
      <c r="K46" s="23">
        <v>262</v>
      </c>
      <c r="L46" s="15">
        <f>L41*L10/1000</f>
        <v>273.79000000000008</v>
      </c>
      <c r="M46" s="95" t="str">
        <f t="shared" ca="1" si="25"/>
        <v>=L41*L10/1000</v>
      </c>
      <c r="N46" s="15"/>
      <c r="O46" s="15"/>
      <c r="P46" s="15"/>
      <c r="Q46" s="67" t="str">
        <f t="shared" ca="1" si="1"/>
        <v/>
      </c>
    </row>
    <row r="47" spans="1:17" s="25" customFormat="1" x14ac:dyDescent="0.45">
      <c r="A47" s="29"/>
      <c r="B47" s="18" t="s">
        <v>52</v>
      </c>
      <c r="C47" s="1">
        <v>1272</v>
      </c>
      <c r="D47" s="1">
        <v>1309</v>
      </c>
      <c r="E47" s="1">
        <v>1266</v>
      </c>
      <c r="F47" s="1">
        <v>1350</v>
      </c>
      <c r="G47" s="23">
        <v>1304</v>
      </c>
      <c r="H47" s="23">
        <v>1264</v>
      </c>
      <c r="I47" s="23">
        <v>1231</v>
      </c>
      <c r="J47" s="23">
        <v>1271</v>
      </c>
      <c r="K47" s="23">
        <v>1271</v>
      </c>
      <c r="L47" s="67">
        <f>SUM(L43:L46)</f>
        <v>1323.3040437924806</v>
      </c>
      <c r="M47" s="95" t="str">
        <f t="shared" ca="1" si="25"/>
        <v>=SUM(L43:L46)</v>
      </c>
      <c r="N47" s="67"/>
      <c r="O47" s="67"/>
      <c r="P47" s="67"/>
      <c r="Q47" s="67" t="str">
        <f t="shared" ca="1" si="1"/>
        <v/>
      </c>
    </row>
    <row r="48" spans="1:17" x14ac:dyDescent="0.45">
      <c r="B48" s="18" t="s">
        <v>53</v>
      </c>
      <c r="C48" s="15"/>
      <c r="D48" s="7">
        <f>D47/C47-1</f>
        <v>2.9088050314465486E-2</v>
      </c>
      <c r="E48" s="7">
        <f t="shared" ref="E48:K48" si="29">E47/D47-1</f>
        <v>-3.2849503437738736E-2</v>
      </c>
      <c r="F48" s="7">
        <f t="shared" si="29"/>
        <v>6.6350710900473953E-2</v>
      </c>
      <c r="G48" s="7">
        <f t="shared" si="29"/>
        <v>-3.4074074074074034E-2</v>
      </c>
      <c r="H48" s="7">
        <f t="shared" si="29"/>
        <v>-3.0674846625766916E-2</v>
      </c>
      <c r="I48" s="7">
        <f t="shared" si="29"/>
        <v>-2.6107594936708889E-2</v>
      </c>
      <c r="J48" s="7">
        <f t="shared" si="29"/>
        <v>3.2493907392364019E-2</v>
      </c>
      <c r="K48" s="7">
        <f t="shared" si="29"/>
        <v>0</v>
      </c>
      <c r="L48" s="7">
        <f>L47/K47-1</f>
        <v>4.1151883392982258E-2</v>
      </c>
      <c r="M48" s="95" t="str">
        <f t="shared" ca="1" si="25"/>
        <v>=L47/K47-1</v>
      </c>
      <c r="N48" s="7"/>
      <c r="O48" s="7"/>
      <c r="P48" s="7"/>
      <c r="Q48" s="67" t="str">
        <f t="shared" ca="1" si="1"/>
        <v/>
      </c>
    </row>
    <row r="49" spans="1:17" x14ac:dyDescent="0.45">
      <c r="Q49" s="67" t="str">
        <f t="shared" ca="1" si="1"/>
        <v/>
      </c>
    </row>
    <row r="50" spans="1:17" x14ac:dyDescent="0.45">
      <c r="A50" s="29" t="s">
        <v>115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1713-7C19-45F8-A6B7-A044CCEE76A5}">
  <sheetPr>
    <pageSetUpPr fitToPage="1"/>
  </sheetPr>
  <dimension ref="A1:T70"/>
  <sheetViews>
    <sheetView zoomScale="150" zoomScaleNormal="150" workbookViewId="0">
      <pane xSplit="2" ySplit="3" topLeftCell="K46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M55" sqref="M55"/>
    </sheetView>
  </sheetViews>
  <sheetFormatPr defaultRowHeight="15.75" x14ac:dyDescent="0.45"/>
  <cols>
    <col min="1" max="1" width="1.59765625" style="29" customWidth="1"/>
    <col min="2" max="2" width="40.59765625" customWidth="1"/>
    <col min="3" max="6" width="9.06640625" customWidth="1"/>
    <col min="7" max="7" width="9.1328125" customWidth="1"/>
    <col min="8" max="10" width="9.06640625" customWidth="1"/>
  </cols>
  <sheetData>
    <row r="1" spans="1:20" s="18" customFormat="1" ht="14.25" x14ac:dyDescent="0.45">
      <c r="A1" s="103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0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20" s="18" customFormat="1" ht="14.25" x14ac:dyDescent="0.45">
      <c r="A3" s="99" t="s">
        <v>106</v>
      </c>
      <c r="B3" s="10"/>
      <c r="C3" s="69">
        <f>IS!C$3</f>
        <v>40908</v>
      </c>
      <c r="D3" s="69">
        <f>IS!D$3</f>
        <v>41274</v>
      </c>
      <c r="E3" s="69">
        <f>IS!E$3</f>
        <v>41639</v>
      </c>
      <c r="F3" s="69">
        <f>IS!F$3</f>
        <v>42004</v>
      </c>
      <c r="G3" s="69">
        <f>IS!G$3</f>
        <v>42369</v>
      </c>
      <c r="H3" s="69">
        <f>IS!H$3</f>
        <v>42735</v>
      </c>
      <c r="I3" s="69">
        <f>IS!I$3</f>
        <v>43100</v>
      </c>
      <c r="J3" s="69">
        <f>IS!J$3</f>
        <v>43465</v>
      </c>
      <c r="K3" s="69">
        <f>IS!K$3</f>
        <v>43830</v>
      </c>
      <c r="L3" s="69">
        <f>IS!L$3</f>
        <v>44196</v>
      </c>
      <c r="M3" s="69">
        <f>IS!M$3</f>
        <v>44561</v>
      </c>
      <c r="N3" s="69">
        <f>IS!N$3</f>
        <v>44926</v>
      </c>
      <c r="O3" s="69">
        <f>IS!O$3</f>
        <v>45291</v>
      </c>
      <c r="P3" s="69">
        <f>IS!P$3</f>
        <v>45657</v>
      </c>
    </row>
    <row r="4" spans="1:20" x14ac:dyDescent="0.4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x14ac:dyDescent="0.45">
      <c r="A5" s="29" t="s">
        <v>139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x14ac:dyDescent="0.45">
      <c r="B6" s="18" t="s">
        <v>140</v>
      </c>
      <c r="C6" s="18"/>
      <c r="D6" s="77">
        <f t="shared" ref="D6:K7" si="0">D15/C10</f>
        <v>-7.7760497667185069E-2</v>
      </c>
      <c r="E6" s="77">
        <f t="shared" si="0"/>
        <v>-7.9468802698145005E-2</v>
      </c>
      <c r="F6" s="77">
        <f t="shared" si="0"/>
        <v>-8.9535149988550417E-2</v>
      </c>
      <c r="G6" s="77">
        <f t="shared" si="0"/>
        <v>-8.2997987927565676E-3</v>
      </c>
      <c r="H6" s="77">
        <f t="shared" si="0"/>
        <v>5.6809535886380866E-2</v>
      </c>
      <c r="I6" s="77">
        <f t="shared" si="0"/>
        <v>5.8075353971682238E-2</v>
      </c>
      <c r="J6" s="77">
        <f t="shared" si="0"/>
        <v>6.1918802449535071E-2</v>
      </c>
      <c r="K6" s="77">
        <f t="shared" si="0"/>
        <v>7.3259290901324242E-2</v>
      </c>
      <c r="L6" s="76">
        <v>0.05</v>
      </c>
      <c r="M6" s="76">
        <f>L6*0.7</f>
        <v>3.4999999999999996E-2</v>
      </c>
      <c r="N6" s="76">
        <f t="shared" ref="N6:P6" si="1">M6*0.7</f>
        <v>2.4499999999999997E-2</v>
      </c>
      <c r="O6" s="76">
        <f t="shared" si="1"/>
        <v>1.7149999999999999E-2</v>
      </c>
      <c r="P6" s="76">
        <f t="shared" si="1"/>
        <v>1.2004999999999998E-2</v>
      </c>
      <c r="Q6" s="67" t="str">
        <f ca="1">IFERROR(_xlfn.FORMULATEXT(P6),"")</f>
        <v>=O6*0.7</v>
      </c>
      <c r="R6" s="18"/>
      <c r="S6" s="18"/>
      <c r="T6" s="18"/>
    </row>
    <row r="7" spans="1:20" x14ac:dyDescent="0.45">
      <c r="B7" s="18" t="s">
        <v>141</v>
      </c>
      <c r="C7" s="18"/>
      <c r="D7" s="77">
        <f t="shared" si="0"/>
        <v>-2.9697624190063877E-3</v>
      </c>
      <c r="E7" s="77">
        <f t="shared" si="0"/>
        <v>-5.7676685621446011E-2</v>
      </c>
      <c r="F7" s="77">
        <f t="shared" si="0"/>
        <v>-6.063218390804604E-2</v>
      </c>
      <c r="G7" s="77">
        <f t="shared" si="0"/>
        <v>4.4661976139492271E-2</v>
      </c>
      <c r="H7" s="77">
        <f t="shared" si="0"/>
        <v>8.872620790629579E-2</v>
      </c>
      <c r="I7" s="77">
        <f t="shared" si="0"/>
        <v>0.13555675094136627</v>
      </c>
      <c r="J7" s="77">
        <f t="shared" si="0"/>
        <v>8.3135954523922362E-2</v>
      </c>
      <c r="K7" s="77">
        <f t="shared" si="0"/>
        <v>8.5064509075005415E-2</v>
      </c>
      <c r="L7" s="76">
        <v>0.08</v>
      </c>
      <c r="M7" s="76">
        <f>L7*0.85</f>
        <v>6.8000000000000005E-2</v>
      </c>
      <c r="N7" s="76">
        <f t="shared" ref="N7:P7" si="2">M7*0.85</f>
        <v>5.7800000000000004E-2</v>
      </c>
      <c r="O7" s="76">
        <f t="shared" si="2"/>
        <v>4.913E-2</v>
      </c>
      <c r="P7" s="76">
        <f t="shared" si="2"/>
        <v>4.1760499999999999E-2</v>
      </c>
      <c r="Q7" s="67" t="str">
        <f t="shared" ref="Q7:Q56" ca="1" si="3">IFERROR(_xlfn.FORMULATEXT(P7),"")</f>
        <v>=O7*0.85</v>
      </c>
      <c r="R7" s="18"/>
      <c r="S7" s="18"/>
      <c r="T7" s="18"/>
    </row>
    <row r="8" spans="1:20" x14ac:dyDescent="0.45">
      <c r="B8" s="18" t="s">
        <v>142</v>
      </c>
      <c r="C8" s="18"/>
      <c r="D8" s="77"/>
      <c r="E8" s="77"/>
      <c r="F8" s="77">
        <f t="shared" ref="F8:K8" si="4">F17/E12</f>
        <v>0.44145356662180346</v>
      </c>
      <c r="G8" s="77">
        <f t="shared" si="4"/>
        <v>0.24929971988795535</v>
      </c>
      <c r="H8" s="77">
        <f t="shared" si="4"/>
        <v>0.21674140508221224</v>
      </c>
      <c r="I8" s="77">
        <f t="shared" si="4"/>
        <v>0.31142506142506132</v>
      </c>
      <c r="J8" s="77">
        <f t="shared" si="4"/>
        <v>0.14145199063231845</v>
      </c>
      <c r="K8" s="77">
        <f t="shared" si="4"/>
        <v>0.14608124743537146</v>
      </c>
      <c r="L8" s="76">
        <v>0.15</v>
      </c>
      <c r="M8" s="76">
        <f>L8*0.8</f>
        <v>0.12</v>
      </c>
      <c r="N8" s="76">
        <f t="shared" ref="N8:P8" si="5">M8*0.8</f>
        <v>9.6000000000000002E-2</v>
      </c>
      <c r="O8" s="76">
        <f t="shared" si="5"/>
        <v>7.6800000000000007E-2</v>
      </c>
      <c r="P8" s="76">
        <f t="shared" si="5"/>
        <v>6.1440000000000008E-2</v>
      </c>
      <c r="Q8" s="67" t="str">
        <f t="shared" ca="1" si="3"/>
        <v>=O8*0.8</v>
      </c>
      <c r="R8" s="18"/>
      <c r="S8" s="18"/>
      <c r="T8" s="18"/>
    </row>
    <row r="9" spans="1:20" s="67" customFormat="1" x14ac:dyDescent="0.45">
      <c r="A9" s="29"/>
      <c r="B9" s="18"/>
      <c r="C9" s="18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67" t="str">
        <f t="shared" ca="1" si="3"/>
        <v/>
      </c>
      <c r="R9" s="18"/>
      <c r="S9" s="18"/>
      <c r="T9" s="18"/>
    </row>
    <row r="10" spans="1:20" x14ac:dyDescent="0.45">
      <c r="B10" s="18" t="s">
        <v>281</v>
      </c>
      <c r="C10" s="23">
        <v>514.4</v>
      </c>
      <c r="D10" s="23">
        <v>474.4</v>
      </c>
      <c r="E10" s="23">
        <v>436.7</v>
      </c>
      <c r="F10" s="23">
        <v>397.6</v>
      </c>
      <c r="G10" s="1">
        <v>394.3</v>
      </c>
      <c r="H10" s="1">
        <v>416.7</v>
      </c>
      <c r="I10" s="1">
        <v>440.9</v>
      </c>
      <c r="J10" s="1">
        <v>468.2</v>
      </c>
      <c r="K10" s="1">
        <v>502.5</v>
      </c>
      <c r="L10" s="18">
        <f>(1+L6)*K10</f>
        <v>527.625</v>
      </c>
      <c r="M10" s="95" t="str">
        <f t="shared" ref="M10:M26" ca="1" si="6">IFERROR(_xlfn.FORMULATEXT(L10),"")</f>
        <v>=(1+L6)*K10</v>
      </c>
      <c r="N10" s="18"/>
      <c r="O10" s="18"/>
      <c r="P10" s="18"/>
      <c r="Q10" s="67" t="str">
        <f t="shared" ca="1" si="3"/>
        <v/>
      </c>
      <c r="R10" s="18"/>
      <c r="S10" s="18"/>
      <c r="T10" s="18"/>
    </row>
    <row r="11" spans="1:20" x14ac:dyDescent="0.45">
      <c r="B11" s="18" t="s">
        <v>282</v>
      </c>
      <c r="C11" s="23">
        <v>370.4</v>
      </c>
      <c r="D11" s="23">
        <v>369.3</v>
      </c>
      <c r="E11" s="23">
        <v>348</v>
      </c>
      <c r="F11" s="23">
        <v>326.89999999999998</v>
      </c>
      <c r="G11" s="1">
        <v>341.5</v>
      </c>
      <c r="H11" s="1">
        <v>371.8</v>
      </c>
      <c r="I11" s="1">
        <v>422.2</v>
      </c>
      <c r="J11" s="1">
        <v>457.3</v>
      </c>
      <c r="K11" s="1">
        <v>496.2</v>
      </c>
      <c r="L11" s="18">
        <f t="shared" ref="L11:L12" si="7">(1+L7)*K11</f>
        <v>535.89600000000007</v>
      </c>
      <c r="M11" s="95" t="str">
        <f t="shared" ca="1" si="6"/>
        <v>=(1+L7)*K11</v>
      </c>
      <c r="N11" s="18"/>
      <c r="O11" s="18"/>
      <c r="P11" s="18"/>
      <c r="Q11" s="67" t="str">
        <f t="shared" ca="1" si="3"/>
        <v/>
      </c>
      <c r="R11" s="18"/>
      <c r="S11" s="18"/>
      <c r="T11" s="18"/>
    </row>
    <row r="12" spans="1:20" x14ac:dyDescent="0.45">
      <c r="B12" s="18" t="s">
        <v>143</v>
      </c>
      <c r="C12" s="23"/>
      <c r="D12" s="23"/>
      <c r="E12" s="23">
        <v>74.3</v>
      </c>
      <c r="F12" s="23">
        <v>107.1</v>
      </c>
      <c r="G12" s="1">
        <v>133.80000000000001</v>
      </c>
      <c r="H12" s="1">
        <v>162.80000000000001</v>
      </c>
      <c r="I12" s="1">
        <v>213.5</v>
      </c>
      <c r="J12" s="1">
        <v>243.7</v>
      </c>
      <c r="K12" s="1">
        <v>279.3</v>
      </c>
      <c r="L12" s="18">
        <f t="shared" si="7"/>
        <v>321.19499999999999</v>
      </c>
      <c r="M12" s="95" t="str">
        <f t="shared" ca="1" si="6"/>
        <v>=(1+L8)*K12</v>
      </c>
      <c r="N12" s="18"/>
      <c r="O12" s="18"/>
      <c r="P12" s="18"/>
      <c r="Q12" s="67" t="str">
        <f t="shared" ca="1" si="3"/>
        <v/>
      </c>
      <c r="R12" s="18"/>
      <c r="S12" s="18"/>
      <c r="T12" s="18"/>
    </row>
    <row r="13" spans="1:20" x14ac:dyDescent="0.45">
      <c r="B13" s="27" t="s">
        <v>144</v>
      </c>
      <c r="C13" s="67"/>
      <c r="D13" s="67"/>
      <c r="E13" s="67">
        <f t="shared" ref="E13:L13" si="8">SUM(E10:E12)</f>
        <v>859</v>
      </c>
      <c r="F13" s="67">
        <f t="shared" si="8"/>
        <v>831.6</v>
      </c>
      <c r="G13" s="18">
        <f t="shared" si="8"/>
        <v>869.59999999999991</v>
      </c>
      <c r="H13" s="18">
        <f t="shared" si="8"/>
        <v>951.3</v>
      </c>
      <c r="I13" s="18">
        <f t="shared" si="8"/>
        <v>1076.5999999999999</v>
      </c>
      <c r="J13" s="18">
        <f t="shared" si="8"/>
        <v>1169.2</v>
      </c>
      <c r="K13" s="18">
        <f t="shared" si="8"/>
        <v>1278</v>
      </c>
      <c r="L13" s="18">
        <f t="shared" si="8"/>
        <v>1384.7160000000001</v>
      </c>
      <c r="M13" s="95" t="str">
        <f t="shared" ca="1" si="6"/>
        <v>=SUM(L10:L12)</v>
      </c>
      <c r="N13" s="18"/>
      <c r="O13" s="18"/>
      <c r="P13" s="18"/>
      <c r="Q13" s="67" t="str">
        <f t="shared" ca="1" si="3"/>
        <v/>
      </c>
      <c r="R13" s="18"/>
      <c r="S13" s="18"/>
      <c r="T13" s="18"/>
    </row>
    <row r="14" spans="1:20" x14ac:dyDescent="0.4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95" t="str">
        <f t="shared" ca="1" si="6"/>
        <v/>
      </c>
      <c r="N14" s="18"/>
      <c r="O14" s="18"/>
      <c r="P14" s="18"/>
      <c r="Q14" s="67" t="str">
        <f t="shared" ca="1" si="3"/>
        <v/>
      </c>
      <c r="R14" s="18"/>
      <c r="S14" s="18"/>
      <c r="T14" s="18"/>
    </row>
    <row r="15" spans="1:20" x14ac:dyDescent="0.45">
      <c r="B15" s="18" t="s">
        <v>145</v>
      </c>
      <c r="C15" s="18"/>
      <c r="D15" s="67">
        <f t="shared" ref="D15:L15" si="9">D10-C10</f>
        <v>-40</v>
      </c>
      <c r="E15" s="67">
        <f t="shared" si="9"/>
        <v>-37.699999999999989</v>
      </c>
      <c r="F15" s="67">
        <f t="shared" si="9"/>
        <v>-39.099999999999966</v>
      </c>
      <c r="G15" s="18">
        <f t="shared" si="9"/>
        <v>-3.3000000000000114</v>
      </c>
      <c r="H15" s="18">
        <f t="shared" si="9"/>
        <v>22.399999999999977</v>
      </c>
      <c r="I15" s="18">
        <f t="shared" si="9"/>
        <v>24.199999999999989</v>
      </c>
      <c r="J15" s="18">
        <f t="shared" si="9"/>
        <v>27.300000000000011</v>
      </c>
      <c r="K15" s="18">
        <f t="shared" si="9"/>
        <v>34.300000000000011</v>
      </c>
      <c r="L15" s="18">
        <f t="shared" si="9"/>
        <v>25.125</v>
      </c>
      <c r="M15" s="95" t="str">
        <f t="shared" ca="1" si="6"/>
        <v>=L10-K10</v>
      </c>
      <c r="N15" s="18"/>
      <c r="O15" s="18"/>
      <c r="P15" s="18"/>
      <c r="Q15" s="67" t="str">
        <f ca="1">IFERROR(_xlfn.FORMULATEXT(P15),"")</f>
        <v/>
      </c>
      <c r="R15" s="18"/>
      <c r="S15" s="18"/>
      <c r="T15" s="18"/>
    </row>
    <row r="16" spans="1:20" x14ac:dyDescent="0.45">
      <c r="B16" s="18" t="s">
        <v>146</v>
      </c>
      <c r="C16" s="18"/>
      <c r="D16" s="67">
        <f t="shared" ref="D16:L16" si="10">D11-C11</f>
        <v>-1.0999999999999659</v>
      </c>
      <c r="E16" s="67">
        <f t="shared" si="10"/>
        <v>-21.300000000000011</v>
      </c>
      <c r="F16" s="67">
        <f t="shared" si="10"/>
        <v>-21.100000000000023</v>
      </c>
      <c r="G16" s="18">
        <f t="shared" si="10"/>
        <v>14.600000000000023</v>
      </c>
      <c r="H16" s="18">
        <f t="shared" si="10"/>
        <v>30.300000000000011</v>
      </c>
      <c r="I16" s="18">
        <f t="shared" si="10"/>
        <v>50.399999999999977</v>
      </c>
      <c r="J16" s="18">
        <f t="shared" si="10"/>
        <v>35.100000000000023</v>
      </c>
      <c r="K16" s="18">
        <f t="shared" si="10"/>
        <v>38.899999999999977</v>
      </c>
      <c r="L16" s="18">
        <f t="shared" si="10"/>
        <v>39.696000000000083</v>
      </c>
      <c r="M16" s="95" t="str">
        <f t="shared" ca="1" si="6"/>
        <v>=L11-K11</v>
      </c>
      <c r="N16" s="18"/>
      <c r="O16" s="18"/>
      <c r="P16" s="18"/>
      <c r="Q16" s="67" t="str">
        <f ca="1">IFERROR(_xlfn.FORMULATEXT(P16),"")</f>
        <v/>
      </c>
      <c r="R16" s="18"/>
      <c r="S16" s="18"/>
      <c r="T16" s="18"/>
    </row>
    <row r="17" spans="1:20" x14ac:dyDescent="0.45">
      <c r="B17" s="18" t="s">
        <v>147</v>
      </c>
      <c r="C17" s="18"/>
      <c r="D17" s="67"/>
      <c r="E17" s="67"/>
      <c r="F17" s="67">
        <f t="shared" ref="F17:L17" si="11">F12-E12</f>
        <v>32.799999999999997</v>
      </c>
      <c r="G17" s="18">
        <f t="shared" si="11"/>
        <v>26.700000000000017</v>
      </c>
      <c r="H17" s="18">
        <f t="shared" si="11"/>
        <v>29</v>
      </c>
      <c r="I17" s="18">
        <f t="shared" si="11"/>
        <v>50.699999999999989</v>
      </c>
      <c r="J17" s="18">
        <f t="shared" si="11"/>
        <v>30.199999999999989</v>
      </c>
      <c r="K17" s="18">
        <f t="shared" si="11"/>
        <v>35.600000000000023</v>
      </c>
      <c r="L17" s="18">
        <f t="shared" si="11"/>
        <v>41.894999999999982</v>
      </c>
      <c r="M17" s="95" t="str">
        <f t="shared" ca="1" si="6"/>
        <v>=L12-K12</v>
      </c>
      <c r="N17" s="18"/>
      <c r="O17" s="18"/>
      <c r="P17" s="18"/>
      <c r="Q17" s="67" t="str">
        <f ca="1">IFERROR(_xlfn.FORMULATEXT(P17),"")</f>
        <v/>
      </c>
      <c r="R17" s="18"/>
      <c r="S17" s="18"/>
      <c r="T17" s="18"/>
    </row>
    <row r="18" spans="1:20" x14ac:dyDescent="0.45">
      <c r="B18" s="27" t="s">
        <v>148</v>
      </c>
      <c r="C18" s="27"/>
      <c r="D18" s="67"/>
      <c r="E18" s="67"/>
      <c r="F18" s="67">
        <f t="shared" ref="F18:L18" si="12">F13-E13</f>
        <v>-27.399999999999977</v>
      </c>
      <c r="G18" s="18">
        <f t="shared" si="12"/>
        <v>37.999999999999886</v>
      </c>
      <c r="H18" s="18">
        <f t="shared" si="12"/>
        <v>81.700000000000045</v>
      </c>
      <c r="I18" s="18">
        <f t="shared" si="12"/>
        <v>125.29999999999995</v>
      </c>
      <c r="J18" s="18">
        <f t="shared" si="12"/>
        <v>92.600000000000136</v>
      </c>
      <c r="K18" s="18">
        <f t="shared" si="12"/>
        <v>108.79999999999995</v>
      </c>
      <c r="L18" s="18">
        <f t="shared" si="12"/>
        <v>106.71600000000012</v>
      </c>
      <c r="M18" s="95" t="str">
        <f t="shared" ca="1" si="6"/>
        <v>=L13-K13</v>
      </c>
      <c r="N18" s="18"/>
      <c r="O18" s="18"/>
      <c r="P18" s="18"/>
      <c r="Q18" s="67" t="str">
        <f ca="1">IFERROR(_xlfn.FORMULATEXT(P18),"")</f>
        <v/>
      </c>
      <c r="R18" s="18"/>
      <c r="S18" s="18"/>
      <c r="T18" s="18"/>
    </row>
    <row r="19" spans="1:20" s="88" customFormat="1" x14ac:dyDescent="0.45">
      <c r="A19" s="29"/>
      <c r="B19" s="27"/>
      <c r="C19" s="27"/>
      <c r="G19" s="18"/>
      <c r="H19" s="18"/>
      <c r="I19" s="18"/>
      <c r="J19" s="18"/>
      <c r="K19" s="18"/>
      <c r="L19" s="18"/>
      <c r="M19" s="95" t="str">
        <f t="shared" ca="1" si="6"/>
        <v/>
      </c>
      <c r="N19" s="18"/>
      <c r="O19" s="18"/>
      <c r="P19" s="18"/>
      <c r="R19" s="18"/>
      <c r="S19" s="18"/>
      <c r="T19" s="18"/>
    </row>
    <row r="20" spans="1:20" x14ac:dyDescent="0.45">
      <c r="B20" s="18" t="s">
        <v>225</v>
      </c>
      <c r="C20" s="18"/>
      <c r="D20" s="77"/>
      <c r="E20" s="77"/>
      <c r="F20" s="77">
        <f t="shared" ref="F20:L20" si="13">F18/E13</f>
        <v>-3.1897555296856783E-2</v>
      </c>
      <c r="G20" s="77">
        <f t="shared" si="13"/>
        <v>4.5695045695045559E-2</v>
      </c>
      <c r="H20" s="77">
        <f t="shared" si="13"/>
        <v>9.3951241950322048E-2</v>
      </c>
      <c r="I20" s="77">
        <f t="shared" si="13"/>
        <v>0.13171449595290652</v>
      </c>
      <c r="J20" s="77">
        <f t="shared" si="13"/>
        <v>8.6011517741036728E-2</v>
      </c>
      <c r="K20" s="77">
        <f t="shared" si="13"/>
        <v>9.3055080396852508E-2</v>
      </c>
      <c r="L20" s="77">
        <f t="shared" si="13"/>
        <v>8.3502347417840475E-2</v>
      </c>
      <c r="M20" s="95" t="str">
        <f t="shared" ca="1" si="6"/>
        <v>=L18/K13</v>
      </c>
      <c r="N20" s="77"/>
      <c r="O20" s="77"/>
      <c r="P20" s="77"/>
      <c r="Q20" s="67" t="str">
        <f ca="1">IFERROR(_xlfn.FORMULATEXT(P20),"")</f>
        <v/>
      </c>
      <c r="R20" s="18"/>
      <c r="S20" s="18"/>
      <c r="T20" s="18"/>
    </row>
    <row r="21" spans="1:20" x14ac:dyDescent="0.4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95" t="str">
        <f t="shared" ca="1" si="6"/>
        <v/>
      </c>
      <c r="N21" s="18"/>
      <c r="O21" s="18"/>
      <c r="P21" s="18"/>
      <c r="Q21" s="67" t="str">
        <f ca="1">IFERROR(_xlfn.FORMULATEXT(P21),"")</f>
        <v/>
      </c>
      <c r="R21" s="18"/>
      <c r="S21" s="18"/>
      <c r="T21" s="18"/>
    </row>
    <row r="22" spans="1:20" x14ac:dyDescent="0.45">
      <c r="B22" s="18" t="s">
        <v>149</v>
      </c>
      <c r="C22" s="18"/>
      <c r="D22" s="73">
        <f t="shared" ref="D22:L22" si="14">AVERAGE(C10:D10)</f>
        <v>494.4</v>
      </c>
      <c r="E22" s="73">
        <f t="shared" si="14"/>
        <v>455.54999999999995</v>
      </c>
      <c r="F22" s="73">
        <f t="shared" si="14"/>
        <v>417.15</v>
      </c>
      <c r="G22" s="18">
        <f t="shared" si="14"/>
        <v>395.95000000000005</v>
      </c>
      <c r="H22" s="18">
        <f t="shared" si="14"/>
        <v>405.5</v>
      </c>
      <c r="I22" s="18">
        <f t="shared" si="14"/>
        <v>428.79999999999995</v>
      </c>
      <c r="J22" s="18">
        <f t="shared" si="14"/>
        <v>454.54999999999995</v>
      </c>
      <c r="K22" s="18">
        <f t="shared" si="14"/>
        <v>485.35</v>
      </c>
      <c r="L22" s="18">
        <f t="shared" si="14"/>
        <v>515.0625</v>
      </c>
      <c r="M22" s="95" t="str">
        <f t="shared" ca="1" si="6"/>
        <v>=AVERAGE(K10:L10)</v>
      </c>
      <c r="N22" s="18"/>
      <c r="O22" s="18"/>
      <c r="P22" s="18"/>
      <c r="Q22" s="67" t="str">
        <f t="shared" ca="1" si="3"/>
        <v/>
      </c>
      <c r="R22" s="18"/>
      <c r="S22" s="18"/>
      <c r="T22" s="18"/>
    </row>
    <row r="23" spans="1:20" x14ac:dyDescent="0.45">
      <c r="B23" s="18" t="s">
        <v>150</v>
      </c>
      <c r="C23" s="18"/>
      <c r="D23" s="73">
        <f t="shared" ref="D23:L23" si="15">AVERAGE(C11:D11)</f>
        <v>369.85</v>
      </c>
      <c r="E23" s="73">
        <f t="shared" si="15"/>
        <v>358.65</v>
      </c>
      <c r="F23" s="73">
        <f t="shared" si="15"/>
        <v>337.45</v>
      </c>
      <c r="G23" s="18">
        <f t="shared" si="15"/>
        <v>334.2</v>
      </c>
      <c r="H23" s="18">
        <f t="shared" si="15"/>
        <v>356.65</v>
      </c>
      <c r="I23" s="18">
        <f t="shared" si="15"/>
        <v>397</v>
      </c>
      <c r="J23" s="18">
        <f t="shared" si="15"/>
        <v>439.75</v>
      </c>
      <c r="K23" s="18">
        <f t="shared" si="15"/>
        <v>476.75</v>
      </c>
      <c r="L23" s="18">
        <f t="shared" si="15"/>
        <v>516.048</v>
      </c>
      <c r="M23" s="95" t="str">
        <f t="shared" ca="1" si="6"/>
        <v>=AVERAGE(K11:L11)</v>
      </c>
      <c r="N23" s="18"/>
      <c r="O23" s="18"/>
      <c r="P23" s="18"/>
      <c r="Q23" s="67" t="str">
        <f t="shared" ca="1" si="3"/>
        <v/>
      </c>
      <c r="R23" s="18"/>
      <c r="S23" s="18"/>
      <c r="T23" s="18"/>
    </row>
    <row r="24" spans="1:20" x14ac:dyDescent="0.45">
      <c r="B24" s="18" t="s">
        <v>151</v>
      </c>
      <c r="C24" s="18"/>
      <c r="D24" s="73"/>
      <c r="E24" s="73"/>
      <c r="F24" s="73">
        <f t="shared" ref="F24:L24" si="16">AVERAGE(E12:F12)</f>
        <v>90.699999999999989</v>
      </c>
      <c r="G24" s="18">
        <f t="shared" si="16"/>
        <v>120.45</v>
      </c>
      <c r="H24" s="18">
        <f t="shared" si="16"/>
        <v>148.30000000000001</v>
      </c>
      <c r="I24" s="18">
        <f t="shared" si="16"/>
        <v>188.15</v>
      </c>
      <c r="J24" s="18">
        <f t="shared" si="16"/>
        <v>228.6</v>
      </c>
      <c r="K24" s="18">
        <f t="shared" si="16"/>
        <v>261.5</v>
      </c>
      <c r="L24" s="18">
        <f t="shared" si="16"/>
        <v>300.2475</v>
      </c>
      <c r="M24" s="95" t="str">
        <f t="shared" ca="1" si="6"/>
        <v>=AVERAGE(K12:L12)</v>
      </c>
      <c r="N24" s="18"/>
      <c r="O24" s="18"/>
      <c r="P24" s="18"/>
      <c r="Q24" s="67" t="str">
        <f t="shared" ca="1" si="3"/>
        <v/>
      </c>
      <c r="R24" s="18"/>
      <c r="S24" s="18"/>
      <c r="T24" s="18"/>
    </row>
    <row r="25" spans="1:20" x14ac:dyDescent="0.45">
      <c r="B25" s="27" t="s">
        <v>152</v>
      </c>
      <c r="C25" s="27"/>
      <c r="D25" s="75"/>
      <c r="E25" s="75"/>
      <c r="F25" s="75">
        <f t="shared" ref="F25:L25" si="17">AVERAGE(E13:F13)</f>
        <v>845.3</v>
      </c>
      <c r="G25" s="18">
        <f t="shared" si="17"/>
        <v>850.59999999999991</v>
      </c>
      <c r="H25" s="18">
        <f t="shared" si="17"/>
        <v>910.44999999999993</v>
      </c>
      <c r="I25" s="18">
        <f t="shared" si="17"/>
        <v>1013.9499999999999</v>
      </c>
      <c r="J25" s="18">
        <f t="shared" si="17"/>
        <v>1122.9000000000001</v>
      </c>
      <c r="K25" s="18">
        <f t="shared" si="17"/>
        <v>1223.5999999999999</v>
      </c>
      <c r="L25" s="18">
        <f t="shared" si="17"/>
        <v>1331.3580000000002</v>
      </c>
      <c r="M25" s="95" t="str">
        <f t="shared" ca="1" si="6"/>
        <v>=AVERAGE(K13:L13)</v>
      </c>
      <c r="N25" s="18"/>
      <c r="O25" s="18"/>
      <c r="P25" s="18"/>
      <c r="Q25" s="67" t="str">
        <f t="shared" ca="1" si="3"/>
        <v/>
      </c>
      <c r="R25" s="18"/>
      <c r="S25" s="18"/>
      <c r="T25" s="18"/>
    </row>
    <row r="26" spans="1:20" x14ac:dyDescent="0.4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95" t="str">
        <f t="shared" ca="1" si="6"/>
        <v/>
      </c>
      <c r="N26" s="18"/>
      <c r="O26" s="18"/>
      <c r="P26" s="18"/>
      <c r="Q26" s="67" t="str">
        <f t="shared" ca="1" si="3"/>
        <v/>
      </c>
      <c r="R26" s="18"/>
      <c r="S26" s="18"/>
      <c r="T26" s="18"/>
    </row>
    <row r="27" spans="1:20" x14ac:dyDescent="0.45">
      <c r="A27" s="29" t="s">
        <v>128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67" t="str">
        <f t="shared" ca="1" si="3"/>
        <v/>
      </c>
      <c r="R27" s="18"/>
      <c r="S27" s="18"/>
      <c r="T27" s="18"/>
    </row>
    <row r="28" spans="1:20" x14ac:dyDescent="0.45">
      <c r="B28" s="18" t="s">
        <v>154</v>
      </c>
      <c r="C28" s="18"/>
      <c r="D28" s="77">
        <f>D32/C32-1</f>
        <v>-9.0497737556561875E-3</v>
      </c>
      <c r="E28" s="77">
        <f t="shared" ref="E28:K28" si="18">E32/D32-1</f>
        <v>-5.0228310502283047E-2</v>
      </c>
      <c r="F28" s="77">
        <f t="shared" si="18"/>
        <v>-4.3269230769230838E-2</v>
      </c>
      <c r="G28" s="77">
        <f t="shared" si="18"/>
        <v>-0.12060301507537685</v>
      </c>
      <c r="H28" s="77">
        <f t="shared" si="18"/>
        <v>-0.12</v>
      </c>
      <c r="I28" s="77">
        <f t="shared" si="18"/>
        <v>-0.1428571428571429</v>
      </c>
      <c r="J28" s="77">
        <f t="shared" si="18"/>
        <v>-0.13257575757575757</v>
      </c>
      <c r="K28" s="77">
        <f t="shared" si="18"/>
        <v>-8.7336244541484698E-2</v>
      </c>
      <c r="L28" s="76">
        <f t="shared" ref="L28:P28" si="19">K28*0.8</f>
        <v>-6.9868995633187755E-2</v>
      </c>
      <c r="M28" s="76">
        <f t="shared" si="19"/>
        <v>-5.5895196506550206E-2</v>
      </c>
      <c r="N28" s="76">
        <f t="shared" si="19"/>
        <v>-4.4716157205240165E-2</v>
      </c>
      <c r="O28" s="76">
        <f t="shared" si="19"/>
        <v>-3.577292576419213E-2</v>
      </c>
      <c r="P28" s="76">
        <f t="shared" si="19"/>
        <v>-2.8618340611353706E-2</v>
      </c>
      <c r="Q28" s="67" t="str">
        <f t="shared" ca="1" si="3"/>
        <v>=O28*0.8</v>
      </c>
      <c r="R28" s="18"/>
      <c r="S28" s="18"/>
      <c r="T28" s="18"/>
    </row>
    <row r="29" spans="1:20" x14ac:dyDescent="0.45">
      <c r="B29" s="18" t="s">
        <v>155</v>
      </c>
      <c r="C29" s="18"/>
      <c r="D29" s="77">
        <f>D33/C33-1</f>
        <v>2.2922636103152039E-2</v>
      </c>
      <c r="E29" s="77">
        <f t="shared" ref="E29:K29" si="20">E33/D33-1</f>
        <v>4.4817927170868188E-2</v>
      </c>
      <c r="F29" s="77">
        <f t="shared" si="20"/>
        <v>5.8981233243967868E-2</v>
      </c>
      <c r="G29" s="77">
        <f t="shared" si="20"/>
        <v>-6.58227848101266E-2</v>
      </c>
      <c r="H29" s="77">
        <f t="shared" si="20"/>
        <v>-2.9810298102981081E-2</v>
      </c>
      <c r="I29" s="77">
        <f t="shared" si="20"/>
        <v>-1.3966480446927387E-2</v>
      </c>
      <c r="J29" s="77">
        <f t="shared" si="20"/>
        <v>2.2662889518413776E-2</v>
      </c>
      <c r="K29" s="77">
        <f t="shared" si="20"/>
        <v>-1.1080332409972304E-2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67" t="str">
        <f t="shared" ca="1" si="3"/>
        <v/>
      </c>
      <c r="R29" s="18"/>
      <c r="S29" s="18"/>
      <c r="T29" s="18"/>
    </row>
    <row r="30" spans="1:20" x14ac:dyDescent="0.45">
      <c r="B30" s="18" t="s">
        <v>156</v>
      </c>
      <c r="C30" s="18"/>
      <c r="D30" s="77"/>
      <c r="E30" s="77"/>
      <c r="F30" s="77">
        <f>F34/E34-1</f>
        <v>2.9440628066732089E-2</v>
      </c>
      <c r="G30" s="77">
        <f t="shared" ref="G30:K30" si="21">G34/F34-1</f>
        <v>-6.673021925643452E-2</v>
      </c>
      <c r="H30" s="77">
        <f t="shared" si="21"/>
        <v>2.2471910112359605E-2</v>
      </c>
      <c r="I30" s="77">
        <f t="shared" si="21"/>
        <v>4.2957042957042724E-2</v>
      </c>
      <c r="J30" s="77">
        <f t="shared" si="21"/>
        <v>0</v>
      </c>
      <c r="K30" s="77">
        <f t="shared" si="21"/>
        <v>-4.2145593869731823E-2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67" t="str">
        <f t="shared" ca="1" si="3"/>
        <v/>
      </c>
      <c r="R30" s="18"/>
      <c r="S30" s="18"/>
      <c r="T30" s="18"/>
    </row>
    <row r="31" spans="1:20" x14ac:dyDescent="0.4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67" t="str">
        <f t="shared" ca="1" si="3"/>
        <v/>
      </c>
      <c r="R31" s="18"/>
      <c r="S31" s="18"/>
      <c r="T31" s="18"/>
    </row>
    <row r="32" spans="1:20" x14ac:dyDescent="0.45">
      <c r="B32" s="18" t="s">
        <v>160</v>
      </c>
      <c r="C32" s="28">
        <v>44.2</v>
      </c>
      <c r="D32" s="28">
        <v>43.8</v>
      </c>
      <c r="E32" s="28">
        <v>41.6</v>
      </c>
      <c r="F32" s="28">
        <v>39.799999999999997</v>
      </c>
      <c r="G32" s="79">
        <v>35</v>
      </c>
      <c r="H32" s="79">
        <v>30.8</v>
      </c>
      <c r="I32" s="79">
        <v>26.4</v>
      </c>
      <c r="J32" s="79">
        <v>22.9</v>
      </c>
      <c r="K32" s="79">
        <v>20.9</v>
      </c>
      <c r="L32" s="78">
        <f>(1+L28)*K32</f>
        <v>19.439737991266377</v>
      </c>
      <c r="M32" s="104" t="str">
        <f t="shared" ref="M32:M39" ca="1" si="22">IFERROR(_xlfn.FORMULATEXT(L32),"")</f>
        <v>=(1+L28)*K32</v>
      </c>
      <c r="N32" s="78"/>
      <c r="O32" s="78"/>
      <c r="P32" s="78"/>
      <c r="Q32" s="67" t="str">
        <f t="shared" ca="1" si="3"/>
        <v/>
      </c>
      <c r="R32" s="18"/>
      <c r="S32" s="18"/>
      <c r="T32" s="18"/>
    </row>
    <row r="33" spans="1:20" x14ac:dyDescent="0.45">
      <c r="B33" s="18" t="s">
        <v>161</v>
      </c>
      <c r="C33" s="28">
        <v>34.9</v>
      </c>
      <c r="D33" s="28">
        <v>35.700000000000003</v>
      </c>
      <c r="E33" s="28">
        <v>37.299999999999997</v>
      </c>
      <c r="F33" s="28">
        <v>39.5</v>
      </c>
      <c r="G33" s="79">
        <v>36.9</v>
      </c>
      <c r="H33" s="79">
        <v>35.799999999999997</v>
      </c>
      <c r="I33" s="79">
        <v>35.299999999999997</v>
      </c>
      <c r="J33" s="79">
        <v>36.1</v>
      </c>
      <c r="K33" s="79">
        <v>35.700000000000003</v>
      </c>
      <c r="L33" s="78">
        <f t="shared" ref="L33:L34" si="23">(1+L29)*K33</f>
        <v>35.700000000000003</v>
      </c>
      <c r="M33" s="104" t="str">
        <f t="shared" ca="1" si="22"/>
        <v>=(1+L29)*K33</v>
      </c>
      <c r="N33" s="78"/>
      <c r="O33" s="78"/>
      <c r="P33" s="78"/>
      <c r="Q33" s="67" t="str">
        <f t="shared" ca="1" si="3"/>
        <v/>
      </c>
      <c r="R33" s="18"/>
      <c r="S33" s="18"/>
      <c r="T33" s="18"/>
    </row>
    <row r="34" spans="1:20" x14ac:dyDescent="0.45">
      <c r="B34" s="18" t="s">
        <v>162</v>
      </c>
      <c r="C34" s="28"/>
      <c r="D34" s="28"/>
      <c r="E34" s="28">
        <v>25.474999999999998</v>
      </c>
      <c r="F34" s="28">
        <v>26.224999999999998</v>
      </c>
      <c r="G34" s="79">
        <v>24.475000000000001</v>
      </c>
      <c r="H34" s="79">
        <v>25.025000000000002</v>
      </c>
      <c r="I34" s="79">
        <v>26.099999999999998</v>
      </c>
      <c r="J34" s="79">
        <v>26.1</v>
      </c>
      <c r="K34" s="79">
        <v>25</v>
      </c>
      <c r="L34" s="78">
        <f t="shared" si="23"/>
        <v>25</v>
      </c>
      <c r="M34" s="104" t="str">
        <f t="shared" ca="1" si="22"/>
        <v>=(1+L30)*K34</v>
      </c>
      <c r="N34" s="78"/>
      <c r="O34" s="78"/>
      <c r="P34" s="78"/>
      <c r="Q34" s="67" t="str">
        <f t="shared" ca="1" si="3"/>
        <v/>
      </c>
      <c r="R34" s="18"/>
      <c r="S34" s="18"/>
      <c r="T34" s="18"/>
    </row>
    <row r="35" spans="1:20" s="67" customFormat="1" x14ac:dyDescent="0.45">
      <c r="A35" s="29"/>
      <c r="B35" s="18" t="s">
        <v>157</v>
      </c>
      <c r="C35" s="28"/>
      <c r="D35" s="28"/>
      <c r="E35" s="67">
        <f t="shared" ref="E35:L35" si="24">SUMPRODUCT(E32:E34,E10:E12)/E13</f>
        <v>38.463227590221194</v>
      </c>
      <c r="F35" s="67">
        <f t="shared" si="24"/>
        <v>37.933775252525251</v>
      </c>
      <c r="G35" s="67">
        <f t="shared" si="24"/>
        <v>34.126730680772773</v>
      </c>
      <c r="H35" s="67">
        <f t="shared" si="24"/>
        <v>31.765867759907497</v>
      </c>
      <c r="I35" s="67">
        <f t="shared" si="24"/>
        <v>29.830735649266209</v>
      </c>
      <c r="J35" s="67">
        <f t="shared" si="24"/>
        <v>28.729798152582966</v>
      </c>
      <c r="K35" s="67">
        <f t="shared" si="24"/>
        <v>27.54232394366197</v>
      </c>
      <c r="L35" s="104">
        <f t="shared" si="24"/>
        <v>27.02233090225138</v>
      </c>
      <c r="M35" s="104" t="str">
        <f t="shared" ca="1" si="22"/>
        <v>=SUMPRODUCT(L32:L34,L10:L12)/L13</v>
      </c>
      <c r="Q35" s="67" t="str">
        <f t="shared" ca="1" si="3"/>
        <v/>
      </c>
      <c r="R35" s="18"/>
      <c r="S35" s="18"/>
      <c r="T35" s="18"/>
    </row>
    <row r="36" spans="1:20" s="88" customFormat="1" x14ac:dyDescent="0.45">
      <c r="A36" s="29"/>
      <c r="B36" s="18"/>
      <c r="C36" s="28"/>
      <c r="D36" s="28"/>
      <c r="M36" s="104" t="str">
        <f t="shared" ca="1" si="22"/>
        <v/>
      </c>
      <c r="R36" s="18"/>
      <c r="S36" s="18"/>
      <c r="T36" s="18"/>
    </row>
    <row r="37" spans="1:20" s="67" customFormat="1" x14ac:dyDescent="0.45">
      <c r="A37" s="29"/>
      <c r="B37" s="18" t="s">
        <v>158</v>
      </c>
      <c r="C37" s="18"/>
      <c r="D37" s="77"/>
      <c r="E37" s="77"/>
      <c r="F37" s="77">
        <f t="shared" ref="F37:L37" si="25">F35/E35-1</f>
        <v>-1.376515625096808E-2</v>
      </c>
      <c r="G37" s="77">
        <f t="shared" si="25"/>
        <v>-0.10036028701095456</v>
      </c>
      <c r="H37" s="77">
        <f t="shared" si="25"/>
        <v>-6.9179287724604799E-2</v>
      </c>
      <c r="I37" s="77">
        <f t="shared" si="25"/>
        <v>-6.0918597447656264E-2</v>
      </c>
      <c r="J37" s="77">
        <f t="shared" si="25"/>
        <v>-3.6906146386313621E-2</v>
      </c>
      <c r="K37" s="77">
        <f t="shared" si="25"/>
        <v>-4.1332493970697604E-2</v>
      </c>
      <c r="L37" s="77">
        <f t="shared" si="25"/>
        <v>-1.8879780895549647E-2</v>
      </c>
      <c r="M37" s="104" t="str">
        <f t="shared" ca="1" si="22"/>
        <v>=L35/K35-1</v>
      </c>
      <c r="N37" s="77"/>
      <c r="O37" s="77"/>
      <c r="P37" s="77"/>
      <c r="Q37" s="67" t="str">
        <f ca="1">IFERROR(_xlfn.FORMULATEXT(P37),"")</f>
        <v/>
      </c>
      <c r="R37" s="18"/>
      <c r="S37" s="18"/>
      <c r="T37" s="18"/>
    </row>
    <row r="38" spans="1:20" x14ac:dyDescent="0.4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4" t="str">
        <f t="shared" ca="1" si="22"/>
        <v/>
      </c>
      <c r="N38" s="18"/>
      <c r="O38" s="18"/>
      <c r="P38" s="18"/>
      <c r="Q38" s="67" t="str">
        <f t="shared" ca="1" si="3"/>
        <v/>
      </c>
      <c r="R38" s="18"/>
      <c r="S38" s="18"/>
      <c r="T38" s="18"/>
    </row>
    <row r="39" spans="1:20" x14ac:dyDescent="0.45">
      <c r="A39" s="29" t="s">
        <v>137</v>
      </c>
      <c r="B39" s="15"/>
      <c r="C39" s="2"/>
      <c r="D39" s="2"/>
      <c r="E39" s="2"/>
      <c r="F39" s="2"/>
      <c r="G39" s="2"/>
      <c r="H39" s="2"/>
      <c r="I39" s="2"/>
      <c r="J39" s="2"/>
      <c r="K39" s="2"/>
      <c r="L39" s="15"/>
      <c r="M39" s="104" t="str">
        <f t="shared" ca="1" si="22"/>
        <v/>
      </c>
      <c r="N39" s="15"/>
      <c r="O39" s="15"/>
      <c r="P39" s="15"/>
      <c r="Q39" s="67" t="str">
        <f t="shared" ca="1" si="3"/>
        <v/>
      </c>
    </row>
    <row r="40" spans="1:20" x14ac:dyDescent="0.45">
      <c r="B40" s="18" t="s">
        <v>59</v>
      </c>
      <c r="C40" s="18"/>
      <c r="D40" s="18"/>
      <c r="E40" s="74">
        <f t="shared" ref="E40:K41" si="26">E45/D45-1</f>
        <v>-2.967735537077032E-2</v>
      </c>
      <c r="F40" s="74">
        <f t="shared" si="26"/>
        <v>-0.12566964246379098</v>
      </c>
      <c r="G40" s="74">
        <f t="shared" si="26"/>
        <v>3.1062959582326632E-2</v>
      </c>
      <c r="H40" s="74">
        <f t="shared" si="26"/>
        <v>-0.16233132357163338</v>
      </c>
      <c r="I40" s="74">
        <f t="shared" si="26"/>
        <v>-0.16751629144327296</v>
      </c>
      <c r="J40" s="74">
        <f t="shared" si="26"/>
        <v>-8.8181837931479046E-2</v>
      </c>
      <c r="K40" s="74">
        <f t="shared" si="26"/>
        <v>6.9022802072751022E-2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67" t="str">
        <f ca="1">IFERROR(_xlfn.FORMULATEXT(P40),"")</f>
        <v/>
      </c>
      <c r="R40" s="18"/>
      <c r="S40" s="18"/>
      <c r="T40" s="18"/>
    </row>
    <row r="41" spans="1:20" x14ac:dyDescent="0.45">
      <c r="B41" s="18" t="s">
        <v>60</v>
      </c>
      <c r="C41" s="18"/>
      <c r="D41" s="18"/>
      <c r="E41" s="74">
        <f t="shared" si="26"/>
        <v>0.15503875968992253</v>
      </c>
      <c r="F41" s="74">
        <f t="shared" si="26"/>
        <v>9.3959731543624248E-2</v>
      </c>
      <c r="G41" s="74">
        <f t="shared" si="26"/>
        <v>-0.12883435582822089</v>
      </c>
      <c r="H41" s="74">
        <f t="shared" si="26"/>
        <v>-7.0422535211267623E-2</v>
      </c>
      <c r="I41" s="74">
        <f t="shared" si="26"/>
        <v>-3.0303030303030276E-2</v>
      </c>
      <c r="J41" s="74">
        <f t="shared" si="26"/>
        <v>-0.25</v>
      </c>
      <c r="K41" s="74">
        <f t="shared" si="26"/>
        <v>-0.22916666666666663</v>
      </c>
      <c r="L41" s="76">
        <v>-0.1</v>
      </c>
      <c r="M41" s="76">
        <v>-0.1</v>
      </c>
      <c r="N41" s="76">
        <v>-0.1</v>
      </c>
      <c r="O41" s="76">
        <v>-0.1</v>
      </c>
      <c r="P41" s="76">
        <v>-0.1</v>
      </c>
      <c r="Q41" s="67" t="str">
        <f ca="1">IFERROR(_xlfn.FORMULATEXT(P41),"")</f>
        <v/>
      </c>
      <c r="R41" s="18"/>
      <c r="S41" s="18"/>
      <c r="T41" s="18"/>
    </row>
    <row r="42" spans="1:20" x14ac:dyDescent="0.45">
      <c r="B42" s="18" t="s">
        <v>61</v>
      </c>
      <c r="C42" s="18"/>
      <c r="D42" s="18"/>
      <c r="E42" s="74"/>
      <c r="F42" s="74"/>
      <c r="G42" s="74">
        <f>G51/F51-1</f>
        <v>7.3178651838290421E-2</v>
      </c>
      <c r="H42" s="74">
        <f>H51/G51-1</f>
        <v>-2.3521829078291367E-2</v>
      </c>
      <c r="I42" s="74">
        <f>I51/H51-1</f>
        <v>0.10176525217140675</v>
      </c>
      <c r="J42" s="74">
        <f>J51/I51-1</f>
        <v>3.1281036652064387E-5</v>
      </c>
      <c r="K42" s="74">
        <f>K51/J51-1</f>
        <v>0.46962091920919713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67" t="str">
        <f ca="1">IFERROR(_xlfn.FORMULATEXT(P42),"")</f>
        <v/>
      </c>
      <c r="R42" s="18"/>
      <c r="S42" s="18"/>
      <c r="T42" s="18"/>
    </row>
    <row r="43" spans="1:20" x14ac:dyDescent="0.4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45">
      <c r="B44" s="15" t="s">
        <v>55</v>
      </c>
      <c r="C44" s="67"/>
      <c r="D44" s="67">
        <f t="shared" ref="D44:K44" si="27">D22*D32*12/1000</f>
        <v>259.85663999999997</v>
      </c>
      <c r="E44" s="67">
        <f t="shared" si="27"/>
        <v>227.41055999999998</v>
      </c>
      <c r="F44" s="67">
        <f t="shared" si="27"/>
        <v>199.23084</v>
      </c>
      <c r="G44" s="67">
        <f t="shared" si="27"/>
        <v>166.29900000000004</v>
      </c>
      <c r="H44" s="15">
        <f t="shared" si="27"/>
        <v>149.87279999999998</v>
      </c>
      <c r="I44" s="15">
        <f t="shared" si="27"/>
        <v>135.84383999999997</v>
      </c>
      <c r="J44" s="15">
        <f t="shared" si="27"/>
        <v>124.91033999999996</v>
      </c>
      <c r="K44" s="15">
        <f t="shared" si="27"/>
        <v>121.72578</v>
      </c>
      <c r="L44" s="15">
        <f>L32*12*L22/1000</f>
        <v>120.15216058951965</v>
      </c>
      <c r="M44" s="104" t="str">
        <f t="shared" ref="M44:M55" ca="1" si="28">IFERROR(_xlfn.FORMULATEXT(L44),"")</f>
        <v>=L32*12*L22/1000</v>
      </c>
      <c r="N44" s="15"/>
      <c r="O44" s="15"/>
      <c r="P44" s="15"/>
      <c r="Q44" s="67" t="str">
        <f t="shared" ca="1" si="3"/>
        <v/>
      </c>
    </row>
    <row r="45" spans="1:20" x14ac:dyDescent="0.45">
      <c r="B45" s="15" t="s">
        <v>51</v>
      </c>
      <c r="C45" s="67"/>
      <c r="D45" s="67">
        <f t="shared" ref="D45:K45" si="29">D47-D46-D44</f>
        <v>187.14336000000003</v>
      </c>
      <c r="E45" s="67">
        <f t="shared" si="29"/>
        <v>181.58944000000002</v>
      </c>
      <c r="F45" s="67">
        <f t="shared" si="29"/>
        <v>158.76916</v>
      </c>
      <c r="G45" s="67">
        <f t="shared" si="29"/>
        <v>163.70099999999996</v>
      </c>
      <c r="H45" s="15">
        <f t="shared" si="29"/>
        <v>137.12720000000002</v>
      </c>
      <c r="I45" s="15">
        <f t="shared" si="29"/>
        <v>114.15616000000003</v>
      </c>
      <c r="J45" s="15">
        <f t="shared" si="29"/>
        <v>104.08966000000004</v>
      </c>
      <c r="K45" s="15">
        <f t="shared" si="29"/>
        <v>111.27422</v>
      </c>
      <c r="L45" s="15">
        <f>(1+L40)*K45</f>
        <v>111.27422</v>
      </c>
      <c r="M45" s="104" t="str">
        <f t="shared" ca="1" si="28"/>
        <v>=(1+L40)*K45</v>
      </c>
      <c r="N45" s="15"/>
      <c r="O45" s="15"/>
      <c r="P45" s="15"/>
      <c r="Q45" s="67" t="str">
        <f t="shared" ca="1" si="3"/>
        <v/>
      </c>
    </row>
    <row r="46" spans="1:20" x14ac:dyDescent="0.45">
      <c r="B46" s="15" t="s">
        <v>159</v>
      </c>
      <c r="C46" s="23">
        <v>127</v>
      </c>
      <c r="D46" s="23">
        <v>129</v>
      </c>
      <c r="E46" s="23">
        <v>149</v>
      </c>
      <c r="F46" s="23">
        <v>163</v>
      </c>
      <c r="G46" s="23">
        <v>142</v>
      </c>
      <c r="H46" s="23">
        <v>132</v>
      </c>
      <c r="I46" s="23">
        <v>128</v>
      </c>
      <c r="J46" s="23">
        <v>96</v>
      </c>
      <c r="K46" s="23">
        <v>74</v>
      </c>
      <c r="L46" s="104">
        <f>(1+L41)*K46</f>
        <v>66.600000000000009</v>
      </c>
      <c r="M46" s="104" t="str">
        <f t="shared" ca="1" si="28"/>
        <v>=(1+L41)*K46</v>
      </c>
      <c r="N46" s="15"/>
      <c r="O46" s="15"/>
      <c r="P46" s="15"/>
      <c r="Q46" s="67" t="str">
        <f t="shared" ca="1" si="3"/>
        <v/>
      </c>
    </row>
    <row r="47" spans="1:20" x14ac:dyDescent="0.45">
      <c r="B47" s="27" t="s">
        <v>56</v>
      </c>
      <c r="C47" s="23">
        <v>535</v>
      </c>
      <c r="D47" s="23">
        <v>576</v>
      </c>
      <c r="E47" s="23">
        <v>558</v>
      </c>
      <c r="F47" s="23">
        <v>521</v>
      </c>
      <c r="G47" s="1">
        <v>472</v>
      </c>
      <c r="H47" s="1">
        <v>419</v>
      </c>
      <c r="I47" s="1">
        <v>378</v>
      </c>
      <c r="J47" s="1">
        <v>325</v>
      </c>
      <c r="K47" s="1">
        <v>307</v>
      </c>
      <c r="L47" s="18">
        <f>SUM(L44:L46)</f>
        <v>298.02638058951965</v>
      </c>
      <c r="M47" s="104" t="str">
        <f t="shared" ca="1" si="28"/>
        <v>=SUM(L44:L46)</v>
      </c>
      <c r="N47" s="18"/>
      <c r="O47" s="18"/>
      <c r="P47" s="18"/>
      <c r="Q47" s="67" t="str">
        <f t="shared" ca="1" si="3"/>
        <v/>
      </c>
      <c r="R47" s="18"/>
      <c r="S47" s="18"/>
      <c r="T47" s="18"/>
    </row>
    <row r="48" spans="1:20" x14ac:dyDescent="0.45">
      <c r="B48" s="27"/>
      <c r="C48" s="72"/>
      <c r="D48" s="72"/>
      <c r="E48" s="72"/>
      <c r="F48" s="72"/>
      <c r="G48" s="18"/>
      <c r="H48" s="18"/>
      <c r="I48" s="18"/>
      <c r="J48" s="18"/>
      <c r="K48" s="18"/>
      <c r="L48" s="18"/>
      <c r="M48" s="104" t="str">
        <f t="shared" ca="1" si="28"/>
        <v/>
      </c>
      <c r="N48" s="18"/>
      <c r="O48" s="18"/>
      <c r="P48" s="18"/>
      <c r="Q48" s="67" t="str">
        <f t="shared" ca="1" si="3"/>
        <v/>
      </c>
      <c r="R48" s="18"/>
      <c r="S48" s="18"/>
      <c r="T48" s="18"/>
    </row>
    <row r="49" spans="1:20" x14ac:dyDescent="0.45">
      <c r="B49" s="18" t="s">
        <v>163</v>
      </c>
      <c r="C49" s="67"/>
      <c r="D49" s="67"/>
      <c r="E49" s="67"/>
      <c r="F49" s="67">
        <f t="shared" ref="F49:K49" si="30">F23*F33*12/1000</f>
        <v>159.95129999999997</v>
      </c>
      <c r="G49" s="67">
        <f t="shared" si="30"/>
        <v>147.98376000000002</v>
      </c>
      <c r="H49" s="67">
        <f t="shared" si="30"/>
        <v>153.21683999999996</v>
      </c>
      <c r="I49" s="67">
        <f t="shared" si="30"/>
        <v>168.16919999999999</v>
      </c>
      <c r="J49" s="67">
        <f t="shared" si="30"/>
        <v>190.49970000000002</v>
      </c>
      <c r="K49" s="67">
        <f t="shared" si="30"/>
        <v>204.2397</v>
      </c>
      <c r="L49" s="67">
        <f>L33*12*L23/1000</f>
        <v>221.07496320000001</v>
      </c>
      <c r="M49" s="104" t="str">
        <f t="shared" ca="1" si="28"/>
        <v>=L33*12*L23/1000</v>
      </c>
      <c r="N49" s="67"/>
      <c r="O49" s="67"/>
      <c r="P49" s="67"/>
      <c r="Q49" s="67" t="str">
        <f t="shared" ca="1" si="3"/>
        <v/>
      </c>
      <c r="R49" s="18"/>
      <c r="S49" s="18"/>
      <c r="T49" s="18"/>
    </row>
    <row r="50" spans="1:20" s="67" customFormat="1" x14ac:dyDescent="0.45">
      <c r="A50" s="29"/>
      <c r="B50" s="18" t="s">
        <v>164</v>
      </c>
      <c r="F50" s="67">
        <f t="shared" ref="F50:K50" si="31">F24*F34*12/1000</f>
        <v>28.543289999999992</v>
      </c>
      <c r="G50" s="67">
        <f t="shared" si="31"/>
        <v>35.376165</v>
      </c>
      <c r="H50" s="67">
        <f t="shared" si="31"/>
        <v>44.534490000000005</v>
      </c>
      <c r="I50" s="67">
        <f t="shared" si="31"/>
        <v>58.928580000000004</v>
      </c>
      <c r="J50" s="67">
        <f t="shared" si="31"/>
        <v>71.597520000000003</v>
      </c>
      <c r="K50" s="67">
        <f t="shared" si="31"/>
        <v>78.45</v>
      </c>
      <c r="L50" s="67">
        <f>L34*12*L24/1000</f>
        <v>90.074250000000006</v>
      </c>
      <c r="M50" s="104" t="str">
        <f t="shared" ca="1" si="28"/>
        <v>=L34*12*L24/1000</v>
      </c>
      <c r="R50" s="18"/>
      <c r="S50" s="18"/>
      <c r="T50" s="18"/>
    </row>
    <row r="51" spans="1:20" x14ac:dyDescent="0.45">
      <c r="B51" s="18" t="s">
        <v>57</v>
      </c>
      <c r="C51" s="67"/>
      <c r="D51" s="67"/>
      <c r="E51" s="67"/>
      <c r="F51" s="67">
        <f>F52-F49-F50</f>
        <v>15.505410000000033</v>
      </c>
      <c r="G51" s="67">
        <f t="shared" ref="G51:K51" si="32">G52-G49-G50</f>
        <v>16.640074999999982</v>
      </c>
      <c r="H51" s="67">
        <f t="shared" si="32"/>
        <v>16.248670000000033</v>
      </c>
      <c r="I51" s="67">
        <f t="shared" si="32"/>
        <v>17.902220000000007</v>
      </c>
      <c r="J51" s="67">
        <f t="shared" si="32"/>
        <v>17.902779999999979</v>
      </c>
      <c r="K51" s="67">
        <f t="shared" si="32"/>
        <v>26.310299999999998</v>
      </c>
      <c r="L51" s="18">
        <f>(1+L42)*K51</f>
        <v>26.310299999999998</v>
      </c>
      <c r="M51" s="104" t="str">
        <f t="shared" ca="1" si="28"/>
        <v>=(1+L42)*K51</v>
      </c>
      <c r="N51" s="18"/>
      <c r="O51" s="18"/>
      <c r="P51" s="18"/>
      <c r="Q51" s="67" t="str">
        <f t="shared" ca="1" si="3"/>
        <v/>
      </c>
      <c r="R51" s="18"/>
      <c r="S51" s="18"/>
      <c r="T51" s="18"/>
    </row>
    <row r="52" spans="1:20" x14ac:dyDescent="0.45">
      <c r="B52" s="27" t="s">
        <v>58</v>
      </c>
      <c r="C52" s="23">
        <v>176</v>
      </c>
      <c r="D52" s="23">
        <v>183</v>
      </c>
      <c r="E52" s="23">
        <v>198</v>
      </c>
      <c r="F52" s="23">
        <v>204</v>
      </c>
      <c r="G52" s="1">
        <v>200</v>
      </c>
      <c r="H52" s="1">
        <v>214</v>
      </c>
      <c r="I52" s="1">
        <v>245</v>
      </c>
      <c r="J52" s="1">
        <v>280</v>
      </c>
      <c r="K52" s="1">
        <v>309</v>
      </c>
      <c r="L52" s="18">
        <f>SUM(L49:L51)</f>
        <v>337.4595132</v>
      </c>
      <c r="M52" s="104" t="str">
        <f t="shared" ca="1" si="28"/>
        <v>=SUM(L49:L51)</v>
      </c>
      <c r="N52" s="18"/>
      <c r="O52" s="18"/>
      <c r="P52" s="18"/>
      <c r="Q52" s="67" t="str">
        <f t="shared" ca="1" si="3"/>
        <v/>
      </c>
      <c r="R52" s="18"/>
      <c r="S52" s="18"/>
      <c r="T52" s="18"/>
    </row>
    <row r="53" spans="1:20" x14ac:dyDescent="0.45">
      <c r="B53" s="27"/>
      <c r="C53" s="72"/>
      <c r="D53" s="72"/>
      <c r="E53" s="72"/>
      <c r="F53" s="72"/>
      <c r="G53" s="72"/>
      <c r="H53" s="72"/>
      <c r="I53" s="72"/>
      <c r="J53" s="72"/>
      <c r="K53" s="72"/>
      <c r="L53" s="75"/>
      <c r="M53" s="104" t="str">
        <f t="shared" ca="1" si="28"/>
        <v/>
      </c>
      <c r="N53" s="75"/>
      <c r="O53" s="75"/>
      <c r="P53" s="75"/>
      <c r="Q53" s="67" t="str">
        <f t="shared" ca="1" si="3"/>
        <v/>
      </c>
      <c r="R53" s="18"/>
      <c r="S53" s="18"/>
      <c r="T53" s="18"/>
    </row>
    <row r="54" spans="1:20" s="25" customFormat="1" x14ac:dyDescent="0.45">
      <c r="A54" s="29"/>
      <c r="B54" s="18" t="s">
        <v>165</v>
      </c>
      <c r="C54" s="18">
        <f t="shared" ref="C54:K54" si="33">C47+C52</f>
        <v>711</v>
      </c>
      <c r="D54" s="18">
        <f t="shared" si="33"/>
        <v>759</v>
      </c>
      <c r="E54" s="18">
        <f t="shared" si="33"/>
        <v>756</v>
      </c>
      <c r="F54" s="18">
        <f t="shared" si="33"/>
        <v>725</v>
      </c>
      <c r="G54" s="18">
        <f t="shared" si="33"/>
        <v>672</v>
      </c>
      <c r="H54" s="18">
        <f t="shared" si="33"/>
        <v>633</v>
      </c>
      <c r="I54" s="18">
        <f t="shared" si="33"/>
        <v>623</v>
      </c>
      <c r="J54" s="18">
        <f t="shared" si="33"/>
        <v>605</v>
      </c>
      <c r="K54" s="18">
        <f t="shared" si="33"/>
        <v>616</v>
      </c>
      <c r="L54" s="18">
        <f>SUM(L52,L47)</f>
        <v>635.48589378951965</v>
      </c>
      <c r="M54" s="104" t="str">
        <f t="shared" ca="1" si="28"/>
        <v>=SUM(L52,L47)</v>
      </c>
      <c r="N54" s="18"/>
      <c r="O54" s="18"/>
      <c r="P54" s="18"/>
      <c r="Q54" s="67" t="str">
        <f t="shared" ca="1" si="3"/>
        <v/>
      </c>
      <c r="R54" s="18"/>
      <c r="S54" s="18"/>
      <c r="T54" s="18"/>
    </row>
    <row r="55" spans="1:20" x14ac:dyDescent="0.45">
      <c r="B55" s="18" t="s">
        <v>166</v>
      </c>
      <c r="C55" s="18"/>
      <c r="D55" s="74">
        <f>D54/C54-1</f>
        <v>6.7510548523206815E-2</v>
      </c>
      <c r="E55" s="74">
        <f t="shared" ref="E55:K55" si="34">E54/D54-1</f>
        <v>-3.9525691699604515E-3</v>
      </c>
      <c r="F55" s="74">
        <f t="shared" si="34"/>
        <v>-4.1005291005291045E-2</v>
      </c>
      <c r="G55" s="74">
        <f t="shared" si="34"/>
        <v>-7.3103448275862015E-2</v>
      </c>
      <c r="H55" s="74">
        <f t="shared" si="34"/>
        <v>-5.8035714285714302E-2</v>
      </c>
      <c r="I55" s="74">
        <f t="shared" si="34"/>
        <v>-1.5797788309636629E-2</v>
      </c>
      <c r="J55" s="74">
        <f t="shared" si="34"/>
        <v>-2.8892455858748001E-2</v>
      </c>
      <c r="K55" s="74">
        <f t="shared" si="34"/>
        <v>1.8181818181818077E-2</v>
      </c>
      <c r="L55" s="74">
        <f>L54/K54-1</f>
        <v>3.1632944463505952E-2</v>
      </c>
      <c r="M55" s="104" t="str">
        <f t="shared" ca="1" si="28"/>
        <v>=L54/K54-1</v>
      </c>
      <c r="N55" s="74"/>
      <c r="O55" s="74"/>
      <c r="P55" s="74"/>
      <c r="Q55" s="67" t="str">
        <f t="shared" ca="1" si="3"/>
        <v/>
      </c>
      <c r="R55" s="18"/>
      <c r="S55" s="18"/>
      <c r="T55" s="18"/>
    </row>
    <row r="56" spans="1:20" x14ac:dyDescent="0.4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67" t="str">
        <f t="shared" ca="1" si="3"/>
        <v/>
      </c>
      <c r="R56" s="18"/>
      <c r="S56" s="18"/>
      <c r="T56" s="18"/>
    </row>
    <row r="57" spans="1:20" x14ac:dyDescent="0.45">
      <c r="A57" s="29" t="s">
        <v>115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45">
      <c r="B58" s="8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4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4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4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4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x14ac:dyDescent="0.4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4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2:20" x14ac:dyDescent="0.4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2:20" x14ac:dyDescent="0.4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2:20" x14ac:dyDescent="0.4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2:20" x14ac:dyDescent="0.4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2:20" x14ac:dyDescent="0.4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2:20" x14ac:dyDescent="0.4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zoomScale="150" zoomScaleNormal="150" workbookViewId="0">
      <pane xSplit="2" ySplit="3" topLeftCell="K26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28" sqref="L28"/>
    </sheetView>
  </sheetViews>
  <sheetFormatPr defaultRowHeight="15.75" x14ac:dyDescent="0.45"/>
  <cols>
    <col min="1" max="1" width="1.59765625" style="29" customWidth="1"/>
    <col min="2" max="2" width="35.9296875" customWidth="1"/>
    <col min="3" max="7" width="9.1328125" customWidth="1"/>
    <col min="8" max="10" width="9.06640625" customWidth="1"/>
  </cols>
  <sheetData>
    <row r="1" spans="1:17" s="18" customFormat="1" ht="14.25" x14ac:dyDescent="0.45">
      <c r="A1" s="103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IF(C3&lt;=Info!$N$6, "Hist.", "Proj.")</f>
        <v>Hist.</v>
      </c>
      <c r="D2" s="12" t="str">
        <f>IF(D3&lt;=Info!$N$6, "Hist.", "Proj.")</f>
        <v>Hist.</v>
      </c>
      <c r="E2" s="12" t="str">
        <f>IF(E3&lt;=Info!$N$6, "Hist.", "Proj.")</f>
        <v>Hist.</v>
      </c>
      <c r="F2" s="12" t="str">
        <f>IF(F3&lt;=Info!$N$6, "Hist.", "Proj.")</f>
        <v>Hist.</v>
      </c>
      <c r="G2" s="12" t="str">
        <f>IF(G3&lt;=Info!$N$6, "Hist.", "Proj.")</f>
        <v>Hist.</v>
      </c>
      <c r="H2" s="12" t="str">
        <f>IF(H3&lt;=Info!$N$6, "Hist.", "Proj.")</f>
        <v>Hist.</v>
      </c>
      <c r="I2" s="12" t="str">
        <f>IF(I3&lt;=Info!$N$6, "Hist.", "Proj.")</f>
        <v>Hist.</v>
      </c>
      <c r="J2" s="12" t="str">
        <f>IF(J3&lt;=Info!$N$6, "Hist.", "Proj.")</f>
        <v>Hist.</v>
      </c>
      <c r="K2" s="12" t="str">
        <f>IF(K3&lt;=Info!$N$6, "Hist.", "Proj.")</f>
        <v>Hist.</v>
      </c>
      <c r="L2" s="12" t="str">
        <f>IF(L3&lt;=Info!$N$6, "Hist.", "Proj.")</f>
        <v>Proj.</v>
      </c>
      <c r="M2" s="12" t="str">
        <f>IF(M3&lt;=Info!$N$6, "Hist.", "Proj.")</f>
        <v>Proj.</v>
      </c>
      <c r="N2" s="12" t="str">
        <f>IF(N3&lt;=Info!$N$6, "Hist.", "Proj.")</f>
        <v>Proj.</v>
      </c>
      <c r="O2" s="12" t="str">
        <f>IF(O3&lt;=Info!$N$6, "Hist.", "Proj.")</f>
        <v>Proj.</v>
      </c>
      <c r="P2" s="12" t="str">
        <f>IF(P3&lt;=Info!$N$6, "Hist.", "Proj.")</f>
        <v>Proj.</v>
      </c>
    </row>
    <row r="3" spans="1:17" s="18" customFormat="1" ht="14.25" x14ac:dyDescent="0.45">
      <c r="A3" s="99" t="s">
        <v>6</v>
      </c>
      <c r="B3" s="10"/>
      <c r="C3" s="69">
        <v>40908</v>
      </c>
      <c r="D3" s="69">
        <f t="shared" ref="D3:P3" si="0">EOMONTH(C3,12)</f>
        <v>41274</v>
      </c>
      <c r="E3" s="69">
        <f t="shared" si="0"/>
        <v>41639</v>
      </c>
      <c r="F3" s="69">
        <f t="shared" si="0"/>
        <v>42004</v>
      </c>
      <c r="G3" s="69">
        <f t="shared" si="0"/>
        <v>42369</v>
      </c>
      <c r="H3" s="69">
        <f t="shared" si="0"/>
        <v>42735</v>
      </c>
      <c r="I3" s="69">
        <f t="shared" si="0"/>
        <v>43100</v>
      </c>
      <c r="J3" s="69">
        <f t="shared" si="0"/>
        <v>43465</v>
      </c>
      <c r="K3" s="69">
        <f t="shared" si="0"/>
        <v>43830</v>
      </c>
      <c r="L3" s="69">
        <f t="shared" si="0"/>
        <v>44196</v>
      </c>
      <c r="M3" s="69">
        <f t="shared" si="0"/>
        <v>44561</v>
      </c>
      <c r="N3" s="69">
        <f t="shared" si="0"/>
        <v>44926</v>
      </c>
      <c r="O3" s="69">
        <f t="shared" si="0"/>
        <v>45291</v>
      </c>
      <c r="P3" s="69">
        <f t="shared" si="0"/>
        <v>45657</v>
      </c>
    </row>
    <row r="5" spans="1:17" s="15" customFormat="1" x14ac:dyDescent="0.45">
      <c r="A5" s="29" t="s">
        <v>62</v>
      </c>
    </row>
    <row r="6" spans="1:17" x14ac:dyDescent="0.45">
      <c r="B6" s="15" t="s">
        <v>63</v>
      </c>
      <c r="C6" s="7">
        <f t="shared" ref="C6:K6" si="1">C30/(C$28-C$29)</f>
        <v>0.77613636363636362</v>
      </c>
      <c r="D6" s="7">
        <f t="shared" si="1"/>
        <v>0.76668475311991313</v>
      </c>
      <c r="E6" s="7">
        <f t="shared" si="1"/>
        <v>0.75952914798206284</v>
      </c>
      <c r="F6" s="7">
        <f t="shared" si="1"/>
        <v>0.79530403371462977</v>
      </c>
      <c r="G6" s="7">
        <f t="shared" si="1"/>
        <v>0.79034307496823375</v>
      </c>
      <c r="H6" s="7">
        <f t="shared" si="1"/>
        <v>0.78902116402116407</v>
      </c>
      <c r="I6" s="7">
        <f t="shared" si="1"/>
        <v>0.81156462585034017</v>
      </c>
      <c r="J6" s="7">
        <f t="shared" si="1"/>
        <v>0.81212524983344436</v>
      </c>
      <c r="K6" s="7">
        <f t="shared" si="1"/>
        <v>0.80722114764667952</v>
      </c>
      <c r="L6" s="24">
        <v>0.81</v>
      </c>
      <c r="M6" s="24">
        <v>0.81</v>
      </c>
      <c r="N6" s="24">
        <v>0.81</v>
      </c>
      <c r="O6" s="24">
        <v>0.81</v>
      </c>
      <c r="P6" s="24">
        <v>0.81</v>
      </c>
      <c r="Q6" t="str">
        <f ca="1">IFERROR(_xlfn.FORMULATEXT(P6),"")</f>
        <v/>
      </c>
    </row>
    <row r="7" spans="1:17" x14ac:dyDescent="0.45">
      <c r="B7" s="15" t="s">
        <v>176</v>
      </c>
      <c r="C7" s="15"/>
      <c r="D7" s="15"/>
      <c r="E7" s="15"/>
      <c r="F7" s="5"/>
      <c r="G7" s="7">
        <f>G20/F20-1</f>
        <v>4.9550652778692861E-2</v>
      </c>
      <c r="H7" s="7">
        <f>H20/G20-1</f>
        <v>-1.3887523630183085E-2</v>
      </c>
      <c r="I7" s="7">
        <f>I20/H20-1</f>
        <v>-1.6549388435765588E-2</v>
      </c>
      <c r="J7" s="7">
        <f>J20/I20-1</f>
        <v>3.3472813993867812E-2</v>
      </c>
      <c r="K7" s="7">
        <f>K20/J20-1</f>
        <v>-6.7959184374261961E-2</v>
      </c>
      <c r="L7" s="24">
        <v>0.01</v>
      </c>
      <c r="M7" s="24">
        <v>0.01</v>
      </c>
      <c r="N7" s="24">
        <v>0.01</v>
      </c>
      <c r="O7" s="24">
        <v>0.01</v>
      </c>
      <c r="P7" s="24">
        <v>0.01</v>
      </c>
      <c r="Q7" s="67" t="str">
        <f t="shared" ref="Q7:Q58" ca="1" si="2">IFERROR(_xlfn.FORMULATEXT(P7),"")</f>
        <v/>
      </c>
    </row>
    <row r="8" spans="1:17" x14ac:dyDescent="0.45">
      <c r="B8" s="15" t="s">
        <v>177</v>
      </c>
      <c r="C8" s="15"/>
      <c r="D8" s="15"/>
      <c r="E8" s="15"/>
      <c r="F8" s="15"/>
      <c r="G8" s="7">
        <f>G22/F22-1</f>
        <v>5.7673598136811499E-3</v>
      </c>
      <c r="H8" s="7">
        <f>H22/G22-1</f>
        <v>9.3362556383576267E-2</v>
      </c>
      <c r="I8" s="7">
        <f>I22/H22-1</f>
        <v>-2.4420746802778059E-2</v>
      </c>
      <c r="J8" s="7">
        <f>J22/I22-1</f>
        <v>1.7907502775513118E-2</v>
      </c>
      <c r="K8" s="7">
        <f>K22/J22-1</f>
        <v>-0.1071372262508643</v>
      </c>
      <c r="L8" s="24">
        <v>0.02</v>
      </c>
      <c r="M8" s="24">
        <v>0.02</v>
      </c>
      <c r="N8" s="24">
        <v>0.02</v>
      </c>
      <c r="O8" s="24">
        <v>0.02</v>
      </c>
      <c r="P8" s="24">
        <v>0.02</v>
      </c>
      <c r="Q8" s="67" t="str">
        <f t="shared" ca="1" si="2"/>
        <v/>
      </c>
    </row>
    <row r="9" spans="1:17" x14ac:dyDescent="0.45">
      <c r="B9" s="15" t="s">
        <v>64</v>
      </c>
      <c r="C9" s="15"/>
      <c r="D9" s="15"/>
      <c r="E9" s="15"/>
      <c r="F9" s="7">
        <f t="shared" ref="F9:K9" si="3">-F32/F28</f>
        <v>0.21885349397590362</v>
      </c>
      <c r="G9" s="7">
        <f t="shared" si="3"/>
        <v>0.21257388663967611</v>
      </c>
      <c r="H9" s="7">
        <f t="shared" si="3"/>
        <v>0.19644016868740116</v>
      </c>
      <c r="I9" s="7">
        <f t="shared" si="3"/>
        <v>0.2084120819848975</v>
      </c>
      <c r="J9" s="7">
        <f t="shared" si="3"/>
        <v>0.21488272921108742</v>
      </c>
      <c r="K9" s="7">
        <f t="shared" si="3"/>
        <v>0.24266507684154742</v>
      </c>
      <c r="L9" s="24">
        <v>0.21</v>
      </c>
      <c r="M9" s="24">
        <v>0.21</v>
      </c>
      <c r="N9" s="24">
        <v>0.21</v>
      </c>
      <c r="O9" s="24">
        <v>0.21</v>
      </c>
      <c r="P9" s="24">
        <v>0.21</v>
      </c>
      <c r="Q9" s="67" t="str">
        <f t="shared" ca="1" si="2"/>
        <v/>
      </c>
    </row>
    <row r="10" spans="1:17" s="15" customFormat="1" x14ac:dyDescent="0.45">
      <c r="A10" s="29"/>
      <c r="B10" s="15" t="s">
        <v>65</v>
      </c>
      <c r="C10" s="67">
        <f t="shared" ref="C10:E10" si="4">C34</f>
        <v>6</v>
      </c>
      <c r="D10" s="67">
        <f t="shared" si="4"/>
        <v>5</v>
      </c>
      <c r="E10" s="67">
        <f t="shared" si="4"/>
        <v>-7</v>
      </c>
      <c r="F10" s="15">
        <f t="shared" ref="F10:K10" si="5">F34</f>
        <v>1</v>
      </c>
      <c r="G10" s="15">
        <f t="shared" si="5"/>
        <v>-11</v>
      </c>
      <c r="H10" s="15">
        <f t="shared" si="5"/>
        <v>-12</v>
      </c>
      <c r="I10" s="15">
        <f t="shared" si="5"/>
        <v>-9</v>
      </c>
      <c r="J10" s="15">
        <f t="shared" si="5"/>
        <v>1</v>
      </c>
      <c r="K10" s="15">
        <f t="shared" si="5"/>
        <v>-80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67" t="str">
        <f t="shared" ca="1" si="2"/>
        <v/>
      </c>
    </row>
    <row r="11" spans="1:17" s="15" customFormat="1" x14ac:dyDescent="0.45">
      <c r="A11" s="29"/>
      <c r="B11" s="15" t="s">
        <v>17</v>
      </c>
      <c r="C11" s="6"/>
      <c r="D11" s="6"/>
      <c r="E11" s="6"/>
      <c r="F11" s="15">
        <f t="shared" ref="F11:K11" si="6">F41</f>
        <v>39.829000000000001</v>
      </c>
      <c r="G11" s="15">
        <f t="shared" si="6"/>
        <v>220.155</v>
      </c>
      <c r="H11" s="15">
        <f t="shared" si="6"/>
        <v>1.321</v>
      </c>
      <c r="I11" s="15">
        <f t="shared" si="6"/>
        <v>1.1619999999999999</v>
      </c>
      <c r="J11" s="15">
        <f t="shared" si="6"/>
        <v>2.2650000000000001</v>
      </c>
      <c r="K11" s="15">
        <f t="shared" si="6"/>
        <v>2.839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67" t="str">
        <f t="shared" ca="1" si="2"/>
        <v/>
      </c>
    </row>
    <row r="12" spans="1:17" s="15" customFormat="1" x14ac:dyDescent="0.45">
      <c r="A12" s="29"/>
      <c r="B12" s="15" t="s">
        <v>18</v>
      </c>
      <c r="F12" s="15">
        <f t="shared" ref="F12:K12" si="7">F42</f>
        <v>0</v>
      </c>
      <c r="G12" s="15">
        <f t="shared" si="7"/>
        <v>0</v>
      </c>
      <c r="H12" s="15">
        <f t="shared" si="7"/>
        <v>0</v>
      </c>
      <c r="I12" s="15">
        <f t="shared" si="7"/>
        <v>419.589</v>
      </c>
      <c r="J12" s="15">
        <f t="shared" si="7"/>
        <v>0</v>
      </c>
      <c r="K12" s="15">
        <f t="shared" si="7"/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67" t="str">
        <f t="shared" ca="1" si="2"/>
        <v/>
      </c>
    </row>
    <row r="13" spans="1:17" s="15" customFormat="1" x14ac:dyDescent="0.45">
      <c r="A13" s="29"/>
      <c r="B13" s="15" t="s">
        <v>276</v>
      </c>
      <c r="C13" s="7"/>
      <c r="D13" s="7"/>
      <c r="E13" s="7"/>
      <c r="F13" s="7">
        <f t="shared" ref="F13:K13" si="8">-F45/F44</f>
        <v>-0.16186140617096606</v>
      </c>
      <c r="G13" s="7">
        <f t="shared" si="8"/>
        <v>-0.24058703235895598</v>
      </c>
      <c r="H13" s="7">
        <f t="shared" si="8"/>
        <v>-3.5642576245411027E-2</v>
      </c>
      <c r="I13" s="7">
        <f t="shared" si="8"/>
        <v>5.2603793860761507E-2</v>
      </c>
      <c r="J13" s="7">
        <f t="shared" si="8"/>
        <v>0.25194734300531202</v>
      </c>
      <c r="K13" s="7">
        <f t="shared" si="8"/>
        <v>0.16511062411815927</v>
      </c>
      <c r="L13" s="24">
        <v>0.19</v>
      </c>
      <c r="M13" s="24">
        <v>0.19</v>
      </c>
      <c r="N13" s="24">
        <v>0.19</v>
      </c>
      <c r="O13" s="24">
        <v>0.19</v>
      </c>
      <c r="P13" s="24">
        <v>0.19</v>
      </c>
      <c r="Q13" s="67" t="str">
        <f t="shared" ca="1" si="2"/>
        <v/>
      </c>
    </row>
    <row r="14" spans="1:17" s="92" customFormat="1" x14ac:dyDescent="0.45">
      <c r="A14" s="29"/>
      <c r="B14" s="92" t="s">
        <v>277</v>
      </c>
      <c r="C14" s="7"/>
      <c r="D14" s="7"/>
      <c r="E14" s="7"/>
      <c r="F14" s="7">
        <v>0.15</v>
      </c>
      <c r="G14" s="7">
        <v>0.15</v>
      </c>
      <c r="H14" s="7">
        <v>0.15</v>
      </c>
      <c r="I14" s="7">
        <v>0.15</v>
      </c>
      <c r="J14" s="7">
        <v>0.15</v>
      </c>
      <c r="K14" s="7">
        <v>0.15</v>
      </c>
      <c r="L14" s="24">
        <v>0.15</v>
      </c>
      <c r="M14" s="24">
        <v>0.15</v>
      </c>
      <c r="N14" s="24">
        <v>0.15</v>
      </c>
      <c r="O14" s="24">
        <v>0.15</v>
      </c>
      <c r="P14" s="24">
        <v>0.15</v>
      </c>
    </row>
    <row r="15" spans="1:17" s="15" customFormat="1" x14ac:dyDescent="0.45">
      <c r="A15" s="29"/>
      <c r="B15" s="15" t="s">
        <v>167</v>
      </c>
      <c r="G15" s="23">
        <v>45</v>
      </c>
      <c r="H15" s="23">
        <v>45</v>
      </c>
      <c r="I15" s="23">
        <v>45</v>
      </c>
      <c r="J15" s="23">
        <v>45</v>
      </c>
      <c r="K15" s="23">
        <v>45</v>
      </c>
      <c r="L15" s="31">
        <f t="shared" ref="L15:P15" si="9">K15</f>
        <v>45</v>
      </c>
      <c r="M15" s="31">
        <f t="shared" si="9"/>
        <v>45</v>
      </c>
      <c r="N15" s="31">
        <f t="shared" si="9"/>
        <v>45</v>
      </c>
      <c r="O15" s="31">
        <f t="shared" si="9"/>
        <v>45</v>
      </c>
      <c r="P15" s="31">
        <f t="shared" si="9"/>
        <v>45</v>
      </c>
      <c r="Q15" s="67" t="str">
        <f t="shared" ca="1" si="2"/>
        <v>=O15</v>
      </c>
    </row>
    <row r="16" spans="1:17" s="15" customFormat="1" x14ac:dyDescent="0.45">
      <c r="A16" s="29"/>
      <c r="B16" s="15" t="s">
        <v>19</v>
      </c>
      <c r="G16" s="23">
        <v>43.055556000000003</v>
      </c>
      <c r="H16" s="23">
        <v>45.106386000000001</v>
      </c>
      <c r="I16" s="23">
        <v>45.155374000000002</v>
      </c>
      <c r="J16" s="23">
        <v>45.153678999999997</v>
      </c>
      <c r="K16" s="23">
        <v>45.153548000000001</v>
      </c>
      <c r="L16" s="31">
        <f>L15+K16-K15</f>
        <v>45.153548000000001</v>
      </c>
      <c r="M16" s="31">
        <f>M15+L16-L15</f>
        <v>45.153548000000001</v>
      </c>
      <c r="N16" s="31">
        <f>N15+M16-M15</f>
        <v>45.153548000000001</v>
      </c>
      <c r="O16" s="31">
        <f>O15+N16-N15</f>
        <v>45.153548000000001</v>
      </c>
      <c r="P16" s="31">
        <f>P15+O16-O15</f>
        <v>45.153548000000001</v>
      </c>
      <c r="Q16" s="67" t="str">
        <f t="shared" ca="1" si="2"/>
        <v>=P15+O16-O15</v>
      </c>
    </row>
    <row r="17" spans="1:17" s="15" customFormat="1" x14ac:dyDescent="0.45">
      <c r="A17" s="29"/>
      <c r="B17" s="15" t="s">
        <v>285</v>
      </c>
      <c r="L17" s="36">
        <v>0.3</v>
      </c>
      <c r="M17" s="36">
        <v>0.3</v>
      </c>
      <c r="N17" s="36">
        <v>0.3</v>
      </c>
      <c r="O17" s="36">
        <v>0.3</v>
      </c>
      <c r="P17" s="36">
        <v>0.3</v>
      </c>
      <c r="Q17" s="67" t="str">
        <f t="shared" ca="1" si="2"/>
        <v/>
      </c>
    </row>
    <row r="18" spans="1:17" s="67" customFormat="1" x14ac:dyDescent="0.45">
      <c r="A18" s="29"/>
      <c r="Q18" s="67" t="str">
        <f t="shared" ca="1" si="2"/>
        <v/>
      </c>
    </row>
    <row r="19" spans="1:17" s="67" customFormat="1" x14ac:dyDescent="0.45">
      <c r="A19" s="29" t="s">
        <v>175</v>
      </c>
      <c r="Q19" s="67" t="str">
        <f t="shared" ca="1" si="2"/>
        <v/>
      </c>
    </row>
    <row r="20" spans="1:17" x14ac:dyDescent="0.45">
      <c r="B20" s="15" t="s">
        <v>170</v>
      </c>
      <c r="C20" s="15"/>
      <c r="D20" s="15"/>
      <c r="E20" s="15"/>
      <c r="F20" s="67">
        <f t="shared" ref="F20:K20" si="10">F28/F21*1000</f>
        <v>1107.0209133589415</v>
      </c>
      <c r="G20" s="67">
        <f t="shared" si="10"/>
        <v>1161.8745222555417</v>
      </c>
      <c r="H20" s="67">
        <f t="shared" si="10"/>
        <v>1145.7389623724102</v>
      </c>
      <c r="I20" s="67">
        <f t="shared" si="10"/>
        <v>1126.7776832381182</v>
      </c>
      <c r="J20" s="67">
        <f t="shared" si="10"/>
        <v>1164.4941030415891</v>
      </c>
      <c r="K20" s="67">
        <f t="shared" si="10"/>
        <v>1085.356033590245</v>
      </c>
      <c r="L20" s="67">
        <f>(1+L7)*K20</f>
        <v>1096.2095939261476</v>
      </c>
      <c r="M20" s="105" t="str">
        <f t="shared" ref="M20:M46" ca="1" si="11">IFERROR(_xlfn.FORMULATEXT(L20),"")</f>
        <v>=(1+L7)*K20</v>
      </c>
      <c r="N20" s="67"/>
      <c r="O20" s="67"/>
      <c r="P20" s="67"/>
      <c r="Q20" s="67" t="str">
        <f t="shared" ca="1" si="2"/>
        <v/>
      </c>
    </row>
    <row r="21" spans="1:17" x14ac:dyDescent="0.45">
      <c r="B21" s="15" t="s">
        <v>168</v>
      </c>
      <c r="C21" s="15"/>
      <c r="D21" s="15"/>
      <c r="E21" s="15"/>
      <c r="F21" s="23">
        <v>1874.4</v>
      </c>
      <c r="G21" s="23">
        <v>1700.7</v>
      </c>
      <c r="H21" s="23">
        <v>1655.7</v>
      </c>
      <c r="I21" s="23">
        <v>1645.4</v>
      </c>
      <c r="J21" s="23">
        <v>1611</v>
      </c>
      <c r="K21" s="23">
        <v>1738.6</v>
      </c>
      <c r="L21" s="67">
        <f>L28*1000/L20</f>
        <v>1786.8753826231932</v>
      </c>
      <c r="M21" s="105" t="str">
        <f ca="1">IFERROR(_xlfn.FORMULATEXT(L21),"")</f>
        <v>=L28*1000/L20</v>
      </c>
      <c r="N21" s="67"/>
      <c r="O21" s="67"/>
      <c r="P21" s="67"/>
      <c r="Q21" s="67" t="str">
        <f ca="1">IFERROR(_xlfn.FORMULATEXT(P21),"")</f>
        <v/>
      </c>
    </row>
    <row r="22" spans="1:17" s="67" customFormat="1" ht="14.25" x14ac:dyDescent="0.45">
      <c r="B22" s="67" t="s">
        <v>178</v>
      </c>
      <c r="F22" s="67">
        <f t="shared" ref="F22:K22" si="12">-F23/F21*1000</f>
        <v>121.57437046521552</v>
      </c>
      <c r="G22" s="67">
        <f t="shared" si="12"/>
        <v>122.2755336038102</v>
      </c>
      <c r="H22" s="67">
        <f t="shared" si="12"/>
        <v>133.6914900042278</v>
      </c>
      <c r="I22" s="67">
        <f t="shared" si="12"/>
        <v>130.42664397714842</v>
      </c>
      <c r="J22" s="67">
        <f t="shared" si="12"/>
        <v>132.76225946617006</v>
      </c>
      <c r="K22" s="67">
        <f t="shared" si="12"/>
        <v>118.53847923616705</v>
      </c>
      <c r="L22" s="67">
        <f>(1+L8)*K22</f>
        <v>120.9092488208904</v>
      </c>
      <c r="M22" s="105" t="str">
        <f t="shared" ca="1" si="11"/>
        <v>=(1+L8)*K22</v>
      </c>
      <c r="Q22" s="67" t="str">
        <f t="shared" ca="1" si="2"/>
        <v/>
      </c>
    </row>
    <row r="23" spans="1:17" x14ac:dyDescent="0.45">
      <c r="B23" s="15" t="s">
        <v>9</v>
      </c>
      <c r="C23" s="15"/>
      <c r="D23" s="15"/>
      <c r="E23" s="15"/>
      <c r="F23" s="23">
        <v>-227.87899999999999</v>
      </c>
      <c r="G23" s="23">
        <v>-207.95400000000001</v>
      </c>
      <c r="H23" s="23">
        <v>-221.35300000000001</v>
      </c>
      <c r="I23" s="23">
        <v>-214.60400000000001</v>
      </c>
      <c r="J23" s="23">
        <v>-213.88</v>
      </c>
      <c r="K23" s="23">
        <v>-206.09100000000001</v>
      </c>
      <c r="L23" s="67">
        <f>L21*L22/1000*-1</f>
        <v>-216.04976024951139</v>
      </c>
      <c r="M23" s="105" t="str">
        <f t="shared" ca="1" si="11"/>
        <v>=L21*L22/1000*-1</v>
      </c>
      <c r="N23" s="67"/>
      <c r="O23" s="67"/>
      <c r="P23" s="67"/>
      <c r="Q23" s="67" t="str">
        <f t="shared" ca="1" si="2"/>
        <v/>
      </c>
    </row>
    <row r="24" spans="1:17" s="15" customFormat="1" x14ac:dyDescent="0.45">
      <c r="A24" s="29"/>
      <c r="K24" s="66"/>
      <c r="L24" s="66"/>
      <c r="M24" s="105" t="str">
        <f t="shared" ca="1" si="11"/>
        <v/>
      </c>
      <c r="N24" s="66"/>
      <c r="O24" s="66"/>
      <c r="P24" s="66"/>
      <c r="Q24" s="67" t="str">
        <f t="shared" ca="1" si="2"/>
        <v/>
      </c>
    </row>
    <row r="25" spans="1:17" x14ac:dyDescent="0.45">
      <c r="A25" s="29" t="s">
        <v>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05" t="str">
        <f t="shared" ca="1" si="11"/>
        <v/>
      </c>
      <c r="N25" s="15"/>
      <c r="O25" s="15"/>
      <c r="P25" s="15"/>
      <c r="Q25" s="67" t="str">
        <f t="shared" ca="1" si="2"/>
        <v/>
      </c>
    </row>
    <row r="26" spans="1:17" x14ac:dyDescent="0.45">
      <c r="B26" s="15" t="s">
        <v>172</v>
      </c>
      <c r="C26" s="15">
        <f>'Revenue - Mobile'!C47</f>
        <v>1272</v>
      </c>
      <c r="D26" s="15">
        <f>'Revenue - Mobile'!D47</f>
        <v>1309</v>
      </c>
      <c r="E26" s="15">
        <f>'Revenue - Mobile'!E47</f>
        <v>1266</v>
      </c>
      <c r="F26" s="15">
        <f>'Revenue - Mobile'!F47</f>
        <v>1350</v>
      </c>
      <c r="G26" s="15">
        <f>'Revenue - Mobile'!G47</f>
        <v>1304</v>
      </c>
      <c r="H26" s="15">
        <f>'Revenue - Mobile'!H47</f>
        <v>1264</v>
      </c>
      <c r="I26" s="15">
        <f>'Revenue - Mobile'!I47</f>
        <v>1231</v>
      </c>
      <c r="J26" s="15">
        <f>'Revenue - Mobile'!J47</f>
        <v>1271</v>
      </c>
      <c r="K26" s="15">
        <f>'Revenue - Mobile'!K47</f>
        <v>1271</v>
      </c>
      <c r="L26" s="15">
        <f>'Revenue - Mobile'!L47</f>
        <v>1323.3040437924806</v>
      </c>
      <c r="M26" s="105" t="str">
        <f t="shared" ca="1" si="11"/>
        <v>='Revenue - Mobile'!L47</v>
      </c>
      <c r="N26" s="15"/>
      <c r="O26" s="15"/>
      <c r="P26" s="15"/>
      <c r="Q26" s="67" t="str">
        <f t="shared" ca="1" si="2"/>
        <v/>
      </c>
    </row>
    <row r="27" spans="1:17" x14ac:dyDescent="0.45">
      <c r="B27" s="15" t="s">
        <v>173</v>
      </c>
      <c r="C27" s="15">
        <f>'Revenue - Fixed'!C54</f>
        <v>711</v>
      </c>
      <c r="D27" s="15">
        <f>'Revenue - Fixed'!D54</f>
        <v>759</v>
      </c>
      <c r="E27" s="15">
        <f>'Revenue - Fixed'!E54</f>
        <v>756</v>
      </c>
      <c r="F27" s="15">
        <f>'Revenue - Fixed'!F54</f>
        <v>725</v>
      </c>
      <c r="G27" s="15">
        <f>'Revenue - Fixed'!G54</f>
        <v>672</v>
      </c>
      <c r="H27" s="15">
        <f>'Revenue - Fixed'!H54</f>
        <v>633</v>
      </c>
      <c r="I27" s="15">
        <f>'Revenue - Fixed'!I54</f>
        <v>623</v>
      </c>
      <c r="J27" s="15">
        <f>'Revenue - Fixed'!J54</f>
        <v>605</v>
      </c>
      <c r="K27" s="15">
        <f>'Revenue - Fixed'!K54</f>
        <v>616</v>
      </c>
      <c r="L27" s="15">
        <f>'Revenue - Fixed'!L54</f>
        <v>635.48589378951965</v>
      </c>
      <c r="M27" s="105" t="str">
        <f t="shared" ca="1" si="11"/>
        <v>='Revenue - Fixed'!L54</v>
      </c>
      <c r="N27" s="15"/>
      <c r="O27" s="15"/>
      <c r="P27" s="15"/>
      <c r="Q27" s="67" t="str">
        <f t="shared" ca="1" si="2"/>
        <v/>
      </c>
    </row>
    <row r="28" spans="1:17" s="67" customFormat="1" x14ac:dyDescent="0.45">
      <c r="A28" s="29"/>
      <c r="B28" s="67" t="s">
        <v>7</v>
      </c>
      <c r="C28" s="67">
        <f t="shared" ref="C28:K28" si="13">C26+C27</f>
        <v>1983</v>
      </c>
      <c r="D28" s="67">
        <f t="shared" si="13"/>
        <v>2068</v>
      </c>
      <c r="E28" s="67">
        <f t="shared" si="13"/>
        <v>2022</v>
      </c>
      <c r="F28" s="67">
        <f t="shared" si="13"/>
        <v>2075</v>
      </c>
      <c r="G28" s="67">
        <f t="shared" si="13"/>
        <v>1976</v>
      </c>
      <c r="H28" s="67">
        <f t="shared" si="13"/>
        <v>1897</v>
      </c>
      <c r="I28" s="67">
        <f t="shared" si="13"/>
        <v>1854</v>
      </c>
      <c r="J28" s="67">
        <f t="shared" si="13"/>
        <v>1876</v>
      </c>
      <c r="K28" s="67">
        <f t="shared" si="13"/>
        <v>1887</v>
      </c>
      <c r="L28" s="67">
        <f>SUM(L26:L27)</f>
        <v>1958.7899375820002</v>
      </c>
      <c r="M28" s="105" t="str">
        <f t="shared" ca="1" si="11"/>
        <v>=SUM(L26:L27)</v>
      </c>
      <c r="Q28" s="67" t="str">
        <f t="shared" ca="1" si="2"/>
        <v/>
      </c>
    </row>
    <row r="29" spans="1:17" s="67" customFormat="1" x14ac:dyDescent="0.45">
      <c r="A29" s="29"/>
      <c r="B29" s="67" t="s">
        <v>174</v>
      </c>
      <c r="C29" s="67">
        <f>'Revenue - Mobile'!C46+'Revenue - Fixed'!C46</f>
        <v>223</v>
      </c>
      <c r="D29" s="67">
        <f>'Revenue - Mobile'!D46+'Revenue - Fixed'!D46</f>
        <v>225</v>
      </c>
      <c r="E29" s="67">
        <f>'Revenue - Mobile'!E46+'Revenue - Fixed'!E46</f>
        <v>238</v>
      </c>
      <c r="F29" s="67">
        <f>'Revenue - Mobile'!F46+'Revenue - Fixed'!F46</f>
        <v>414</v>
      </c>
      <c r="G29" s="67">
        <f>'Revenue - Mobile'!G46+'Revenue - Fixed'!G46</f>
        <v>402</v>
      </c>
      <c r="H29" s="67">
        <f>'Revenue - Mobile'!H46+'Revenue - Fixed'!H46</f>
        <v>385</v>
      </c>
      <c r="I29" s="67">
        <f>'Revenue - Mobile'!I46+'Revenue - Fixed'!I46</f>
        <v>384</v>
      </c>
      <c r="J29" s="67">
        <f>'Revenue - Mobile'!J46+'Revenue - Fixed'!J46</f>
        <v>375</v>
      </c>
      <c r="K29" s="67">
        <f>'Revenue - Mobile'!K46+'Revenue - Fixed'!K46</f>
        <v>336</v>
      </c>
      <c r="L29" s="67">
        <f>'Revenue - Mobile'!L46+'Revenue - Fixed'!L46</f>
        <v>340.3900000000001</v>
      </c>
      <c r="M29" s="105" t="str">
        <f t="shared" ca="1" si="11"/>
        <v>='Revenue - Mobile'!L46+'Revenue - Fixed'!L46</v>
      </c>
      <c r="Q29" s="67" t="str">
        <f t="shared" ca="1" si="2"/>
        <v/>
      </c>
    </row>
    <row r="30" spans="1:17" x14ac:dyDescent="0.45">
      <c r="B30" s="18" t="s">
        <v>8</v>
      </c>
      <c r="C30" s="23">
        <v>1366</v>
      </c>
      <c r="D30" s="23">
        <v>1413</v>
      </c>
      <c r="E30" s="23">
        <v>1355</v>
      </c>
      <c r="F30" s="23">
        <v>1321</v>
      </c>
      <c r="G30" s="23">
        <v>1244</v>
      </c>
      <c r="H30" s="23">
        <v>1193</v>
      </c>
      <c r="I30" s="23">
        <v>1193</v>
      </c>
      <c r="J30" s="23">
        <v>1219</v>
      </c>
      <c r="K30" s="23">
        <v>1252</v>
      </c>
      <c r="L30" s="67">
        <f>L6*(L28-L29)</f>
        <v>1310.9039494414201</v>
      </c>
      <c r="M30" s="105" t="str">
        <f t="shared" ca="1" si="11"/>
        <v>=L6*(L28-L29)</v>
      </c>
      <c r="N30" s="67"/>
      <c r="O30" s="67"/>
      <c r="P30" s="67"/>
      <c r="Q30" s="67" t="str">
        <f t="shared" ca="1" si="2"/>
        <v/>
      </c>
    </row>
    <row r="31" spans="1:17" s="15" customFormat="1" x14ac:dyDescent="0.45">
      <c r="A31" s="29"/>
      <c r="B31" s="67" t="s">
        <v>9</v>
      </c>
      <c r="C31" s="7"/>
      <c r="D31" s="7"/>
      <c r="E31" s="7"/>
      <c r="F31" s="23">
        <v>-227.87899999999999</v>
      </c>
      <c r="G31" s="23">
        <v>-207.95400000000001</v>
      </c>
      <c r="H31" s="23">
        <v>-221.35300000000001</v>
      </c>
      <c r="I31" s="23">
        <v>-214.60400000000001</v>
      </c>
      <c r="J31" s="23">
        <v>-213.88</v>
      </c>
      <c r="K31" s="23">
        <v>-206.09100000000001</v>
      </c>
      <c r="L31" s="67">
        <f>L23</f>
        <v>-216.04976024951139</v>
      </c>
      <c r="M31" s="105" t="str">
        <f t="shared" ca="1" si="11"/>
        <v>=L23</v>
      </c>
      <c r="N31" s="67"/>
      <c r="O31" s="67"/>
      <c r="P31" s="67"/>
      <c r="Q31" s="67" t="str">
        <f t="shared" ca="1" si="2"/>
        <v/>
      </c>
    </row>
    <row r="32" spans="1:17" s="67" customFormat="1" ht="14.25" x14ac:dyDescent="0.45">
      <c r="B32" s="67" t="s">
        <v>12</v>
      </c>
      <c r="F32" s="67">
        <f t="shared" ref="F32:K32" si="14">F33-F30-F31</f>
        <v>-454.12099999999998</v>
      </c>
      <c r="G32" s="67">
        <f t="shared" si="14"/>
        <v>-420.04599999999999</v>
      </c>
      <c r="H32" s="67">
        <f t="shared" si="14"/>
        <v>-372.64699999999999</v>
      </c>
      <c r="I32" s="67">
        <f t="shared" si="14"/>
        <v>-386.39599999999996</v>
      </c>
      <c r="J32" s="67">
        <f t="shared" si="14"/>
        <v>-403.12</v>
      </c>
      <c r="K32" s="67">
        <f t="shared" si="14"/>
        <v>-457.90899999999999</v>
      </c>
      <c r="L32" s="67">
        <f>L9*L28*-1</f>
        <v>-411.34588689222005</v>
      </c>
      <c r="M32" s="105" t="str">
        <f t="shared" ca="1" si="11"/>
        <v>=L9*L28*-1</v>
      </c>
      <c r="Q32" s="67" t="str">
        <f t="shared" ca="1" si="2"/>
        <v/>
      </c>
    </row>
    <row r="33" spans="1:18" s="25" customFormat="1" x14ac:dyDescent="0.45">
      <c r="A33" s="29"/>
      <c r="B33" s="67" t="s">
        <v>41</v>
      </c>
      <c r="C33" s="23">
        <v>607</v>
      </c>
      <c r="D33" s="23">
        <v>629</v>
      </c>
      <c r="E33" s="23">
        <v>613</v>
      </c>
      <c r="F33" s="23">
        <v>639</v>
      </c>
      <c r="G33" s="23">
        <v>616</v>
      </c>
      <c r="H33" s="23">
        <v>599</v>
      </c>
      <c r="I33" s="23">
        <v>592</v>
      </c>
      <c r="J33" s="23">
        <v>602</v>
      </c>
      <c r="K33" s="23">
        <v>588</v>
      </c>
      <c r="L33" s="67">
        <f>SUM(L30:L32)</f>
        <v>683.50830229968869</v>
      </c>
      <c r="M33" s="105" t="str">
        <f t="shared" ca="1" si="11"/>
        <v>=SUM(L30:L32)</v>
      </c>
      <c r="N33" s="67"/>
      <c r="O33" s="67"/>
      <c r="P33" s="67"/>
      <c r="Q33" s="67" t="str">
        <f t="shared" ca="1" si="2"/>
        <v/>
      </c>
    </row>
    <row r="34" spans="1:18" x14ac:dyDescent="0.45">
      <c r="B34" t="s">
        <v>179</v>
      </c>
      <c r="C34" s="67">
        <f t="shared" ref="C34:F34" si="15">C33-C35</f>
        <v>6</v>
      </c>
      <c r="D34" s="67">
        <f t="shared" si="15"/>
        <v>5</v>
      </c>
      <c r="E34" s="67">
        <f t="shared" si="15"/>
        <v>-7</v>
      </c>
      <c r="F34" s="67">
        <f t="shared" si="15"/>
        <v>1</v>
      </c>
      <c r="G34" s="66">
        <f>G33-G35</f>
        <v>-11</v>
      </c>
      <c r="H34" s="66">
        <f>H33-H35</f>
        <v>-12</v>
      </c>
      <c r="I34" s="66">
        <f>I33-I35</f>
        <v>-9</v>
      </c>
      <c r="J34" s="66">
        <f>J33-J35</f>
        <v>1</v>
      </c>
      <c r="K34" s="66">
        <f>K33-K35</f>
        <v>-80</v>
      </c>
      <c r="L34" s="106">
        <f>L10</f>
        <v>0</v>
      </c>
      <c r="M34" s="105" t="str">
        <f t="shared" ca="1" si="11"/>
        <v>=L10</v>
      </c>
      <c r="N34" s="15"/>
      <c r="O34" s="15"/>
      <c r="P34" s="15"/>
      <c r="Q34" s="67" t="str">
        <f t="shared" ca="1" si="2"/>
        <v/>
      </c>
    </row>
    <row r="35" spans="1:18" s="25" customFormat="1" x14ac:dyDescent="0.45">
      <c r="A35" s="29"/>
      <c r="B35" s="18" t="s">
        <v>268</v>
      </c>
      <c r="C35" s="23">
        <v>601</v>
      </c>
      <c r="D35" s="23">
        <v>624</v>
      </c>
      <c r="E35" s="23">
        <v>620</v>
      </c>
      <c r="F35" s="23">
        <v>638</v>
      </c>
      <c r="G35" s="23">
        <v>627</v>
      </c>
      <c r="H35" s="23">
        <v>611</v>
      </c>
      <c r="I35" s="23">
        <v>601</v>
      </c>
      <c r="J35" s="23">
        <v>601</v>
      </c>
      <c r="K35" s="23">
        <v>668</v>
      </c>
      <c r="L35" s="67">
        <f>L33-L34</f>
        <v>683.50830229968869</v>
      </c>
      <c r="M35" s="105" t="str">
        <f t="shared" ca="1" si="11"/>
        <v>=L33-L34</v>
      </c>
      <c r="N35" s="67"/>
      <c r="O35" s="67"/>
      <c r="P35" s="67"/>
      <c r="Q35" s="67" t="str">
        <f t="shared" ca="1" si="2"/>
        <v/>
      </c>
    </row>
    <row r="36" spans="1:18" s="19" customFormat="1" x14ac:dyDescent="0.45">
      <c r="A36" s="86"/>
      <c r="B36" s="19" t="s">
        <v>14</v>
      </c>
      <c r="F36" s="23">
        <v>-216.584</v>
      </c>
      <c r="G36" s="23">
        <v>-211.97200000000001</v>
      </c>
      <c r="H36" s="23">
        <v>-207.30199999999999</v>
      </c>
      <c r="I36" s="23">
        <v>-174.66</v>
      </c>
      <c r="J36" s="23">
        <v>-169.50800000000001</v>
      </c>
      <c r="K36" s="23">
        <v>-204.66200000000001</v>
      </c>
      <c r="L36" s="19">
        <f>BS!L54+BS!L59</f>
        <v>-214.56616000000002</v>
      </c>
      <c r="M36" s="105" t="str">
        <f t="shared" ca="1" si="11"/>
        <v>=BS!L54+BS!L59</v>
      </c>
      <c r="Q36" s="19" t="str">
        <f t="shared" ca="1" si="2"/>
        <v/>
      </c>
    </row>
    <row r="37" spans="1:18" x14ac:dyDescent="0.45">
      <c r="B37" s="15" t="s">
        <v>15</v>
      </c>
      <c r="C37" s="15"/>
      <c r="D37" s="15"/>
      <c r="E37" s="15"/>
      <c r="F37" s="23">
        <v>-244.91499999999999</v>
      </c>
      <c r="G37" s="23">
        <v>-260.48399999999998</v>
      </c>
      <c r="H37" s="23">
        <v>-252.26599999999999</v>
      </c>
      <c r="I37" s="23">
        <v>-253.48400000000001</v>
      </c>
      <c r="J37" s="23">
        <v>-256.18400000000003</v>
      </c>
      <c r="K37" s="23">
        <v>-270.13</v>
      </c>
      <c r="L37" s="19">
        <f>BS!L49</f>
        <v>-301.40150000000006</v>
      </c>
      <c r="M37" s="105" t="str">
        <f t="shared" ca="1" si="11"/>
        <v>=BS!L49</v>
      </c>
      <c r="N37" s="19"/>
      <c r="O37" s="19"/>
      <c r="P37" s="19"/>
      <c r="Q37" s="19" t="str">
        <f t="shared" ca="1" si="2"/>
        <v/>
      </c>
    </row>
    <row r="38" spans="1:18" s="67" customFormat="1" x14ac:dyDescent="0.45">
      <c r="A38" s="29"/>
      <c r="B38" s="67" t="s">
        <v>16</v>
      </c>
      <c r="C38" s="23">
        <v>233</v>
      </c>
      <c r="D38" s="23">
        <v>233</v>
      </c>
      <c r="E38" s="23">
        <v>129</v>
      </c>
      <c r="F38" s="67">
        <f>SUM(F35:F37)</f>
        <v>176.501</v>
      </c>
      <c r="G38" s="67">
        <f t="shared" ref="G38:K38" si="16">SUM(G35:G37)</f>
        <v>154.54400000000004</v>
      </c>
      <c r="H38" s="67">
        <f t="shared" si="16"/>
        <v>151.43199999999999</v>
      </c>
      <c r="I38" s="67">
        <f t="shared" si="16"/>
        <v>172.85600000000002</v>
      </c>
      <c r="J38" s="67">
        <f t="shared" si="16"/>
        <v>175.30799999999994</v>
      </c>
      <c r="K38" s="67">
        <f t="shared" si="16"/>
        <v>193.20799999999997</v>
      </c>
      <c r="L38" s="67">
        <f>SUM(L35:L37)</f>
        <v>167.54064229968861</v>
      </c>
      <c r="M38" s="105" t="str">
        <f t="shared" ca="1" si="11"/>
        <v>=SUM(L35:L37)</v>
      </c>
      <c r="Q38" s="67" t="str">
        <f t="shared" ca="1" si="2"/>
        <v/>
      </c>
    </row>
    <row r="39" spans="1:18" s="19" customFormat="1" x14ac:dyDescent="0.45">
      <c r="A39" s="86"/>
      <c r="B39" s="19" t="s">
        <v>220</v>
      </c>
      <c r="C39" s="20"/>
      <c r="D39" s="20"/>
      <c r="E39" s="20"/>
      <c r="F39" s="23">
        <v>114.663</v>
      </c>
      <c r="G39" s="23">
        <v>99.155000000000001</v>
      </c>
      <c r="H39" s="23">
        <v>2.1240000000000001</v>
      </c>
      <c r="I39" s="23">
        <v>0.105</v>
      </c>
      <c r="J39" s="23">
        <v>15.071</v>
      </c>
      <c r="K39" s="23">
        <v>0.183</v>
      </c>
      <c r="L39" s="110"/>
      <c r="M39" s="105" t="str">
        <f t="shared" ca="1" si="11"/>
        <v/>
      </c>
      <c r="Q39" s="19" t="str">
        <f t="shared" ca="1" si="2"/>
        <v/>
      </c>
    </row>
    <row r="40" spans="1:18" s="19" customFormat="1" x14ac:dyDescent="0.45">
      <c r="A40" s="86"/>
      <c r="B40" s="19" t="s">
        <v>221</v>
      </c>
      <c r="C40" s="20"/>
      <c r="D40" s="20"/>
      <c r="E40" s="20"/>
      <c r="F40" s="23">
        <v>-430.84300000000002</v>
      </c>
      <c r="G40" s="23">
        <v>-554.29700000000003</v>
      </c>
      <c r="H40" s="23">
        <v>-58.707999999999998</v>
      </c>
      <c r="I40" s="23">
        <v>-52.430999999999997</v>
      </c>
      <c r="J40" s="23">
        <v>-50.756999999999998</v>
      </c>
      <c r="K40" s="23">
        <v>-49.607999999999997</v>
      </c>
      <c r="L40" s="110"/>
      <c r="M40" s="105" t="str">
        <f t="shared" ca="1" si="11"/>
        <v/>
      </c>
      <c r="Q40" s="19" t="str">
        <f t="shared" ca="1" si="2"/>
        <v/>
      </c>
    </row>
    <row r="41" spans="1:18" x14ac:dyDescent="0.45">
      <c r="B41" s="15" t="s">
        <v>182</v>
      </c>
      <c r="C41" s="6"/>
      <c r="D41" s="6"/>
      <c r="E41" s="6"/>
      <c r="F41" s="23">
        <v>39.829000000000001</v>
      </c>
      <c r="G41" s="23">
        <v>220.155</v>
      </c>
      <c r="H41" s="23">
        <v>1.321</v>
      </c>
      <c r="I41" s="23">
        <v>1.1619999999999999</v>
      </c>
      <c r="J41" s="23">
        <v>2.2650000000000001</v>
      </c>
      <c r="K41" s="23">
        <v>2.839</v>
      </c>
      <c r="L41" s="19">
        <f>L11</f>
        <v>0</v>
      </c>
      <c r="M41" s="105" t="str">
        <f t="shared" ca="1" si="11"/>
        <v>=L11</v>
      </c>
      <c r="N41" s="15"/>
      <c r="O41" s="15"/>
      <c r="P41" s="15"/>
      <c r="Q41" s="67" t="str">
        <f t="shared" ca="1" si="2"/>
        <v/>
      </c>
      <c r="R41" s="15"/>
    </row>
    <row r="42" spans="1:18" x14ac:dyDescent="0.45">
      <c r="B42" s="15" t="s">
        <v>183</v>
      </c>
      <c r="C42" s="6"/>
      <c r="D42" s="6"/>
      <c r="E42" s="6"/>
      <c r="F42" s="23">
        <v>0</v>
      </c>
      <c r="G42" s="23">
        <v>0</v>
      </c>
      <c r="H42" s="23">
        <v>0</v>
      </c>
      <c r="I42" s="23">
        <v>419.589</v>
      </c>
      <c r="J42" s="23">
        <v>0</v>
      </c>
      <c r="K42" s="23">
        <v>0</v>
      </c>
      <c r="L42" s="19">
        <f>L12</f>
        <v>0</v>
      </c>
      <c r="M42" s="105" t="str">
        <f t="shared" ca="1" si="11"/>
        <v>=L12</v>
      </c>
      <c r="N42" s="15"/>
      <c r="O42" s="15"/>
      <c r="P42" s="15"/>
      <c r="Q42" s="67" t="str">
        <f t="shared" ca="1" si="2"/>
        <v/>
      </c>
      <c r="R42" s="15"/>
    </row>
    <row r="43" spans="1:18" x14ac:dyDescent="0.45">
      <c r="B43" s="67" t="s">
        <v>179</v>
      </c>
      <c r="C43">
        <f>C34</f>
        <v>6</v>
      </c>
      <c r="D43" s="67">
        <f t="shared" ref="D43:K43" si="17">D34</f>
        <v>5</v>
      </c>
      <c r="E43" s="67">
        <f t="shared" si="17"/>
        <v>-7</v>
      </c>
      <c r="F43" s="67">
        <f t="shared" si="17"/>
        <v>1</v>
      </c>
      <c r="G43" s="67">
        <f t="shared" si="17"/>
        <v>-11</v>
      </c>
      <c r="H43" s="67">
        <f t="shared" si="17"/>
        <v>-12</v>
      </c>
      <c r="I43" s="67">
        <f t="shared" si="17"/>
        <v>-9</v>
      </c>
      <c r="J43" s="67">
        <f t="shared" si="17"/>
        <v>1</v>
      </c>
      <c r="K43" s="67">
        <f t="shared" si="17"/>
        <v>-80</v>
      </c>
      <c r="L43" s="19">
        <f>L10</f>
        <v>0</v>
      </c>
      <c r="M43" s="105" t="str">
        <f t="shared" ca="1" si="11"/>
        <v>=L10</v>
      </c>
      <c r="N43" s="67"/>
      <c r="O43" s="67"/>
      <c r="P43" s="67"/>
      <c r="Q43" s="67" t="str">
        <f t="shared" ca="1" si="2"/>
        <v/>
      </c>
    </row>
    <row r="44" spans="1:18" x14ac:dyDescent="0.45">
      <c r="B44" s="15" t="s">
        <v>66</v>
      </c>
      <c r="C44" s="5"/>
      <c r="D44" s="5"/>
      <c r="E44" s="5"/>
      <c r="F44" s="32">
        <f t="shared" ref="F44:K44" si="18">SUM(F38:F43)</f>
        <v>-98.850000000000023</v>
      </c>
      <c r="G44" s="32">
        <f t="shared" si="18"/>
        <v>-91.442999999999955</v>
      </c>
      <c r="H44" s="32">
        <f t="shared" si="18"/>
        <v>84.168999999999983</v>
      </c>
      <c r="I44" s="32">
        <f t="shared" si="18"/>
        <v>532.28100000000006</v>
      </c>
      <c r="J44" s="32">
        <f t="shared" si="18"/>
        <v>142.88699999999992</v>
      </c>
      <c r="K44" s="32">
        <f t="shared" si="18"/>
        <v>66.621999999999957</v>
      </c>
      <c r="L44" s="109">
        <f>SUM(L38:L43)</f>
        <v>167.54064229968861</v>
      </c>
      <c r="M44" s="105" t="str">
        <f t="shared" ca="1" si="11"/>
        <v>=SUM(L38:L43)</v>
      </c>
      <c r="N44" s="32"/>
      <c r="O44" s="32"/>
      <c r="P44" s="32"/>
      <c r="Q44" s="67" t="str">
        <f t="shared" ca="1" si="2"/>
        <v/>
      </c>
      <c r="R44" s="15"/>
    </row>
    <row r="45" spans="1:18" x14ac:dyDescent="0.45">
      <c r="B45" s="15" t="s">
        <v>227</v>
      </c>
      <c r="C45" s="6"/>
      <c r="D45" s="6"/>
      <c r="E45" s="6"/>
      <c r="F45" s="23">
        <v>-16</v>
      </c>
      <c r="G45" s="23">
        <v>-22</v>
      </c>
      <c r="H45" s="23">
        <v>3</v>
      </c>
      <c r="I45" s="23">
        <v>-28</v>
      </c>
      <c r="J45" s="23">
        <v>-36</v>
      </c>
      <c r="K45" s="23">
        <v>-11</v>
      </c>
      <c r="L45" s="109">
        <f>L13*L44*-1</f>
        <v>-31.832722036940837</v>
      </c>
      <c r="M45" s="105" t="str">
        <f t="shared" ca="1" si="11"/>
        <v>=L13*L44*-1</v>
      </c>
      <c r="N45" s="32"/>
      <c r="O45" s="32"/>
      <c r="P45" s="32"/>
      <c r="Q45" s="67" t="str">
        <f t="shared" ca="1" si="2"/>
        <v/>
      </c>
      <c r="R45" s="15"/>
    </row>
    <row r="46" spans="1:18" s="25" customFormat="1" x14ac:dyDescent="0.45">
      <c r="A46" s="29"/>
      <c r="B46" s="67" t="s">
        <v>38</v>
      </c>
      <c r="C46" s="67"/>
      <c r="D46" s="67"/>
      <c r="E46" s="67"/>
      <c r="F46" s="67">
        <f>SUM(F44:F45)</f>
        <v>-114.85000000000002</v>
      </c>
      <c r="G46" s="67">
        <f t="shared" ref="G46:K46" si="19">SUM(G44:G45)</f>
        <v>-113.44299999999996</v>
      </c>
      <c r="H46" s="67">
        <f t="shared" si="19"/>
        <v>87.168999999999983</v>
      </c>
      <c r="I46" s="67">
        <f t="shared" si="19"/>
        <v>504.28100000000006</v>
      </c>
      <c r="J46" s="67">
        <f t="shared" si="19"/>
        <v>106.88699999999992</v>
      </c>
      <c r="K46" s="67">
        <f t="shared" si="19"/>
        <v>55.621999999999957</v>
      </c>
      <c r="L46" s="19">
        <f>SUM(L44:L45)</f>
        <v>135.70792026274779</v>
      </c>
      <c r="M46" s="105" t="str">
        <f t="shared" ca="1" si="11"/>
        <v>=SUM(L44:L45)</v>
      </c>
      <c r="N46" s="67"/>
      <c r="O46" s="67"/>
      <c r="P46" s="67"/>
      <c r="Q46" s="67" t="str">
        <f t="shared" ca="1" si="2"/>
        <v/>
      </c>
    </row>
    <row r="47" spans="1:18" x14ac:dyDescent="0.4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67" t="str">
        <f t="shared" ca="1" si="2"/>
        <v/>
      </c>
      <c r="R47" s="15"/>
    </row>
    <row r="48" spans="1:18" x14ac:dyDescent="0.45">
      <c r="A48" s="29" t="s">
        <v>40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67" t="str">
        <f t="shared" ca="1" si="2"/>
        <v/>
      </c>
      <c r="R48" s="15"/>
    </row>
    <row r="49" spans="1:18" s="67" customFormat="1" x14ac:dyDescent="0.45">
      <c r="A49" s="29"/>
      <c r="B49" s="67" t="s">
        <v>171</v>
      </c>
      <c r="C49" s="7">
        <f t="shared" ref="C49:K49" si="20">C30/C28</f>
        <v>0.68885526979324252</v>
      </c>
      <c r="D49" s="7">
        <f t="shared" si="20"/>
        <v>0.6832688588007737</v>
      </c>
      <c r="E49" s="7">
        <f t="shared" si="20"/>
        <v>0.67012858555885257</v>
      </c>
      <c r="F49" s="7">
        <f t="shared" si="20"/>
        <v>0.63662650602409643</v>
      </c>
      <c r="G49" s="7">
        <f t="shared" si="20"/>
        <v>0.62955465587044535</v>
      </c>
      <c r="H49" s="7">
        <f t="shared" si="20"/>
        <v>0.62888771744860306</v>
      </c>
      <c r="I49" s="7">
        <f t="shared" si="20"/>
        <v>0.64347357065803668</v>
      </c>
      <c r="J49" s="7">
        <f t="shared" si="20"/>
        <v>0.64978678038379534</v>
      </c>
      <c r="K49" s="7">
        <f t="shared" si="20"/>
        <v>0.66348701642819286</v>
      </c>
      <c r="L49" s="7"/>
      <c r="M49" s="7"/>
      <c r="N49" s="7"/>
      <c r="O49" s="7"/>
      <c r="P49" s="7"/>
      <c r="Q49" s="67" t="str">
        <f t="shared" ca="1" si="2"/>
        <v/>
      </c>
    </row>
    <row r="50" spans="1:18" x14ac:dyDescent="0.45">
      <c r="B50" s="15" t="s">
        <v>10</v>
      </c>
      <c r="C50" s="15"/>
      <c r="D50" s="15"/>
      <c r="E50" s="15"/>
      <c r="F50" s="6"/>
      <c r="G50" s="14">
        <f>G23/F23-1</f>
        <v>-8.7436753715787741E-2</v>
      </c>
      <c r="H50" s="14">
        <f>H23/G23-1</f>
        <v>6.4432518730103805E-2</v>
      </c>
      <c r="I50" s="14">
        <f>I23/H23-1</f>
        <v>-3.0489760698974022E-2</v>
      </c>
      <c r="J50" s="14">
        <f>J23/I23-1</f>
        <v>-3.3736556634546E-3</v>
      </c>
      <c r="K50" s="14">
        <f>K23/J23-1</f>
        <v>-3.6417617355526399E-2</v>
      </c>
      <c r="L50" s="14"/>
      <c r="M50" s="14"/>
      <c r="N50" s="14"/>
      <c r="O50" s="14"/>
      <c r="P50" s="14"/>
      <c r="Q50" s="67" t="str">
        <f t="shared" ca="1" si="2"/>
        <v/>
      </c>
    </row>
    <row r="51" spans="1:18" x14ac:dyDescent="0.45">
      <c r="B51" s="15" t="s">
        <v>11</v>
      </c>
      <c r="C51" s="15"/>
      <c r="D51" s="15"/>
      <c r="E51" s="15"/>
      <c r="F51" s="7">
        <f t="shared" ref="F51:K51" si="21">-F23/F28</f>
        <v>0.10982120481927711</v>
      </c>
      <c r="G51" s="7">
        <f t="shared" si="21"/>
        <v>0.10523987854251013</v>
      </c>
      <c r="H51" s="7">
        <f t="shared" si="21"/>
        <v>0.11668581971534002</v>
      </c>
      <c r="I51" s="7">
        <f t="shared" si="21"/>
        <v>0.11575188781014024</v>
      </c>
      <c r="J51" s="7">
        <f t="shared" si="21"/>
        <v>0.11400852878464819</v>
      </c>
      <c r="K51" s="7">
        <f t="shared" si="21"/>
        <v>0.10921621621621622</v>
      </c>
      <c r="L51" s="7"/>
      <c r="M51" s="7"/>
      <c r="N51" s="7"/>
      <c r="O51" s="7"/>
      <c r="P51" s="7"/>
      <c r="Q51" s="67" t="str">
        <f t="shared" ca="1" si="2"/>
        <v/>
      </c>
    </row>
    <row r="52" spans="1:18" x14ac:dyDescent="0.45">
      <c r="B52" s="15" t="s">
        <v>169</v>
      </c>
      <c r="C52" s="15"/>
      <c r="D52" s="15"/>
      <c r="E52" s="15"/>
      <c r="F52" s="15"/>
      <c r="G52" s="7">
        <f>G21/F21-1</f>
        <v>-9.2669654289372572E-2</v>
      </c>
      <c r="H52" s="7">
        <f>H21/G21-1</f>
        <v>-2.6459693067560464E-2</v>
      </c>
      <c r="I52" s="7">
        <f>I21/H21-1</f>
        <v>-6.2209337440357615E-3</v>
      </c>
      <c r="J52" s="7">
        <f>J21/I21-1</f>
        <v>-2.0906770390178742E-2</v>
      </c>
      <c r="K52" s="7">
        <f>K21/J21-1</f>
        <v>7.9205462445685937E-2</v>
      </c>
      <c r="L52" s="7"/>
      <c r="M52" s="7"/>
      <c r="N52" s="7"/>
      <c r="O52" s="7"/>
      <c r="P52" s="7"/>
      <c r="Q52" s="67" t="str">
        <f t="shared" ca="1" si="2"/>
        <v/>
      </c>
    </row>
    <row r="53" spans="1:18" x14ac:dyDescent="0.45">
      <c r="B53" s="15" t="s">
        <v>13</v>
      </c>
      <c r="C53" s="15"/>
      <c r="D53" s="15"/>
      <c r="E53" s="15"/>
      <c r="F53" s="15"/>
      <c r="G53" s="7">
        <f>G32/F32-1</f>
        <v>-7.5035067746261452E-2</v>
      </c>
      <c r="H53" s="7">
        <f>H32/G32-1</f>
        <v>-0.11284240297491233</v>
      </c>
      <c r="I53" s="7">
        <f>I32/H32-1</f>
        <v>3.6895507007972617E-2</v>
      </c>
      <c r="J53" s="7">
        <f>J32/I32-1</f>
        <v>4.3282021553018302E-2</v>
      </c>
      <c r="K53" s="7">
        <f>K32/J32-1</f>
        <v>0.1359123834094067</v>
      </c>
      <c r="L53" s="7"/>
      <c r="M53" s="7"/>
      <c r="N53" s="7"/>
      <c r="O53" s="7"/>
      <c r="P53" s="7"/>
      <c r="Q53" s="67" t="str">
        <f t="shared" ca="1" si="2"/>
        <v/>
      </c>
    </row>
    <row r="54" spans="1:18" x14ac:dyDescent="0.45">
      <c r="B54" s="15" t="s">
        <v>180</v>
      </c>
      <c r="C54" s="7">
        <f t="shared" ref="C54:K54" si="22">C33/C$28</f>
        <v>0.30610186585980836</v>
      </c>
      <c r="D54" s="7">
        <f t="shared" si="22"/>
        <v>0.3041586073500967</v>
      </c>
      <c r="E54" s="7">
        <f t="shared" si="22"/>
        <v>0.30316518298714146</v>
      </c>
      <c r="F54" s="7">
        <f t="shared" si="22"/>
        <v>0.30795180722891569</v>
      </c>
      <c r="G54" s="7">
        <f t="shared" si="22"/>
        <v>0.31174089068825911</v>
      </c>
      <c r="H54" s="7">
        <f t="shared" si="22"/>
        <v>0.31576172904586186</v>
      </c>
      <c r="I54" s="7">
        <f t="shared" si="22"/>
        <v>0.31930960086299892</v>
      </c>
      <c r="J54" s="7">
        <f t="shared" si="22"/>
        <v>0.32089552238805968</v>
      </c>
      <c r="K54" s="7">
        <f t="shared" si="22"/>
        <v>0.31160572337042924</v>
      </c>
      <c r="L54" s="7"/>
      <c r="M54" s="7"/>
      <c r="N54" s="7"/>
      <c r="O54" s="7"/>
      <c r="P54" s="7"/>
      <c r="Q54" s="67" t="str">
        <f t="shared" ca="1" si="2"/>
        <v/>
      </c>
    </row>
    <row r="55" spans="1:18" x14ac:dyDescent="0.45">
      <c r="B55" s="15" t="s">
        <v>271</v>
      </c>
      <c r="C55" s="7">
        <f t="shared" ref="C55:K55" si="23">C35/C$28</f>
        <v>0.30307614725163895</v>
      </c>
      <c r="D55" s="7">
        <f t="shared" si="23"/>
        <v>0.30174081237911027</v>
      </c>
      <c r="E55" s="7">
        <f t="shared" si="23"/>
        <v>0.3066271018793274</v>
      </c>
      <c r="F55" s="7">
        <f t="shared" si="23"/>
        <v>0.30746987951807231</v>
      </c>
      <c r="G55" s="7">
        <f t="shared" si="23"/>
        <v>0.31730769230769229</v>
      </c>
      <c r="H55" s="7">
        <f t="shared" si="23"/>
        <v>0.32208750658935159</v>
      </c>
      <c r="I55" s="7">
        <f t="shared" si="23"/>
        <v>0.32416396979503775</v>
      </c>
      <c r="J55" s="7">
        <f t="shared" si="23"/>
        <v>0.32036247334754797</v>
      </c>
      <c r="K55" s="7">
        <f t="shared" si="23"/>
        <v>0.35400105988341285</v>
      </c>
      <c r="L55" s="7"/>
      <c r="M55" s="7"/>
      <c r="N55" s="7"/>
      <c r="O55" s="7"/>
      <c r="P55" s="7"/>
      <c r="Q55" s="67" t="str">
        <f t="shared" ca="1" si="2"/>
        <v/>
      </c>
    </row>
    <row r="56" spans="1:18" x14ac:dyDescent="0.45">
      <c r="B56" s="15" t="s">
        <v>272</v>
      </c>
      <c r="C56" s="7">
        <f t="shared" ref="C56:K56" si="24">C35/(C$28-C$29)</f>
        <v>0.34147727272727274</v>
      </c>
      <c r="D56" s="7">
        <f t="shared" si="24"/>
        <v>0.33857840477482365</v>
      </c>
      <c r="E56" s="7">
        <f t="shared" si="24"/>
        <v>0.34753363228699552</v>
      </c>
      <c r="F56" s="7">
        <f t="shared" si="24"/>
        <v>0.38410596026490068</v>
      </c>
      <c r="G56" s="7">
        <f t="shared" si="24"/>
        <v>0.3983481575603558</v>
      </c>
      <c r="H56" s="7">
        <f t="shared" si="24"/>
        <v>0.40410052910052913</v>
      </c>
      <c r="I56" s="7">
        <f t="shared" si="24"/>
        <v>0.40884353741496599</v>
      </c>
      <c r="J56" s="7">
        <f t="shared" si="24"/>
        <v>0.40039973351099267</v>
      </c>
      <c r="K56" s="7">
        <f t="shared" si="24"/>
        <v>0.43068987749838816</v>
      </c>
      <c r="L56" s="7"/>
      <c r="M56" s="7"/>
      <c r="N56" s="7"/>
      <c r="O56" s="7"/>
      <c r="P56" s="7"/>
      <c r="Q56" s="67" t="str">
        <f t="shared" ca="1" si="2"/>
        <v/>
      </c>
    </row>
    <row r="57" spans="1:18" x14ac:dyDescent="0.45">
      <c r="B57" s="15" t="s">
        <v>181</v>
      </c>
      <c r="C57" s="7">
        <f t="shared" ref="C57:K57" si="25">C38/C$28</f>
        <v>0.11749873928391326</v>
      </c>
      <c r="D57" s="7">
        <f t="shared" si="25"/>
        <v>0.11266924564796905</v>
      </c>
      <c r="E57" s="7">
        <f t="shared" si="25"/>
        <v>6.3798219584569729E-2</v>
      </c>
      <c r="F57" s="7">
        <f t="shared" si="25"/>
        <v>8.5060722891566271E-2</v>
      </c>
      <c r="G57" s="7">
        <f t="shared" si="25"/>
        <v>7.8210526315789494E-2</v>
      </c>
      <c r="H57" s="7">
        <f t="shared" si="25"/>
        <v>7.9827095413811278E-2</v>
      </c>
      <c r="I57" s="7">
        <f t="shared" si="25"/>
        <v>9.3234088457389439E-2</v>
      </c>
      <c r="J57" s="7">
        <f t="shared" si="25"/>
        <v>9.344776119402981E-2</v>
      </c>
      <c r="K57" s="7">
        <f t="shared" si="25"/>
        <v>0.1023889772125066</v>
      </c>
      <c r="L57" s="7"/>
      <c r="M57" s="7"/>
      <c r="N57" s="7"/>
      <c r="O57" s="7"/>
      <c r="P57" s="7"/>
      <c r="Q57" s="67" t="str">
        <f t="shared" ca="1" si="2"/>
        <v/>
      </c>
      <c r="R57" s="15"/>
    </row>
    <row r="58" spans="1:18" x14ac:dyDescent="0.45">
      <c r="B58" s="15" t="s">
        <v>284</v>
      </c>
      <c r="C58" s="7"/>
      <c r="D58" s="7"/>
      <c r="E58" s="7"/>
      <c r="F58" s="7">
        <f>F46/F28</f>
        <v>-5.5349397590361456E-2</v>
      </c>
      <c r="G58" s="7">
        <f t="shared" ref="G58:K58" si="26">G46/G28</f>
        <v>-5.7410425101214552E-2</v>
      </c>
      <c r="H58" s="7">
        <f t="shared" si="26"/>
        <v>4.5950975224037946E-2</v>
      </c>
      <c r="I58" s="7">
        <f t="shared" si="26"/>
        <v>0.27199622437971954</v>
      </c>
      <c r="J58" s="7">
        <f t="shared" si="26"/>
        <v>5.6976012793176926E-2</v>
      </c>
      <c r="K58" s="7">
        <f t="shared" si="26"/>
        <v>2.9476417594064629E-2</v>
      </c>
      <c r="L58" s="7"/>
      <c r="M58" s="7"/>
      <c r="N58" s="7"/>
      <c r="O58" s="7"/>
      <c r="P58" s="7"/>
      <c r="Q58" s="67" t="str">
        <f t="shared" ca="1" si="2"/>
        <v/>
      </c>
      <c r="R58" s="15"/>
    </row>
    <row r="59" spans="1:18" x14ac:dyDescent="0.4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x14ac:dyDescent="0.45">
      <c r="A60" s="29" t="s">
        <v>115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x14ac:dyDescent="0.4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x14ac:dyDescent="0.4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x14ac:dyDescent="0.4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x14ac:dyDescent="0.4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2:18" x14ac:dyDescent="0.4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2:18" x14ac:dyDescent="0.4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2:18" x14ac:dyDescent="0.4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2:18" x14ac:dyDescent="0.4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2:18" x14ac:dyDescent="0.4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2:18" x14ac:dyDescent="0.4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2:18" x14ac:dyDescent="0.4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2:18" x14ac:dyDescent="0.4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2:18" x14ac:dyDescent="0.4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2:18" x14ac:dyDescent="0.4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2:18" x14ac:dyDescent="0.4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</sheetData>
  <printOptions headings="1" gridLines="1"/>
  <pageMargins left="0.70866141732283472" right="0.70866141732283472" top="0.74803149606299213" bottom="0.74803149606299213" header="0.31496062992125984" footer="0.31496062992125984"/>
  <pageSetup scale="4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F229-0136-4293-B2BC-7788314D01D9}">
  <sheetPr>
    <pageSetUpPr fitToPage="1"/>
  </sheetPr>
  <dimension ref="A1:R120"/>
  <sheetViews>
    <sheetView tabSelected="1" zoomScale="150" zoomScaleNormal="150" workbookViewId="0">
      <pane xSplit="2" ySplit="3" topLeftCell="K88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M95" sqref="M95"/>
    </sheetView>
  </sheetViews>
  <sheetFormatPr defaultRowHeight="15.75" x14ac:dyDescent="0.45"/>
  <cols>
    <col min="1" max="1" width="1.59765625" style="29" customWidth="1"/>
    <col min="2" max="2" width="40.59765625" style="15" customWidth="1"/>
    <col min="3" max="6" width="9.06640625" style="15" customWidth="1"/>
    <col min="7" max="7" width="9.1328125" style="15" customWidth="1"/>
    <col min="8" max="10" width="9.06640625" style="15" customWidth="1"/>
    <col min="11" max="11" width="9.06640625" style="15"/>
    <col min="12" max="12" width="9.19921875" style="15" bestFit="1" customWidth="1"/>
    <col min="13" max="16384" width="9.06640625" style="15"/>
  </cols>
  <sheetData>
    <row r="1" spans="1:17" s="18" customFormat="1" ht="14.25" x14ac:dyDescent="0.45">
      <c r="A1" s="103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99" t="s">
        <v>108</v>
      </c>
      <c r="B3" s="10"/>
      <c r="C3" s="69">
        <f>IS!C$3</f>
        <v>40908</v>
      </c>
      <c r="D3" s="69">
        <f>IS!D$3</f>
        <v>41274</v>
      </c>
      <c r="E3" s="69">
        <f>IS!E$3</f>
        <v>41639</v>
      </c>
      <c r="F3" s="69">
        <f>IS!F$3</f>
        <v>42004</v>
      </c>
      <c r="G3" s="69">
        <f>IS!G$3</f>
        <v>42369</v>
      </c>
      <c r="H3" s="69">
        <f>IS!H$3</f>
        <v>42735</v>
      </c>
      <c r="I3" s="69">
        <f>IS!I$3</f>
        <v>43100</v>
      </c>
      <c r="J3" s="69">
        <f>IS!J$3</f>
        <v>43465</v>
      </c>
      <c r="K3" s="69">
        <f>IS!K$3</f>
        <v>43830</v>
      </c>
      <c r="L3" s="69">
        <f>IS!L$3</f>
        <v>44196</v>
      </c>
      <c r="M3" s="69">
        <f>IS!M$3</f>
        <v>44561</v>
      </c>
      <c r="N3" s="69">
        <f>IS!N$3</f>
        <v>44926</v>
      </c>
      <c r="O3" s="69">
        <f>IS!O$3</f>
        <v>45291</v>
      </c>
      <c r="P3" s="69">
        <f>IS!P$3</f>
        <v>45657</v>
      </c>
    </row>
    <row r="4" spans="1:17" x14ac:dyDescent="0.45">
      <c r="C4" s="2"/>
      <c r="D4" s="2"/>
      <c r="E4" s="2"/>
      <c r="F4" s="2"/>
      <c r="G4" s="2"/>
      <c r="H4" s="2"/>
      <c r="I4" s="2"/>
      <c r="J4" s="2"/>
      <c r="K4" s="2"/>
    </row>
    <row r="5" spans="1:17" x14ac:dyDescent="0.45">
      <c r="A5" s="29" t="s">
        <v>67</v>
      </c>
      <c r="C5" s="2"/>
      <c r="D5" s="2"/>
      <c r="E5" s="2"/>
      <c r="F5" s="2"/>
      <c r="G5" s="2"/>
      <c r="H5" s="2"/>
      <c r="I5" s="2"/>
      <c r="J5" s="2"/>
      <c r="K5" s="2"/>
    </row>
    <row r="6" spans="1:17" x14ac:dyDescent="0.45">
      <c r="B6" s="15" t="s">
        <v>39</v>
      </c>
      <c r="F6" s="23">
        <f t="shared" ref="F6:K6" si="0">F48*-1</f>
        <v>0</v>
      </c>
      <c r="G6" s="23">
        <f t="shared" si="0"/>
        <v>-104.989</v>
      </c>
      <c r="H6" s="23">
        <f t="shared" si="0"/>
        <v>-108.30800000000001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15" t="str">
        <f ca="1">IFERROR(_xlfn.FORMULATEXT(P6),"")</f>
        <v/>
      </c>
    </row>
    <row r="7" spans="1:17" s="19" customFormat="1" x14ac:dyDescent="0.45">
      <c r="A7" s="86"/>
      <c r="B7" s="19" t="s">
        <v>278</v>
      </c>
      <c r="F7" s="87">
        <f>-F48/IS!F28</f>
        <v>0</v>
      </c>
      <c r="G7" s="87">
        <f>-G48/IS!G28</f>
        <v>-5.3132085020242914E-2</v>
      </c>
      <c r="H7" s="87">
        <f>-H48/IS!H28</f>
        <v>-5.7094359515023722E-2</v>
      </c>
      <c r="I7" s="87">
        <f>-I48/IS!I28</f>
        <v>0</v>
      </c>
      <c r="J7" s="87">
        <f>-J48/IS!J28</f>
        <v>0</v>
      </c>
      <c r="K7" s="87">
        <f>-K48/IS!K28</f>
        <v>0</v>
      </c>
      <c r="L7" s="24">
        <v>0.12</v>
      </c>
      <c r="M7" s="24">
        <v>0.05</v>
      </c>
      <c r="N7" s="24">
        <v>0.05</v>
      </c>
      <c r="O7" s="24">
        <v>0.05</v>
      </c>
      <c r="P7" s="24">
        <v>0.05</v>
      </c>
      <c r="Q7" s="19" t="str">
        <f ca="1">IFERROR(_xlfn.FORMULATEXT(P7),"")</f>
        <v/>
      </c>
    </row>
    <row r="8" spans="1:17" s="68" customFormat="1" x14ac:dyDescent="0.45">
      <c r="A8" s="29"/>
      <c r="B8" s="68" t="s">
        <v>193</v>
      </c>
      <c r="F8" s="7"/>
      <c r="G8" s="7"/>
      <c r="H8" s="7"/>
      <c r="I8" s="7"/>
      <c r="J8" s="7"/>
      <c r="K8" s="7"/>
      <c r="L8" s="81">
        <v>0</v>
      </c>
      <c r="M8" s="81">
        <v>0</v>
      </c>
      <c r="N8" s="81">
        <v>0</v>
      </c>
      <c r="O8" s="81">
        <v>0</v>
      </c>
      <c r="P8" s="81">
        <v>0</v>
      </c>
    </row>
    <row r="9" spans="1:17" s="68" customFormat="1" x14ac:dyDescent="0.45">
      <c r="A9" s="29"/>
      <c r="B9" s="68" t="s">
        <v>187</v>
      </c>
      <c r="F9" s="16"/>
      <c r="G9" s="23">
        <v>-134.429</v>
      </c>
      <c r="H9" s="23">
        <v>-113.35</v>
      </c>
      <c r="I9" s="23">
        <v>-113.35</v>
      </c>
      <c r="J9" s="23">
        <v>-107.727</v>
      </c>
      <c r="K9" s="23">
        <v>-107.727</v>
      </c>
      <c r="L9" s="81">
        <f>K9</f>
        <v>-107.727</v>
      </c>
      <c r="M9" s="81">
        <f>L9</f>
        <v>-107.727</v>
      </c>
      <c r="N9" s="81">
        <f>M9</f>
        <v>-107.727</v>
      </c>
      <c r="O9" s="81">
        <f>N9</f>
        <v>-107.727</v>
      </c>
      <c r="P9" s="81">
        <f>O9</f>
        <v>-107.727</v>
      </c>
      <c r="Q9" s="68" t="str">
        <f t="shared" ref="Q9:Q40" ca="1" si="1">IFERROR(_xlfn.FORMULATEXT(P9),"")</f>
        <v>=O9</v>
      </c>
    </row>
    <row r="10" spans="1:17" x14ac:dyDescent="0.45">
      <c r="B10" s="15" t="s">
        <v>188</v>
      </c>
      <c r="F10" s="16"/>
      <c r="G10" s="16"/>
      <c r="H10" s="83">
        <f>-H43/G44</f>
        <v>0.18934475722637106</v>
      </c>
      <c r="I10" s="83">
        <f>-I43/H44</f>
        <v>0.20765914819650072</v>
      </c>
      <c r="J10" s="83">
        <f>-J43/I44</f>
        <v>0.22852335769569426</v>
      </c>
      <c r="K10" s="83">
        <f>-K43/J44</f>
        <v>0.25565532505722233</v>
      </c>
      <c r="L10" s="24">
        <v>0.25</v>
      </c>
      <c r="M10" s="24">
        <v>0.25</v>
      </c>
      <c r="N10" s="24">
        <v>0.25</v>
      </c>
      <c r="O10" s="24">
        <v>0.25</v>
      </c>
      <c r="P10" s="24">
        <v>0.25</v>
      </c>
      <c r="Q10" s="67" t="str">
        <f t="shared" ca="1" si="1"/>
        <v/>
      </c>
    </row>
    <row r="11" spans="1:17" s="19" customFormat="1" x14ac:dyDescent="0.45">
      <c r="A11" s="86"/>
      <c r="B11" s="19" t="s">
        <v>279</v>
      </c>
      <c r="F11" s="87">
        <f>F53/IS!F28</f>
        <v>0</v>
      </c>
      <c r="G11" s="87">
        <f>G53/IS!G28</f>
        <v>0.10772317813765182</v>
      </c>
      <c r="H11" s="87">
        <f>H53/IS!H28</f>
        <v>7.2865050079072222E-2</v>
      </c>
      <c r="I11" s="87">
        <f>I53/IS!I28</f>
        <v>0.11080906148867314</v>
      </c>
      <c r="J11" s="87">
        <f>J53/IS!J28</f>
        <v>0.10641684434968017</v>
      </c>
      <c r="K11" s="87">
        <f>K53/IS!K28</f>
        <v>0.11460784313725489</v>
      </c>
      <c r="L11" s="24">
        <v>0.1</v>
      </c>
      <c r="M11" s="24">
        <v>0.1</v>
      </c>
      <c r="N11" s="24">
        <v>0.1</v>
      </c>
      <c r="O11" s="24">
        <v>0.1</v>
      </c>
      <c r="P11" s="24">
        <v>0.1</v>
      </c>
      <c r="Q11" s="19" t="str">
        <f t="shared" ca="1" si="1"/>
        <v/>
      </c>
    </row>
    <row r="12" spans="1:17" ht="15" customHeight="1" x14ac:dyDescent="0.45">
      <c r="B12" s="15" t="s">
        <v>69</v>
      </c>
      <c r="H12" s="7">
        <f>-H54/G91</f>
        <v>0.21754680172063681</v>
      </c>
      <c r="I12" s="7">
        <f>-I54/H91</f>
        <v>0.19762568568169886</v>
      </c>
      <c r="J12" s="7">
        <f>-J54/I91</f>
        <v>0.21306323971562743</v>
      </c>
      <c r="K12" s="7">
        <f>-K54/J91</f>
        <v>0.19508402295320376</v>
      </c>
      <c r="L12" s="24">
        <v>0.2</v>
      </c>
      <c r="M12" s="24">
        <v>0.2</v>
      </c>
      <c r="N12" s="24">
        <v>0.2</v>
      </c>
      <c r="O12" s="24">
        <v>0.2</v>
      </c>
      <c r="P12" s="24">
        <v>0.2</v>
      </c>
      <c r="Q12" s="67" t="str">
        <f t="shared" ca="1" si="1"/>
        <v/>
      </c>
    </row>
    <row r="13" spans="1:17" ht="15" customHeight="1" x14ac:dyDescent="0.45">
      <c r="B13" s="15" t="s">
        <v>76</v>
      </c>
      <c r="H13" s="7"/>
      <c r="I13" s="7"/>
      <c r="J13" s="7"/>
      <c r="K13" s="7">
        <f>24.2/IS!K28</f>
        <v>1.2824589295177531E-2</v>
      </c>
      <c r="L13" s="24">
        <v>1.2999999999999999E-2</v>
      </c>
      <c r="M13" s="24">
        <v>1.2999999999999999E-2</v>
      </c>
      <c r="N13" s="24">
        <v>1.2999999999999999E-2</v>
      </c>
      <c r="O13" s="24">
        <v>1.2999999999999999E-2</v>
      </c>
      <c r="P13" s="24">
        <v>1.2999999999999999E-2</v>
      </c>
      <c r="Q13" s="67" t="str">
        <f t="shared" ca="1" si="1"/>
        <v/>
      </c>
    </row>
    <row r="14" spans="1:17" ht="15" customHeight="1" x14ac:dyDescent="0.45">
      <c r="B14" s="15" t="s">
        <v>77</v>
      </c>
      <c r="H14" s="7"/>
      <c r="I14" s="7"/>
      <c r="J14" s="7"/>
      <c r="K14" s="7">
        <f>43.9/274.5</f>
        <v>0.15992714025500909</v>
      </c>
      <c r="L14" s="24">
        <v>0.16</v>
      </c>
      <c r="M14" s="24">
        <v>0.16</v>
      </c>
      <c r="N14" s="24">
        <v>0.16</v>
      </c>
      <c r="O14" s="24">
        <v>0.16</v>
      </c>
      <c r="P14" s="24">
        <v>0.16</v>
      </c>
      <c r="Q14" s="67" t="str">
        <f t="shared" ca="1" si="1"/>
        <v/>
      </c>
    </row>
    <row r="15" spans="1:17" x14ac:dyDescent="0.45">
      <c r="B15" s="15" t="s">
        <v>71</v>
      </c>
      <c r="G15" s="8">
        <f>G74/IS!G28*365</f>
        <v>64.095551619433209</v>
      </c>
      <c r="H15" s="8">
        <f>H74/IS!H28*365</f>
        <v>75.781465471797574</v>
      </c>
      <c r="I15" s="8">
        <f>I74/IS!I28*365</f>
        <v>85.681879719525341</v>
      </c>
      <c r="J15" s="8">
        <f>J74/IS!J28*365</f>
        <v>82.814141791044776</v>
      </c>
      <c r="K15" s="8">
        <f>K74/IS!K28*365</f>
        <v>81.543359830418652</v>
      </c>
      <c r="L15" s="31">
        <v>82</v>
      </c>
      <c r="M15" s="31">
        <v>82</v>
      </c>
      <c r="N15" s="31">
        <v>82</v>
      </c>
      <c r="O15" s="31">
        <v>82</v>
      </c>
      <c r="P15" s="31">
        <v>82</v>
      </c>
      <c r="Q15" s="67" t="str">
        <f t="shared" ca="1" si="1"/>
        <v/>
      </c>
    </row>
    <row r="16" spans="1:17" x14ac:dyDescent="0.45">
      <c r="B16" s="15" t="s">
        <v>72</v>
      </c>
      <c r="G16" s="8">
        <f>G88/IS!G28*365</f>
        <v>5.5257970647773282</v>
      </c>
      <c r="H16" s="8">
        <f>H88/IS!H28*365</f>
        <v>5.5300289931470745</v>
      </c>
      <c r="I16" s="8">
        <f>I88/IS!I28*365</f>
        <v>11.315</v>
      </c>
      <c r="J16" s="8">
        <f>J88/IS!J28*365</f>
        <v>9.0139045842217485</v>
      </c>
      <c r="K16" s="8">
        <f>K88/IS!K28*365</f>
        <v>10.587127715951246</v>
      </c>
      <c r="L16" s="31">
        <v>10</v>
      </c>
      <c r="M16" s="31">
        <v>10</v>
      </c>
      <c r="N16" s="31">
        <v>10</v>
      </c>
      <c r="O16" s="31">
        <v>10</v>
      </c>
      <c r="P16" s="31">
        <v>10</v>
      </c>
      <c r="Q16" s="67" t="str">
        <f t="shared" ca="1" si="1"/>
        <v/>
      </c>
    </row>
    <row r="17" spans="1:18" x14ac:dyDescent="0.45">
      <c r="B17" s="15" t="s">
        <v>70</v>
      </c>
      <c r="G17" s="15">
        <f>G97/(IS!G28-IS!G33) * 365</f>
        <v>148.59123161764705</v>
      </c>
      <c r="H17" s="15">
        <f>H97/(IS!H28-IS!H33) * 365</f>
        <v>133.92828582434515</v>
      </c>
      <c r="I17" s="15">
        <f>I97/(IS!I28-IS!I33) * 365</f>
        <v>156.46670760697307</v>
      </c>
      <c r="J17" s="15">
        <f>J97/(IS!J28-IS!J33) * 365</f>
        <v>143.54069073783359</v>
      </c>
      <c r="K17" s="15">
        <f>K97/(IS!K28-IS!K33) * 365</f>
        <v>148.69858352578908</v>
      </c>
      <c r="L17" s="31">
        <v>150</v>
      </c>
      <c r="M17" s="31">
        <v>150</v>
      </c>
      <c r="N17" s="31">
        <v>150</v>
      </c>
      <c r="O17" s="31">
        <v>150</v>
      </c>
      <c r="P17" s="31">
        <v>150</v>
      </c>
      <c r="Q17" s="67" t="str">
        <f t="shared" ca="1" si="1"/>
        <v/>
      </c>
    </row>
    <row r="18" spans="1:18" s="68" customFormat="1" x14ac:dyDescent="0.45">
      <c r="A18" s="29"/>
      <c r="B18" s="19" t="s">
        <v>28</v>
      </c>
      <c r="F18" s="23">
        <v>8.5660000000000007</v>
      </c>
      <c r="G18" s="23">
        <v>7.8929999999999998</v>
      </c>
      <c r="H18" s="23">
        <v>7.9160000000000004</v>
      </c>
      <c r="I18" s="23">
        <v>6.4809999999999999</v>
      </c>
      <c r="J18" s="23">
        <v>8.8859999999999992</v>
      </c>
      <c r="K18" s="23">
        <v>9.7129999999999992</v>
      </c>
      <c r="L18" s="81">
        <f>K18</f>
        <v>9.7129999999999992</v>
      </c>
      <c r="M18" s="81">
        <f>L18</f>
        <v>9.7129999999999992</v>
      </c>
      <c r="N18" s="81">
        <f>M18</f>
        <v>9.7129999999999992</v>
      </c>
      <c r="O18" s="81">
        <f>N18</f>
        <v>9.7129999999999992</v>
      </c>
      <c r="P18" s="81">
        <f>O18</f>
        <v>9.7129999999999992</v>
      </c>
      <c r="Q18" s="68" t="str">
        <f t="shared" ca="1" si="1"/>
        <v>=O18</v>
      </c>
    </row>
    <row r="19" spans="1:18" x14ac:dyDescent="0.45">
      <c r="B19" s="15" t="s">
        <v>78</v>
      </c>
      <c r="G19" s="7"/>
      <c r="H19" s="7"/>
      <c r="I19" s="7"/>
      <c r="J19" s="7"/>
      <c r="K19" s="7"/>
      <c r="L19" s="36">
        <f>L14</f>
        <v>0.16</v>
      </c>
      <c r="M19" s="36">
        <f>M14</f>
        <v>0.16</v>
      </c>
      <c r="N19" s="36">
        <f>N14</f>
        <v>0.16</v>
      </c>
      <c r="O19" s="36">
        <f>O14</f>
        <v>0.16</v>
      </c>
      <c r="P19" s="36">
        <f>P14</f>
        <v>0.16</v>
      </c>
      <c r="Q19" s="67" t="str">
        <f t="shared" ca="1" si="1"/>
        <v>=P14</v>
      </c>
    </row>
    <row r="20" spans="1:18" s="68" customFormat="1" x14ac:dyDescent="0.45">
      <c r="A20" s="29"/>
      <c r="B20" s="19" t="s">
        <v>24</v>
      </c>
      <c r="F20" s="23">
        <v>52.24</v>
      </c>
      <c r="G20" s="23">
        <v>44.872999999999998</v>
      </c>
      <c r="H20" s="23">
        <v>55.83</v>
      </c>
      <c r="I20" s="23">
        <v>58.206000000000003</v>
      </c>
      <c r="J20" s="33">
        <f>56.813+4.067</f>
        <v>60.88</v>
      </c>
      <c r="K20" s="33">
        <f>65.294+5.922</f>
        <v>71.215999999999994</v>
      </c>
      <c r="L20" s="81">
        <f t="shared" ref="L20:P26" si="2">K20</f>
        <v>71.215999999999994</v>
      </c>
      <c r="M20" s="81">
        <f t="shared" si="2"/>
        <v>71.215999999999994</v>
      </c>
      <c r="N20" s="81">
        <f t="shared" si="2"/>
        <v>71.215999999999994</v>
      </c>
      <c r="O20" s="81">
        <f t="shared" si="2"/>
        <v>71.215999999999994</v>
      </c>
      <c r="P20" s="81">
        <f t="shared" si="2"/>
        <v>71.215999999999994</v>
      </c>
      <c r="Q20" s="68" t="str">
        <f t="shared" ca="1" si="1"/>
        <v>=O20</v>
      </c>
    </row>
    <row r="21" spans="1:18" s="68" customFormat="1" x14ac:dyDescent="0.45">
      <c r="A21" s="29"/>
      <c r="B21" s="19" t="s">
        <v>25</v>
      </c>
      <c r="F21" s="23">
        <f>1.766+1.249+0.153+38.14</f>
        <v>41.308</v>
      </c>
      <c r="G21" s="23">
        <f>0.847+0.823</f>
        <v>1.67</v>
      </c>
      <c r="H21" s="23">
        <f>0.583+0.433</f>
        <v>1.016</v>
      </c>
      <c r="I21" s="23">
        <v>0.248</v>
      </c>
      <c r="J21" s="33">
        <f>0.631+45.933</f>
        <v>46.564</v>
      </c>
      <c r="K21" s="33">
        <f>54.801</f>
        <v>54.801000000000002</v>
      </c>
      <c r="L21" s="81">
        <f t="shared" si="2"/>
        <v>54.801000000000002</v>
      </c>
      <c r="M21" s="81">
        <f t="shared" si="2"/>
        <v>54.801000000000002</v>
      </c>
      <c r="N21" s="81">
        <f t="shared" si="2"/>
        <v>54.801000000000002</v>
      </c>
      <c r="O21" s="81">
        <f t="shared" si="2"/>
        <v>54.801000000000002</v>
      </c>
      <c r="P21" s="81">
        <f t="shared" si="2"/>
        <v>54.801000000000002</v>
      </c>
      <c r="Q21" s="68" t="str">
        <f t="shared" ca="1" si="1"/>
        <v>=O21</v>
      </c>
    </row>
    <row r="22" spans="1:18" s="19" customFormat="1" x14ac:dyDescent="0.45">
      <c r="A22" s="86"/>
      <c r="B22" s="19" t="s">
        <v>36</v>
      </c>
      <c r="F22" s="35">
        <v>53.356000000000002</v>
      </c>
      <c r="G22" s="35">
        <v>58.094000000000001</v>
      </c>
      <c r="H22" s="35">
        <v>40.844999999999999</v>
      </c>
      <c r="I22" s="35">
        <v>30.643000000000001</v>
      </c>
      <c r="J22" s="35">
        <v>37.961000000000006</v>
      </c>
      <c r="K22" s="35">
        <v>31.783999999999999</v>
      </c>
      <c r="L22" s="81">
        <f t="shared" si="2"/>
        <v>31.783999999999999</v>
      </c>
      <c r="M22" s="81">
        <f t="shared" si="2"/>
        <v>31.783999999999999</v>
      </c>
      <c r="N22" s="81">
        <f t="shared" si="2"/>
        <v>31.783999999999999</v>
      </c>
      <c r="O22" s="81">
        <f t="shared" si="2"/>
        <v>31.783999999999999</v>
      </c>
      <c r="P22" s="81">
        <f t="shared" si="2"/>
        <v>31.783999999999999</v>
      </c>
      <c r="Q22" s="19" t="str">
        <f t="shared" ca="1" si="1"/>
        <v>=O22</v>
      </c>
    </row>
    <row r="23" spans="1:18" s="68" customFormat="1" x14ac:dyDescent="0.45">
      <c r="A23" s="29"/>
      <c r="B23" s="19" t="s">
        <v>35</v>
      </c>
      <c r="F23" s="23">
        <v>10.79</v>
      </c>
      <c r="G23" s="23">
        <v>11.707000000000001</v>
      </c>
      <c r="H23" s="23">
        <v>3.8730000000000002</v>
      </c>
      <c r="I23" s="23">
        <v>23.885999999999999</v>
      </c>
      <c r="J23" s="23">
        <v>26.734999999999999</v>
      </c>
      <c r="K23" s="23">
        <v>28.981999999999999</v>
      </c>
      <c r="L23" s="81">
        <f t="shared" si="2"/>
        <v>28.981999999999999</v>
      </c>
      <c r="M23" s="81">
        <f t="shared" si="2"/>
        <v>28.981999999999999</v>
      </c>
      <c r="N23" s="81">
        <f t="shared" si="2"/>
        <v>28.981999999999999</v>
      </c>
      <c r="O23" s="81">
        <f t="shared" si="2"/>
        <v>28.981999999999999</v>
      </c>
      <c r="P23" s="81">
        <f t="shared" si="2"/>
        <v>28.981999999999999</v>
      </c>
      <c r="Q23" s="68" t="str">
        <f t="shared" ca="1" si="1"/>
        <v>=O23</v>
      </c>
    </row>
    <row r="24" spans="1:18" s="68" customFormat="1" x14ac:dyDescent="0.45">
      <c r="A24" s="29"/>
      <c r="B24" s="19" t="s">
        <v>33</v>
      </c>
      <c r="F24" s="23">
        <v>6.35</v>
      </c>
      <c r="G24" s="23">
        <v>6.7690000000000001</v>
      </c>
      <c r="H24" s="23">
        <v>7.5970000000000004</v>
      </c>
      <c r="I24" s="23">
        <v>4.899</v>
      </c>
      <c r="J24" s="23">
        <v>1.9730000000000001</v>
      </c>
      <c r="K24" s="23">
        <v>34.777000000000001</v>
      </c>
      <c r="L24" s="81">
        <f t="shared" si="2"/>
        <v>34.777000000000001</v>
      </c>
      <c r="M24" s="81">
        <f t="shared" si="2"/>
        <v>34.777000000000001</v>
      </c>
      <c r="N24" s="81">
        <f t="shared" si="2"/>
        <v>34.777000000000001</v>
      </c>
      <c r="O24" s="81">
        <f t="shared" si="2"/>
        <v>34.777000000000001</v>
      </c>
      <c r="P24" s="81">
        <f t="shared" si="2"/>
        <v>34.777000000000001</v>
      </c>
      <c r="Q24" s="68" t="str">
        <f t="shared" ca="1" si="1"/>
        <v>=O24</v>
      </c>
    </row>
    <row r="25" spans="1:18" s="68" customFormat="1" x14ac:dyDescent="0.45">
      <c r="A25" s="29"/>
      <c r="B25" s="19" t="s">
        <v>75</v>
      </c>
      <c r="E25" s="6"/>
      <c r="F25" s="23">
        <v>391.81499999999994</v>
      </c>
      <c r="G25" s="23">
        <v>262.61900000000003</v>
      </c>
      <c r="H25" s="23">
        <v>230.86500000000001</v>
      </c>
      <c r="I25" s="23">
        <v>164.797</v>
      </c>
      <c r="J25" s="23">
        <v>145.21100000000001</v>
      </c>
      <c r="K25" s="23">
        <v>151.62299999999999</v>
      </c>
      <c r="L25" s="81">
        <f t="shared" si="2"/>
        <v>151.62299999999999</v>
      </c>
      <c r="M25" s="81">
        <f t="shared" si="2"/>
        <v>151.62299999999999</v>
      </c>
      <c r="N25" s="81">
        <f t="shared" si="2"/>
        <v>151.62299999999999</v>
      </c>
      <c r="O25" s="81">
        <f t="shared" si="2"/>
        <v>151.62299999999999</v>
      </c>
      <c r="P25" s="81">
        <f t="shared" si="2"/>
        <v>151.62299999999999</v>
      </c>
      <c r="Q25" s="68" t="str">
        <f t="shared" ca="1" si="1"/>
        <v>=O25</v>
      </c>
    </row>
    <row r="26" spans="1:18" s="68" customFormat="1" x14ac:dyDescent="0.45">
      <c r="A26" s="29"/>
      <c r="B26" s="19" t="s">
        <v>32</v>
      </c>
      <c r="E26" s="6"/>
      <c r="F26" s="23">
        <v>137.27799999999999</v>
      </c>
      <c r="G26" s="6">
        <f>33.496</f>
        <v>33.496000000000002</v>
      </c>
      <c r="H26" s="23">
        <v>16.042999999999999</v>
      </c>
      <c r="I26" s="23">
        <v>5.3079999999999998</v>
      </c>
      <c r="J26" s="23">
        <v>0.36799999999999999</v>
      </c>
      <c r="K26" s="23">
        <v>20.454000000000001</v>
      </c>
      <c r="L26" s="81">
        <f t="shared" si="2"/>
        <v>20.454000000000001</v>
      </c>
      <c r="M26" s="81">
        <f t="shared" si="2"/>
        <v>20.454000000000001</v>
      </c>
      <c r="N26" s="81">
        <f t="shared" si="2"/>
        <v>20.454000000000001</v>
      </c>
      <c r="O26" s="81">
        <f t="shared" si="2"/>
        <v>20.454000000000001</v>
      </c>
      <c r="P26" s="81">
        <f t="shared" si="2"/>
        <v>20.454000000000001</v>
      </c>
      <c r="Q26" s="68" t="str">
        <f t="shared" ca="1" si="1"/>
        <v>=O26</v>
      </c>
    </row>
    <row r="27" spans="1:18" customFormat="1" x14ac:dyDescent="0.45">
      <c r="A27" s="29"/>
      <c r="B27" s="15" t="s">
        <v>270</v>
      </c>
      <c r="C27" s="15"/>
      <c r="D27" s="15"/>
      <c r="E27" s="15"/>
      <c r="F27" s="88"/>
      <c r="G27" s="26">
        <f>G102/F91</f>
        <v>0.21784425665561991</v>
      </c>
      <c r="H27" s="26">
        <f>H102/G91</f>
        <v>0.1940186986503348</v>
      </c>
      <c r="I27" s="26">
        <f>I102/H91</f>
        <v>0.18181993048138023</v>
      </c>
      <c r="J27" s="26">
        <f>J102/I91</f>
        <v>0.19576256699548503</v>
      </c>
      <c r="K27" s="26">
        <f>K102/J91</f>
        <v>0.14348180241161596</v>
      </c>
      <c r="L27" s="36">
        <v>0.14299999999999999</v>
      </c>
      <c r="M27" s="36">
        <v>0.14299999999999999</v>
      </c>
      <c r="N27" s="36">
        <v>0.14299999999999999</v>
      </c>
      <c r="O27" s="36">
        <v>0.14299999999999999</v>
      </c>
      <c r="P27" s="36">
        <v>0.14299999999999999</v>
      </c>
      <c r="Q27" s="68" t="str">
        <f t="shared" ca="1" si="1"/>
        <v/>
      </c>
      <c r="R27" s="15"/>
    </row>
    <row r="28" spans="1:18" x14ac:dyDescent="0.45">
      <c r="B28" s="15" t="s">
        <v>229</v>
      </c>
      <c r="G28" s="15">
        <f>BS!G104-BS!F104</f>
        <v>-948.83400000000006</v>
      </c>
      <c r="H28" s="88">
        <f>BS!H104-BS!G104</f>
        <v>-2.9529999999999745</v>
      </c>
      <c r="I28" s="88">
        <f>BS!I104-BS!H104</f>
        <v>-438.37100000000009</v>
      </c>
      <c r="J28" s="88">
        <f>BS!J104-BS!I104</f>
        <v>178.30600000000004</v>
      </c>
      <c r="K28" s="88">
        <f>BS!K104-BS!J104</f>
        <v>9.2229999999999563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68" t="str">
        <f t="shared" ca="1" si="1"/>
        <v/>
      </c>
    </row>
    <row r="29" spans="1:18" x14ac:dyDescent="0.45">
      <c r="B29" s="15" t="s">
        <v>74</v>
      </c>
      <c r="G29" s="15">
        <f>BS!G71</f>
        <v>1303.4000000000001</v>
      </c>
      <c r="H29" s="15">
        <f>BS!H71</f>
        <v>15.583000000000084</v>
      </c>
      <c r="I29" s="15">
        <f>BS!I71</f>
        <v>19.551999999999907</v>
      </c>
      <c r="J29" s="15">
        <f>BS!J71</f>
        <v>44.295000000000073</v>
      </c>
      <c r="K29" s="15">
        <f>BS!K71</f>
        <v>-6.4639999999999418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68" t="str">
        <f t="shared" ca="1" si="1"/>
        <v/>
      </c>
    </row>
    <row r="30" spans="1:18" x14ac:dyDescent="0.45">
      <c r="C30" s="2"/>
      <c r="D30" s="2"/>
      <c r="E30" s="2"/>
      <c r="F30" s="2"/>
      <c r="G30" s="2"/>
      <c r="H30" s="2"/>
      <c r="I30" s="2"/>
      <c r="J30" s="2"/>
      <c r="K30" s="2"/>
      <c r="M30" s="108" t="str">
        <f t="shared" ref="M30:M95" ca="1" si="3">IFERROR(_xlfn.FORMULATEXT(L30),"")</f>
        <v/>
      </c>
      <c r="Q30" s="67" t="str">
        <f t="shared" ca="1" si="1"/>
        <v/>
      </c>
    </row>
    <row r="31" spans="1:18" s="90" customFormat="1" x14ac:dyDescent="0.45">
      <c r="A31" s="89" t="s">
        <v>175</v>
      </c>
      <c r="F31" s="91"/>
      <c r="G31" s="91"/>
      <c r="H31" s="91"/>
      <c r="I31" s="91"/>
      <c r="J31" s="91"/>
      <c r="K31" s="91"/>
      <c r="L31" s="91"/>
      <c r="M31" s="108" t="str">
        <f t="shared" ca="1" si="3"/>
        <v/>
      </c>
      <c r="N31" s="91"/>
      <c r="O31" s="91"/>
      <c r="P31" s="91"/>
      <c r="Q31" s="90" t="str">
        <f t="shared" ca="1" si="1"/>
        <v/>
      </c>
    </row>
    <row r="32" spans="1:18" s="68" customFormat="1" x14ac:dyDescent="0.45">
      <c r="A32" s="29"/>
      <c r="B32" s="27" t="s">
        <v>192</v>
      </c>
      <c r="C32" s="18"/>
      <c r="D32" s="18"/>
      <c r="E32" s="18"/>
      <c r="F32" s="82"/>
      <c r="G32" s="82"/>
      <c r="H32" s="82"/>
      <c r="I32" s="82"/>
      <c r="J32" s="82"/>
      <c r="K32" s="82"/>
      <c r="L32" s="82"/>
      <c r="M32" s="108" t="str">
        <f t="shared" ca="1" si="3"/>
        <v/>
      </c>
      <c r="N32" s="82"/>
      <c r="O32" s="82"/>
      <c r="P32" s="82"/>
      <c r="Q32" s="18" t="str">
        <f t="shared" ca="1" si="1"/>
        <v/>
      </c>
    </row>
    <row r="33" spans="1:17" s="68" customFormat="1" x14ac:dyDescent="0.45">
      <c r="A33" s="29"/>
      <c r="B33" s="27" t="s">
        <v>196</v>
      </c>
      <c r="C33" s="18"/>
      <c r="D33" s="18"/>
      <c r="E33" s="18"/>
      <c r="F33" s="82"/>
      <c r="G33" s="82"/>
      <c r="H33" s="82"/>
      <c r="I33" s="82"/>
      <c r="J33" s="82"/>
      <c r="K33" s="82"/>
      <c r="L33" s="82"/>
      <c r="M33" s="108" t="str">
        <f t="shared" ca="1" si="3"/>
        <v/>
      </c>
      <c r="N33" s="82"/>
      <c r="O33" s="82"/>
      <c r="P33" s="82"/>
      <c r="Q33" s="18" t="str">
        <f t="shared" ca="1" si="1"/>
        <v/>
      </c>
    </row>
    <row r="34" spans="1:17" s="68" customFormat="1" x14ac:dyDescent="0.45">
      <c r="A34" s="29"/>
      <c r="B34" s="27" t="s">
        <v>191</v>
      </c>
      <c r="C34" s="18"/>
      <c r="D34" s="18"/>
      <c r="E34" s="18"/>
      <c r="F34" s="82"/>
      <c r="G34" s="23">
        <v>1147.769</v>
      </c>
      <c r="H34" s="23">
        <v>1147.769</v>
      </c>
      <c r="I34" s="23">
        <v>1147.769</v>
      </c>
      <c r="J34" s="23">
        <v>1147.769</v>
      </c>
      <c r="K34" s="23">
        <v>1147.769</v>
      </c>
      <c r="L34" s="82"/>
      <c r="M34" s="108" t="str">
        <f t="shared" ca="1" si="3"/>
        <v/>
      </c>
      <c r="N34" s="82"/>
      <c r="O34" s="82"/>
      <c r="P34" s="82"/>
      <c r="Q34" s="18" t="str">
        <f t="shared" ca="1" si="1"/>
        <v/>
      </c>
    </row>
    <row r="35" spans="1:17" s="68" customFormat="1" x14ac:dyDescent="0.45">
      <c r="A35" s="29"/>
      <c r="B35" s="27"/>
      <c r="C35" s="18"/>
      <c r="D35" s="18"/>
      <c r="E35" s="18"/>
      <c r="F35" s="82"/>
      <c r="G35" s="82"/>
      <c r="H35" s="82"/>
      <c r="I35" s="82"/>
      <c r="J35" s="82"/>
      <c r="K35" s="82"/>
      <c r="L35" s="82"/>
      <c r="M35" s="108" t="str">
        <f t="shared" ca="1" si="3"/>
        <v/>
      </c>
      <c r="N35" s="82"/>
      <c r="O35" s="82"/>
      <c r="P35" s="82"/>
      <c r="Q35" s="18" t="str">
        <f t="shared" ca="1" si="1"/>
        <v/>
      </c>
    </row>
    <row r="36" spans="1:17" s="18" customFormat="1" x14ac:dyDescent="0.45">
      <c r="A36" s="29"/>
      <c r="B36" s="27" t="s">
        <v>189</v>
      </c>
      <c r="F36" s="82"/>
      <c r="G36" s="82"/>
      <c r="H36" s="82"/>
      <c r="I36" s="82"/>
      <c r="J36" s="82"/>
      <c r="K36" s="82"/>
      <c r="L36" s="82">
        <f>K38</f>
        <v>197.5</v>
      </c>
      <c r="M36" s="108" t="str">
        <f t="shared" ca="1" si="3"/>
        <v>=K38</v>
      </c>
      <c r="N36" s="82"/>
      <c r="O36" s="82"/>
      <c r="P36" s="82"/>
      <c r="Q36" s="68" t="str">
        <f t="shared" ca="1" si="1"/>
        <v/>
      </c>
    </row>
    <row r="37" spans="1:17" s="18" customFormat="1" x14ac:dyDescent="0.45">
      <c r="A37" s="29"/>
      <c r="B37" s="27" t="s">
        <v>185</v>
      </c>
      <c r="F37" s="82"/>
      <c r="G37" s="68">
        <f>G9</f>
        <v>-134.429</v>
      </c>
      <c r="H37" s="68">
        <f>H9</f>
        <v>-113.35</v>
      </c>
      <c r="I37" s="68">
        <f>I9</f>
        <v>-113.35</v>
      </c>
      <c r="J37" s="68">
        <f>J9</f>
        <v>-107.727</v>
      </c>
      <c r="K37" s="68">
        <f>K9</f>
        <v>-107.727</v>
      </c>
      <c r="L37" s="82">
        <f>MIN(-L9,L36)*-1</f>
        <v>-107.727</v>
      </c>
      <c r="M37" s="108" t="str">
        <f t="shared" ca="1" si="3"/>
        <v>=MIN(-L9,L36)*-1</v>
      </c>
      <c r="N37" s="82"/>
      <c r="O37" s="82"/>
      <c r="P37" s="82"/>
      <c r="Q37" s="68" t="str">
        <f t="shared" ca="1" si="1"/>
        <v/>
      </c>
    </row>
    <row r="38" spans="1:17" s="18" customFormat="1" x14ac:dyDescent="0.45">
      <c r="A38" s="29"/>
      <c r="B38" s="27" t="s">
        <v>190</v>
      </c>
      <c r="F38" s="82"/>
      <c r="G38" s="23">
        <v>639.654</v>
      </c>
      <c r="H38" s="23">
        <v>526.30399999999997</v>
      </c>
      <c r="I38" s="23">
        <v>412.95400000000001</v>
      </c>
      <c r="J38" s="23">
        <v>305.22699999999998</v>
      </c>
      <c r="K38" s="23">
        <v>197.5</v>
      </c>
      <c r="L38" s="82">
        <f>SUM(L36:L37)</f>
        <v>89.772999999999996</v>
      </c>
      <c r="M38" s="108" t="str">
        <f t="shared" ca="1" si="3"/>
        <v>=SUM(L36:L37)</v>
      </c>
      <c r="N38" s="82"/>
      <c r="O38" s="82"/>
      <c r="P38" s="82"/>
      <c r="Q38" s="68" t="str">
        <f t="shared" ca="1" si="1"/>
        <v/>
      </c>
    </row>
    <row r="39" spans="1:17" s="18" customFormat="1" x14ac:dyDescent="0.45">
      <c r="A39" s="29"/>
      <c r="B39" s="27"/>
      <c r="F39" s="82"/>
      <c r="G39" s="82"/>
      <c r="H39" s="82"/>
      <c r="I39" s="82"/>
      <c r="J39" s="82"/>
      <c r="K39" s="82"/>
      <c r="L39" s="82"/>
      <c r="M39" s="108" t="str">
        <f t="shared" ca="1" si="3"/>
        <v/>
      </c>
      <c r="N39" s="82"/>
      <c r="O39" s="82"/>
      <c r="P39" s="82"/>
      <c r="Q39" s="68" t="str">
        <f t="shared" ca="1" si="1"/>
        <v/>
      </c>
    </row>
    <row r="40" spans="1:17" s="18" customFormat="1" x14ac:dyDescent="0.45">
      <c r="A40" s="29"/>
      <c r="B40" s="27" t="s">
        <v>197</v>
      </c>
      <c r="F40" s="82"/>
      <c r="G40" s="82"/>
      <c r="H40" s="82"/>
      <c r="I40" s="82"/>
      <c r="J40" s="82"/>
      <c r="K40" s="82"/>
      <c r="L40" s="82">
        <f>K44</f>
        <v>774.69800000000009</v>
      </c>
      <c r="M40" s="108" t="str">
        <f t="shared" ca="1" si="3"/>
        <v>=K44</v>
      </c>
      <c r="N40" s="82"/>
      <c r="O40" s="82"/>
      <c r="P40" s="82"/>
      <c r="Q40" s="68" t="str">
        <f t="shared" ca="1" si="1"/>
        <v/>
      </c>
    </row>
    <row r="41" spans="1:17" s="18" customFormat="1" x14ac:dyDescent="0.45">
      <c r="A41" s="29"/>
      <c r="B41" s="27" t="s">
        <v>194</v>
      </c>
      <c r="F41" s="82"/>
      <c r="G41" s="23">
        <v>87.369</v>
      </c>
      <c r="H41" s="23">
        <v>80.076999999999998</v>
      </c>
      <c r="I41" s="23">
        <v>114.943</v>
      </c>
      <c r="J41" s="23">
        <v>134.06299999999999</v>
      </c>
      <c r="K41" s="23">
        <v>301.96800000000002</v>
      </c>
      <c r="L41" s="82">
        <f>L7*IS!L28</f>
        <v>235.05479250984001</v>
      </c>
      <c r="M41" s="108" t="str">
        <f t="shared" ca="1" si="3"/>
        <v>=L7*IS!L28</v>
      </c>
      <c r="N41" s="82"/>
      <c r="O41" s="82"/>
      <c r="P41" s="82"/>
      <c r="Q41" s="68" t="str">
        <f t="shared" ref="Q41:Q66" ca="1" si="4">IFERROR(_xlfn.FORMULATEXT(P41),"")</f>
        <v/>
      </c>
    </row>
    <row r="42" spans="1:17" s="18" customFormat="1" x14ac:dyDescent="0.45">
      <c r="A42" s="29"/>
      <c r="B42" s="68" t="s">
        <v>195</v>
      </c>
      <c r="F42" s="23">
        <v>0</v>
      </c>
      <c r="G42" s="23">
        <v>104.989</v>
      </c>
      <c r="H42" s="23">
        <v>108.30800000000001</v>
      </c>
      <c r="I42" s="23">
        <v>0</v>
      </c>
      <c r="J42" s="23">
        <v>0</v>
      </c>
      <c r="K42" s="23">
        <v>0</v>
      </c>
      <c r="L42" s="82">
        <f>L6</f>
        <v>0</v>
      </c>
      <c r="M42" s="108" t="str">
        <f t="shared" ca="1" si="3"/>
        <v>=L6</v>
      </c>
      <c r="N42" s="82"/>
      <c r="O42" s="82"/>
      <c r="P42" s="82"/>
      <c r="Q42" s="68" t="str">
        <f t="shared" ca="1" si="4"/>
        <v/>
      </c>
    </row>
    <row r="43" spans="1:17" s="18" customFormat="1" x14ac:dyDescent="0.45">
      <c r="A43" s="29"/>
      <c r="B43" s="27" t="s">
        <v>185</v>
      </c>
      <c r="F43" s="82"/>
      <c r="G43" s="82">
        <f>G49-G37</f>
        <v>-126.05499999999998</v>
      </c>
      <c r="H43" s="82">
        <f>H49-H37</f>
        <v>-138.916</v>
      </c>
      <c r="I43" s="82">
        <f>I49-I37</f>
        <v>-140.13400000000001</v>
      </c>
      <c r="J43" s="82">
        <f>J49-J37</f>
        <v>-148.45700000000002</v>
      </c>
      <c r="K43" s="82">
        <f>K49-K37</f>
        <v>-162.40299999999999</v>
      </c>
      <c r="L43" s="82">
        <f>L10*L40*-1</f>
        <v>-193.67450000000002</v>
      </c>
      <c r="M43" s="108" t="str">
        <f t="shared" ca="1" si="3"/>
        <v>=L10*L40*-1</v>
      </c>
      <c r="N43" s="82"/>
      <c r="O43" s="82"/>
      <c r="P43" s="82"/>
      <c r="Q43" s="68" t="str">
        <f t="shared" ca="1" si="4"/>
        <v/>
      </c>
    </row>
    <row r="44" spans="1:17" s="18" customFormat="1" x14ac:dyDescent="0.45">
      <c r="A44" s="29"/>
      <c r="B44" s="27" t="s">
        <v>198</v>
      </c>
      <c r="F44" s="82"/>
      <c r="G44" s="82">
        <f>G90-G34-G38</f>
        <v>733.66700000000014</v>
      </c>
      <c r="H44" s="82">
        <f>H90-H34-H38</f>
        <v>674.82700000000011</v>
      </c>
      <c r="I44" s="82">
        <f>I90-I34-I38</f>
        <v>649.63599999999997</v>
      </c>
      <c r="J44" s="82">
        <f>J90-J34-J38</f>
        <v>635.24199999999985</v>
      </c>
      <c r="K44" s="82">
        <f>K90-K34-K38</f>
        <v>774.69800000000009</v>
      </c>
      <c r="L44" s="82">
        <f>SUM(L40:L43)</f>
        <v>816.07829250984014</v>
      </c>
      <c r="M44" s="108" t="str">
        <f t="shared" ca="1" si="3"/>
        <v>=SUM(L40:L43)</v>
      </c>
      <c r="N44" s="82"/>
      <c r="O44" s="82"/>
      <c r="P44" s="82"/>
      <c r="Q44" s="68" t="str">
        <f t="shared" ca="1" si="4"/>
        <v/>
      </c>
    </row>
    <row r="45" spans="1:17" s="18" customFormat="1" x14ac:dyDescent="0.45">
      <c r="A45" s="29"/>
      <c r="B45" s="27"/>
      <c r="F45" s="82"/>
      <c r="G45" s="82"/>
      <c r="H45" s="82"/>
      <c r="I45" s="82"/>
      <c r="J45" s="82"/>
      <c r="K45" s="82"/>
      <c r="L45" s="82"/>
      <c r="M45" s="108" t="str">
        <f t="shared" ca="1" si="3"/>
        <v/>
      </c>
      <c r="N45" s="82"/>
      <c r="O45" s="82"/>
      <c r="P45" s="82"/>
      <c r="Q45" s="68" t="str">
        <f t="shared" ca="1" si="4"/>
        <v/>
      </c>
    </row>
    <row r="46" spans="1:17" x14ac:dyDescent="0.45">
      <c r="B46" s="15" t="s">
        <v>184</v>
      </c>
      <c r="F46" s="16"/>
      <c r="L46" s="15">
        <f>K50</f>
        <v>2119.9670000000001</v>
      </c>
      <c r="M46" s="108" t="str">
        <f t="shared" ca="1" si="3"/>
        <v>=K50</v>
      </c>
      <c r="Q46" s="67" t="str">
        <f t="shared" ca="1" si="4"/>
        <v/>
      </c>
    </row>
    <row r="47" spans="1:17" x14ac:dyDescent="0.45">
      <c r="B47" s="15" t="s">
        <v>194</v>
      </c>
      <c r="F47" s="16"/>
      <c r="G47" s="23">
        <v>87.369</v>
      </c>
      <c r="H47" s="23">
        <v>80.076999999999998</v>
      </c>
      <c r="I47" s="23">
        <v>114.943</v>
      </c>
      <c r="J47" s="23">
        <v>134.06299999999999</v>
      </c>
      <c r="K47" s="23">
        <v>301.96800000000002</v>
      </c>
      <c r="L47" s="15">
        <f>L41</f>
        <v>235.05479250984001</v>
      </c>
      <c r="M47" s="108" t="str">
        <f t="shared" ca="1" si="3"/>
        <v>=L41</v>
      </c>
      <c r="N47" s="68"/>
      <c r="O47" s="68"/>
      <c r="P47" s="68"/>
      <c r="Q47" s="67" t="str">
        <f t="shared" ca="1" si="4"/>
        <v/>
      </c>
    </row>
    <row r="48" spans="1:17" s="68" customFormat="1" x14ac:dyDescent="0.45">
      <c r="A48" s="29"/>
      <c r="B48" s="68" t="s">
        <v>195</v>
      </c>
      <c r="F48" s="23">
        <v>0</v>
      </c>
      <c r="G48" s="23">
        <v>104.989</v>
      </c>
      <c r="H48" s="23">
        <v>108.30800000000001</v>
      </c>
      <c r="I48" s="23">
        <v>0</v>
      </c>
      <c r="J48" s="23">
        <v>0</v>
      </c>
      <c r="K48" s="23">
        <v>0</v>
      </c>
      <c r="L48" s="107">
        <f>L42</f>
        <v>0</v>
      </c>
      <c r="M48" s="108" t="str">
        <f t="shared" ca="1" si="3"/>
        <v>=L42</v>
      </c>
      <c r="Q48" s="68" t="str">
        <f t="shared" ca="1" si="4"/>
        <v/>
      </c>
    </row>
    <row r="49" spans="2:17" x14ac:dyDescent="0.45">
      <c r="B49" s="15" t="s">
        <v>185</v>
      </c>
      <c r="F49" s="16"/>
      <c r="G49" s="23">
        <v>-260.48399999999998</v>
      </c>
      <c r="H49" s="23">
        <v>-252.26599999999999</v>
      </c>
      <c r="I49" s="23">
        <v>-253.48400000000001</v>
      </c>
      <c r="J49" s="23">
        <v>-256.18400000000003</v>
      </c>
      <c r="K49" s="23">
        <v>-270.13</v>
      </c>
      <c r="L49" s="15">
        <f>SUM(L37,L43)</f>
        <v>-301.40150000000006</v>
      </c>
      <c r="M49" s="108" t="str">
        <f t="shared" ca="1" si="3"/>
        <v>=SUM(L37,L43)</v>
      </c>
      <c r="N49" s="68"/>
      <c r="O49" s="68"/>
      <c r="P49" s="68"/>
      <c r="Q49" s="67" t="str">
        <f t="shared" ca="1" si="4"/>
        <v/>
      </c>
    </row>
    <row r="50" spans="2:17" x14ac:dyDescent="0.45">
      <c r="B50" s="15" t="s">
        <v>186</v>
      </c>
      <c r="F50" s="16"/>
      <c r="G50" s="15">
        <f>G90</f>
        <v>2521.09</v>
      </c>
      <c r="H50" s="68">
        <f>H90</f>
        <v>2348.9</v>
      </c>
      <c r="I50" s="68">
        <f>I90</f>
        <v>2210.3589999999999</v>
      </c>
      <c r="J50" s="68">
        <f>J90</f>
        <v>2088.2379999999998</v>
      </c>
      <c r="K50" s="68">
        <f>K90</f>
        <v>2119.9670000000001</v>
      </c>
      <c r="L50" s="15">
        <f>SUM(L46:L49)</f>
        <v>2053.6202925098401</v>
      </c>
      <c r="M50" s="108" t="str">
        <f t="shared" ca="1" si="3"/>
        <v>=SUM(L46:L49)</v>
      </c>
      <c r="Q50" s="67" t="str">
        <f t="shared" ca="1" si="4"/>
        <v/>
      </c>
    </row>
    <row r="51" spans="2:17" x14ac:dyDescent="0.45">
      <c r="F51" s="16"/>
      <c r="G51" s="17"/>
      <c r="H51" s="17"/>
      <c r="I51" s="17"/>
      <c r="J51" s="17"/>
      <c r="K51" s="17"/>
      <c r="L51" s="17"/>
      <c r="M51" s="108" t="str">
        <f t="shared" ca="1" si="3"/>
        <v/>
      </c>
      <c r="N51" s="17"/>
      <c r="O51" s="17"/>
      <c r="P51" s="17"/>
      <c r="Q51" s="67" t="str">
        <f t="shared" ca="1" si="4"/>
        <v/>
      </c>
    </row>
    <row r="52" spans="2:17" x14ac:dyDescent="0.45">
      <c r="B52" s="15" t="s">
        <v>199</v>
      </c>
      <c r="L52" s="15">
        <f>K55</f>
        <v>846.64200000000005</v>
      </c>
      <c r="M52" s="108" t="str">
        <f t="shared" ca="1" si="3"/>
        <v>=K55</v>
      </c>
      <c r="Q52" s="67" t="str">
        <f t="shared" ca="1" si="4"/>
        <v/>
      </c>
    </row>
    <row r="53" spans="2:17" x14ac:dyDescent="0.45">
      <c r="B53" s="15" t="s">
        <v>200</v>
      </c>
      <c r="G53" s="23">
        <v>212.86099999999999</v>
      </c>
      <c r="H53" s="23">
        <v>138.22499999999999</v>
      </c>
      <c r="I53" s="23">
        <v>205.44</v>
      </c>
      <c r="J53" s="23">
        <v>199.63800000000001</v>
      </c>
      <c r="K53" s="23">
        <v>216.26499999999999</v>
      </c>
      <c r="L53" s="15">
        <f>L11*IS!L28</f>
        <v>195.87899375820004</v>
      </c>
      <c r="M53" s="108" t="str">
        <f t="shared" ca="1" si="3"/>
        <v>=L11*IS!L28</v>
      </c>
      <c r="Q53" s="67" t="str">
        <f t="shared" ca="1" si="4"/>
        <v/>
      </c>
    </row>
    <row r="54" spans="2:17" x14ac:dyDescent="0.45">
      <c r="B54" s="15" t="s">
        <v>201</v>
      </c>
      <c r="G54" s="23">
        <v>-197.45500000000001</v>
      </c>
      <c r="H54" s="23">
        <v>-207.30099999999999</v>
      </c>
      <c r="I54" s="23">
        <v>-174.66</v>
      </c>
      <c r="J54" s="23">
        <v>-169.50800000000001</v>
      </c>
      <c r="K54" s="23">
        <v>-160.703</v>
      </c>
      <c r="L54" s="15">
        <f>L12*L52*-1</f>
        <v>-169.32840000000002</v>
      </c>
      <c r="M54" s="108" t="str">
        <f t="shared" ca="1" si="3"/>
        <v>=L12*L52*-1</v>
      </c>
      <c r="N54" s="68"/>
      <c r="O54" s="68"/>
      <c r="P54" s="68"/>
      <c r="Q54" s="67" t="str">
        <f t="shared" ca="1" si="4"/>
        <v/>
      </c>
    </row>
    <row r="55" spans="2:17" x14ac:dyDescent="0.45">
      <c r="B55" s="15" t="s">
        <v>202</v>
      </c>
      <c r="K55" s="15">
        <f>K91</f>
        <v>846.64200000000005</v>
      </c>
      <c r="L55" s="15">
        <f>SUM(L52:L54)</f>
        <v>873.19259375820013</v>
      </c>
      <c r="M55" s="108" t="str">
        <f t="shared" ca="1" si="3"/>
        <v>=SUM(L52:L54)</v>
      </c>
      <c r="Q55" s="67" t="str">
        <f t="shared" ca="1" si="4"/>
        <v/>
      </c>
    </row>
    <row r="56" spans="2:17" x14ac:dyDescent="0.45">
      <c r="M56" s="108" t="str">
        <f t="shared" ca="1" si="3"/>
        <v/>
      </c>
      <c r="Q56" s="67" t="str">
        <f t="shared" ca="1" si="4"/>
        <v/>
      </c>
    </row>
    <row r="57" spans="2:17" x14ac:dyDescent="0.45">
      <c r="B57" s="15" t="s">
        <v>203</v>
      </c>
      <c r="L57" s="15">
        <f>K60</f>
        <v>282.73599999999999</v>
      </c>
      <c r="M57" s="108" t="str">
        <f t="shared" ca="1" si="3"/>
        <v>=K60</v>
      </c>
      <c r="Q57" s="67" t="str">
        <f t="shared" ca="1" si="4"/>
        <v/>
      </c>
    </row>
    <row r="58" spans="2:17" x14ac:dyDescent="0.45">
      <c r="B58" s="15" t="s">
        <v>204</v>
      </c>
      <c r="L58" s="15">
        <f>L13*IS!L28</f>
        <v>25.464269188566</v>
      </c>
      <c r="M58" s="108" t="str">
        <f t="shared" ca="1" si="3"/>
        <v>=L13*IS!L28</v>
      </c>
      <c r="Q58" s="67" t="str">
        <f t="shared" ca="1" si="4"/>
        <v/>
      </c>
    </row>
    <row r="59" spans="2:17" x14ac:dyDescent="0.45">
      <c r="B59" s="15" t="s">
        <v>201</v>
      </c>
      <c r="L59" s="15">
        <f>L14*L57*-1</f>
        <v>-45.237760000000002</v>
      </c>
      <c r="M59" s="108" t="str">
        <f t="shared" ca="1" si="3"/>
        <v>=L14*L57*-1</v>
      </c>
      <c r="N59" s="68"/>
      <c r="O59" s="68"/>
      <c r="P59" s="68"/>
      <c r="Q59" s="67" t="str">
        <f t="shared" ca="1" si="4"/>
        <v/>
      </c>
    </row>
    <row r="60" spans="2:17" x14ac:dyDescent="0.45">
      <c r="B60" s="15" t="s">
        <v>205</v>
      </c>
      <c r="K60" s="15">
        <f>K92</f>
        <v>282.73599999999999</v>
      </c>
      <c r="L60" s="15">
        <f>SUM(L57:L59)</f>
        <v>262.962509188566</v>
      </c>
      <c r="M60" s="108" t="str">
        <f t="shared" ca="1" si="3"/>
        <v>=SUM(L57:L59)</v>
      </c>
      <c r="Q60" s="67" t="str">
        <f t="shared" ca="1" si="4"/>
        <v/>
      </c>
    </row>
    <row r="61" spans="2:17" x14ac:dyDescent="0.45">
      <c r="M61" s="108" t="str">
        <f t="shared" ca="1" si="3"/>
        <v/>
      </c>
      <c r="Q61" s="67" t="str">
        <f t="shared" ca="1" si="4"/>
        <v/>
      </c>
    </row>
    <row r="62" spans="2:17" x14ac:dyDescent="0.45">
      <c r="B62" s="18" t="s">
        <v>206</v>
      </c>
      <c r="M62" s="108" t="str">
        <f t="shared" ca="1" si="3"/>
        <v/>
      </c>
      <c r="Q62" s="67" t="str">
        <f t="shared" ca="1" si="4"/>
        <v/>
      </c>
    </row>
    <row r="63" spans="2:17" x14ac:dyDescent="0.45">
      <c r="B63" s="15" t="s">
        <v>208</v>
      </c>
      <c r="M63" s="108" t="str">
        <f t="shared" ca="1" si="3"/>
        <v/>
      </c>
      <c r="Q63" s="67" t="str">
        <f t="shared" ca="1" si="4"/>
        <v/>
      </c>
    </row>
    <row r="64" spans="2:17" x14ac:dyDescent="0.45">
      <c r="B64" s="18" t="s">
        <v>257</v>
      </c>
      <c r="L64" s="19"/>
      <c r="M64" s="108" t="str">
        <f t="shared" ca="1" si="3"/>
        <v/>
      </c>
      <c r="Q64" s="67" t="str">
        <f t="shared" ca="1" si="4"/>
        <v/>
      </c>
    </row>
    <row r="65" spans="1:17" x14ac:dyDescent="0.45">
      <c r="B65" s="15" t="s">
        <v>207</v>
      </c>
      <c r="M65" s="108" t="str">
        <f t="shared" ca="1" si="3"/>
        <v/>
      </c>
      <c r="N65" s="68"/>
      <c r="O65" s="68"/>
      <c r="P65" s="68"/>
      <c r="Q65" s="67" t="str">
        <f t="shared" ca="1" si="4"/>
        <v/>
      </c>
    </row>
    <row r="66" spans="1:17" x14ac:dyDescent="0.45">
      <c r="B66" s="15" t="s">
        <v>209</v>
      </c>
      <c r="K66" s="15">
        <f>K105</f>
        <v>263.21600000000001</v>
      </c>
      <c r="M66" s="108" t="str">
        <f t="shared" ca="1" si="3"/>
        <v/>
      </c>
      <c r="Q66" s="67" t="str">
        <f t="shared" ca="1" si="4"/>
        <v/>
      </c>
    </row>
    <row r="67" spans="1:17" s="88" customFormat="1" x14ac:dyDescent="0.45">
      <c r="A67" s="29"/>
      <c r="M67" s="108" t="str">
        <f t="shared" ca="1" si="3"/>
        <v/>
      </c>
    </row>
    <row r="68" spans="1:17" x14ac:dyDescent="0.45">
      <c r="B68" s="15" t="s">
        <v>210</v>
      </c>
      <c r="M68" s="108" t="str">
        <f t="shared" ca="1" si="3"/>
        <v/>
      </c>
      <c r="Q68" s="67" t="str">
        <f t="shared" ref="Q68:Q99" ca="1" si="5">IFERROR(_xlfn.FORMULATEXT(P68),"")</f>
        <v/>
      </c>
    </row>
    <row r="69" spans="1:17" x14ac:dyDescent="0.45">
      <c r="B69" s="15" t="s">
        <v>211</v>
      </c>
      <c r="M69" s="108" t="str">
        <f t="shared" ca="1" si="3"/>
        <v/>
      </c>
      <c r="Q69" s="67" t="str">
        <f t="shared" ca="1" si="5"/>
        <v/>
      </c>
    </row>
    <row r="70" spans="1:17" x14ac:dyDescent="0.45">
      <c r="B70" s="15" t="s">
        <v>212</v>
      </c>
      <c r="M70" s="108" t="str">
        <f t="shared" ca="1" si="3"/>
        <v/>
      </c>
      <c r="Q70" s="67" t="str">
        <f t="shared" ca="1" si="5"/>
        <v/>
      </c>
    </row>
    <row r="71" spans="1:17" x14ac:dyDescent="0.45">
      <c r="B71" s="15" t="s">
        <v>213</v>
      </c>
      <c r="G71" s="34">
        <v>1303.4000000000001</v>
      </c>
      <c r="H71" s="34">
        <v>15.583000000000084</v>
      </c>
      <c r="I71" s="34">
        <v>19.551999999999907</v>
      </c>
      <c r="J71" s="34">
        <v>44.295000000000073</v>
      </c>
      <c r="K71" s="34">
        <v>-6.4639999999999418</v>
      </c>
      <c r="M71" s="108" t="str">
        <f t="shared" ca="1" si="3"/>
        <v/>
      </c>
      <c r="Q71" s="67" t="str">
        <f t="shared" ca="1" si="5"/>
        <v/>
      </c>
    </row>
    <row r="72" spans="1:17" x14ac:dyDescent="0.45">
      <c r="B72" s="15" t="s">
        <v>214</v>
      </c>
      <c r="F72" s="5"/>
      <c r="G72" s="5"/>
      <c r="H72" s="5"/>
      <c r="I72" s="5"/>
      <c r="J72" s="5"/>
      <c r="K72" s="15">
        <f>K107</f>
        <v>1341.0450000000001</v>
      </c>
      <c r="M72" s="108" t="str">
        <f t="shared" ca="1" si="3"/>
        <v/>
      </c>
      <c r="Q72" s="67" t="str">
        <f t="shared" ca="1" si="5"/>
        <v/>
      </c>
    </row>
    <row r="73" spans="1:17" s="19" customFormat="1" x14ac:dyDescent="0.45">
      <c r="A73" s="86"/>
      <c r="M73" s="108" t="str">
        <f t="shared" ca="1" si="3"/>
        <v/>
      </c>
      <c r="Q73" s="19" t="str">
        <f t="shared" ca="1" si="5"/>
        <v/>
      </c>
    </row>
    <row r="74" spans="1:17" s="19" customFormat="1" x14ac:dyDescent="0.45">
      <c r="A74" s="86"/>
      <c r="B74" s="19" t="s">
        <v>27</v>
      </c>
      <c r="F74" s="19">
        <f t="shared" ref="F74:K76" si="6">F86</f>
        <v>325.60399999999998</v>
      </c>
      <c r="G74" s="19">
        <f t="shared" si="6"/>
        <v>346.99400000000003</v>
      </c>
      <c r="H74" s="19">
        <f t="shared" si="6"/>
        <v>393.85599999999999</v>
      </c>
      <c r="I74" s="19">
        <f t="shared" si="6"/>
        <v>435.21699999999998</v>
      </c>
      <c r="J74" s="19">
        <f t="shared" si="6"/>
        <v>425.642</v>
      </c>
      <c r="K74" s="19">
        <f t="shared" si="6"/>
        <v>421.56799999999998</v>
      </c>
      <c r="M74" s="108" t="str">
        <f t="shared" ca="1" si="3"/>
        <v/>
      </c>
      <c r="Q74" s="68" t="str">
        <f t="shared" ca="1" si="5"/>
        <v/>
      </c>
    </row>
    <row r="75" spans="1:17" s="19" customFormat="1" x14ac:dyDescent="0.45">
      <c r="A75" s="86"/>
      <c r="B75" s="19" t="s">
        <v>28</v>
      </c>
      <c r="F75" s="19">
        <f t="shared" si="6"/>
        <v>8.5660000000000007</v>
      </c>
      <c r="G75" s="19">
        <f t="shared" si="6"/>
        <v>7.8929999999999998</v>
      </c>
      <c r="H75" s="19">
        <f t="shared" si="6"/>
        <v>7.9160000000000004</v>
      </c>
      <c r="I75" s="19">
        <f t="shared" si="6"/>
        <v>6.4809999999999999</v>
      </c>
      <c r="J75" s="19">
        <f t="shared" si="6"/>
        <v>8.8859999999999992</v>
      </c>
      <c r="K75" s="19">
        <f t="shared" si="6"/>
        <v>9.7129999999999992</v>
      </c>
      <c r="M75" s="108" t="str">
        <f t="shared" ca="1" si="3"/>
        <v/>
      </c>
      <c r="Q75" s="68" t="str">
        <f t="shared" ca="1" si="5"/>
        <v/>
      </c>
    </row>
    <row r="76" spans="1:17" s="19" customFormat="1" x14ac:dyDescent="0.45">
      <c r="A76" s="86"/>
      <c r="B76" s="19" t="s">
        <v>26</v>
      </c>
      <c r="F76" s="19">
        <f t="shared" si="6"/>
        <v>33.783000000000001</v>
      </c>
      <c r="G76" s="19">
        <f t="shared" si="6"/>
        <v>29.914999999999999</v>
      </c>
      <c r="H76" s="19">
        <f t="shared" si="6"/>
        <v>28.741</v>
      </c>
      <c r="I76" s="19">
        <f t="shared" si="6"/>
        <v>57.473999999999997</v>
      </c>
      <c r="J76" s="19">
        <f t="shared" si="6"/>
        <v>46.329000000000001</v>
      </c>
      <c r="K76" s="19">
        <f t="shared" si="6"/>
        <v>54.734000000000002</v>
      </c>
      <c r="M76" s="108" t="str">
        <f t="shared" ca="1" si="3"/>
        <v/>
      </c>
      <c r="Q76" s="68" t="str">
        <f t="shared" ca="1" si="5"/>
        <v/>
      </c>
    </row>
    <row r="77" spans="1:17" s="19" customFormat="1" x14ac:dyDescent="0.45">
      <c r="A77" s="86"/>
      <c r="B77" s="19" t="s">
        <v>217</v>
      </c>
      <c r="F77" s="19">
        <f t="shared" ref="F77:K77" si="7">SUM(F74:F76)</f>
        <v>367.95299999999997</v>
      </c>
      <c r="G77" s="19">
        <f t="shared" si="7"/>
        <v>384.80200000000002</v>
      </c>
      <c r="H77" s="19">
        <f t="shared" si="7"/>
        <v>430.51299999999998</v>
      </c>
      <c r="I77" s="19">
        <f t="shared" si="7"/>
        <v>499.17199999999997</v>
      </c>
      <c r="J77" s="19">
        <f t="shared" si="7"/>
        <v>480.85700000000003</v>
      </c>
      <c r="K77" s="19">
        <f t="shared" si="7"/>
        <v>486.01499999999999</v>
      </c>
      <c r="M77" s="108" t="str">
        <f t="shared" ca="1" si="3"/>
        <v/>
      </c>
      <c r="Q77" s="68" t="str">
        <f t="shared" ca="1" si="5"/>
        <v/>
      </c>
    </row>
    <row r="78" spans="1:17" s="19" customFormat="1" x14ac:dyDescent="0.45">
      <c r="A78" s="86"/>
      <c r="B78" s="19" t="s">
        <v>36</v>
      </c>
      <c r="F78" s="19">
        <f t="shared" ref="F78:K78" si="8">F99</f>
        <v>53.356000000000002</v>
      </c>
      <c r="G78" s="19">
        <f t="shared" si="8"/>
        <v>58.094000000000001</v>
      </c>
      <c r="H78" s="19">
        <f t="shared" si="8"/>
        <v>40.844999999999999</v>
      </c>
      <c r="I78" s="19">
        <f t="shared" si="8"/>
        <v>30.643000000000001</v>
      </c>
      <c r="J78" s="19">
        <f t="shared" si="8"/>
        <v>37.961000000000006</v>
      </c>
      <c r="K78" s="19">
        <f t="shared" si="8"/>
        <v>31.783999999999999</v>
      </c>
      <c r="M78" s="108" t="str">
        <f t="shared" ca="1" si="3"/>
        <v/>
      </c>
      <c r="Q78" s="68" t="str">
        <f t="shared" ca="1" si="5"/>
        <v/>
      </c>
    </row>
    <row r="79" spans="1:17" s="19" customFormat="1" x14ac:dyDescent="0.45">
      <c r="A79" s="86"/>
      <c r="B79" s="19" t="s">
        <v>35</v>
      </c>
      <c r="F79" s="19">
        <f t="shared" ref="F79:K79" si="9">F98</f>
        <v>10.79</v>
      </c>
      <c r="G79" s="19">
        <f t="shared" si="9"/>
        <v>11.707000000000001</v>
      </c>
      <c r="H79" s="19">
        <f t="shared" si="9"/>
        <v>3.8730000000000002</v>
      </c>
      <c r="I79" s="19">
        <f t="shared" si="9"/>
        <v>23.885999999999999</v>
      </c>
      <c r="J79" s="19">
        <f t="shared" si="9"/>
        <v>26.734999999999999</v>
      </c>
      <c r="K79" s="19">
        <f t="shared" si="9"/>
        <v>28.981999999999999</v>
      </c>
      <c r="M79" s="108" t="str">
        <f t="shared" ca="1" si="3"/>
        <v/>
      </c>
      <c r="Q79" s="68" t="str">
        <f t="shared" ca="1" si="5"/>
        <v/>
      </c>
    </row>
    <row r="80" spans="1:17" s="19" customFormat="1" x14ac:dyDescent="0.45">
      <c r="A80" s="86"/>
      <c r="B80" s="19" t="s">
        <v>34</v>
      </c>
      <c r="F80" s="19">
        <f t="shared" ref="F80:K80" si="10">F97</f>
        <v>598.18200000000002</v>
      </c>
      <c r="G80" s="19">
        <f t="shared" si="10"/>
        <v>553.65499999999997</v>
      </c>
      <c r="H80" s="19">
        <f t="shared" si="10"/>
        <v>476.27100000000002</v>
      </c>
      <c r="I80" s="19">
        <f t="shared" si="10"/>
        <v>540.98900000000003</v>
      </c>
      <c r="J80" s="19">
        <f t="shared" si="10"/>
        <v>501.01600000000002</v>
      </c>
      <c r="K80" s="19">
        <f t="shared" si="10"/>
        <v>529.20399999999995</v>
      </c>
      <c r="M80" s="108" t="str">
        <f t="shared" ca="1" si="3"/>
        <v/>
      </c>
      <c r="Q80" s="68" t="str">
        <f t="shared" ca="1" si="5"/>
        <v/>
      </c>
    </row>
    <row r="81" spans="1:18" s="19" customFormat="1" x14ac:dyDescent="0.45">
      <c r="A81" s="86"/>
      <c r="B81" s="19" t="s">
        <v>219</v>
      </c>
      <c r="F81" s="19">
        <f t="shared" ref="F81:K81" si="11">SUM(F78:F80)</f>
        <v>662.32799999999997</v>
      </c>
      <c r="G81" s="19">
        <f t="shared" si="11"/>
        <v>623.45600000000002</v>
      </c>
      <c r="H81" s="19">
        <f t="shared" si="11"/>
        <v>520.98900000000003</v>
      </c>
      <c r="I81" s="19">
        <f t="shared" si="11"/>
        <v>595.51800000000003</v>
      </c>
      <c r="J81" s="19">
        <f t="shared" si="11"/>
        <v>565.71199999999999</v>
      </c>
      <c r="K81" s="19">
        <f t="shared" si="11"/>
        <v>589.96999999999991</v>
      </c>
      <c r="M81" s="108" t="str">
        <f t="shared" ca="1" si="3"/>
        <v/>
      </c>
      <c r="Q81" s="68" t="str">
        <f t="shared" ca="1" si="5"/>
        <v/>
      </c>
    </row>
    <row r="82" spans="1:18" s="19" customFormat="1" x14ac:dyDescent="0.45">
      <c r="A82" s="86"/>
      <c r="B82" s="19" t="s">
        <v>215</v>
      </c>
      <c r="F82" s="19">
        <f t="shared" ref="F82:K82" si="12">F77-F81</f>
        <v>-294.375</v>
      </c>
      <c r="G82" s="19">
        <f t="shared" si="12"/>
        <v>-238.654</v>
      </c>
      <c r="H82" s="19">
        <f t="shared" si="12"/>
        <v>-90.476000000000056</v>
      </c>
      <c r="I82" s="19">
        <f t="shared" si="12"/>
        <v>-96.34600000000006</v>
      </c>
      <c r="J82" s="19">
        <f t="shared" si="12"/>
        <v>-84.854999999999961</v>
      </c>
      <c r="K82" s="19">
        <f t="shared" si="12"/>
        <v>-103.95499999999993</v>
      </c>
      <c r="M82" s="108" t="str">
        <f t="shared" ca="1" si="3"/>
        <v/>
      </c>
      <c r="Q82" s="68" t="str">
        <f t="shared" ca="1" si="5"/>
        <v/>
      </c>
    </row>
    <row r="83" spans="1:18" s="19" customFormat="1" x14ac:dyDescent="0.45">
      <c r="A83" s="86"/>
      <c r="M83" s="108" t="str">
        <f t="shared" ca="1" si="3"/>
        <v/>
      </c>
      <c r="Q83" s="68" t="str">
        <f t="shared" ca="1" si="5"/>
        <v/>
      </c>
    </row>
    <row r="84" spans="1:18" customFormat="1" x14ac:dyDescent="0.45">
      <c r="A84" s="29" t="s">
        <v>20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08" t="str">
        <f t="shared" ca="1" si="3"/>
        <v/>
      </c>
      <c r="N84" s="15"/>
      <c r="O84" s="15"/>
      <c r="P84" s="15"/>
      <c r="Q84" s="67" t="str">
        <f t="shared" ca="1" si="5"/>
        <v/>
      </c>
      <c r="R84" s="15"/>
    </row>
    <row r="85" spans="1:18" customFormat="1" x14ac:dyDescent="0.45">
      <c r="A85" s="29"/>
      <c r="B85" s="19" t="s">
        <v>29</v>
      </c>
      <c r="C85" s="15"/>
      <c r="D85" s="15"/>
      <c r="E85" s="15"/>
      <c r="F85" s="23">
        <v>120.185</v>
      </c>
      <c r="G85" s="23">
        <v>244.38800000000001</v>
      </c>
      <c r="H85" s="23">
        <v>214.17500000000001</v>
      </c>
      <c r="I85" s="23">
        <v>272.48599999999999</v>
      </c>
      <c r="J85" s="23">
        <v>420.91899999999998</v>
      </c>
      <c r="K85" s="23">
        <v>200.61099999999999</v>
      </c>
      <c r="L85" s="110"/>
      <c r="M85" s="108" t="str">
        <f t="shared" ca="1" si="3"/>
        <v/>
      </c>
      <c r="N85" s="88"/>
      <c r="O85" s="88"/>
      <c r="P85" s="88"/>
      <c r="Q85" s="67" t="str">
        <f t="shared" ca="1" si="5"/>
        <v/>
      </c>
      <c r="R85" s="15"/>
    </row>
    <row r="86" spans="1:18" customFormat="1" x14ac:dyDescent="0.45">
      <c r="A86" s="29"/>
      <c r="B86" s="19" t="s">
        <v>27</v>
      </c>
      <c r="C86" s="15"/>
      <c r="D86" s="15"/>
      <c r="E86" s="15"/>
      <c r="F86" s="23">
        <v>325.60399999999998</v>
      </c>
      <c r="G86" s="23">
        <v>346.99400000000003</v>
      </c>
      <c r="H86" s="23">
        <v>393.85599999999999</v>
      </c>
      <c r="I86" s="23">
        <v>435.21699999999998</v>
      </c>
      <c r="J86" s="23">
        <f>325.96+99.682</f>
        <v>425.642</v>
      </c>
      <c r="K86" s="23">
        <f>309.223+112.345</f>
        <v>421.56799999999998</v>
      </c>
      <c r="L86" s="15">
        <f>L15/365*IS!L28</f>
        <v>440.05691748417536</v>
      </c>
      <c r="M86" s="108" t="str">
        <f t="shared" ca="1" si="3"/>
        <v>=L15/365*IS!L28</v>
      </c>
      <c r="N86" s="15"/>
      <c r="O86" s="15"/>
      <c r="P86" s="15"/>
      <c r="Q86" s="67" t="str">
        <f t="shared" ca="1" si="5"/>
        <v/>
      </c>
      <c r="R86" s="15"/>
    </row>
    <row r="87" spans="1:18" customFormat="1" x14ac:dyDescent="0.45">
      <c r="A87" s="29"/>
      <c r="B87" s="19" t="s">
        <v>28</v>
      </c>
      <c r="C87" s="15"/>
      <c r="D87" s="15"/>
      <c r="E87" s="15"/>
      <c r="F87" s="23">
        <v>8.5660000000000007</v>
      </c>
      <c r="G87" s="23">
        <v>7.8929999999999998</v>
      </c>
      <c r="H87" s="23">
        <v>7.9160000000000004</v>
      </c>
      <c r="I87" s="23">
        <v>6.4809999999999999</v>
      </c>
      <c r="J87" s="23">
        <v>8.8859999999999992</v>
      </c>
      <c r="K87" s="23">
        <v>9.7129999999999992</v>
      </c>
      <c r="L87" s="15">
        <f>L18</f>
        <v>9.7129999999999992</v>
      </c>
      <c r="M87" s="108" t="str">
        <f t="shared" ca="1" si="3"/>
        <v>=L18</v>
      </c>
      <c r="N87" s="68"/>
      <c r="O87" s="68"/>
      <c r="P87" s="68"/>
      <c r="Q87" s="67" t="str">
        <f t="shared" ca="1" si="5"/>
        <v/>
      </c>
      <c r="R87" s="15"/>
    </row>
    <row r="88" spans="1:18" customFormat="1" x14ac:dyDescent="0.45">
      <c r="A88" s="29"/>
      <c r="B88" s="19" t="s">
        <v>26</v>
      </c>
      <c r="C88" s="15"/>
      <c r="D88" s="15"/>
      <c r="E88" s="15"/>
      <c r="F88" s="23">
        <v>33.783000000000001</v>
      </c>
      <c r="G88" s="23">
        <v>29.914999999999999</v>
      </c>
      <c r="H88" s="23">
        <v>28.741</v>
      </c>
      <c r="I88" s="23">
        <v>57.473999999999997</v>
      </c>
      <c r="J88" s="23">
        <v>46.329000000000001</v>
      </c>
      <c r="K88" s="23">
        <v>54.734000000000002</v>
      </c>
      <c r="L88" s="15">
        <f>L16/365*IS!L28</f>
        <v>53.665477741972609</v>
      </c>
      <c r="M88" s="108" t="str">
        <f t="shared" ca="1" si="3"/>
        <v>=L16/365*IS!L28</v>
      </c>
      <c r="N88" s="15"/>
      <c r="O88" s="15"/>
      <c r="P88" s="15"/>
      <c r="Q88" s="67" t="str">
        <f t="shared" ca="1" si="5"/>
        <v/>
      </c>
      <c r="R88" s="15"/>
    </row>
    <row r="89" spans="1:18" s="68" customFormat="1" x14ac:dyDescent="0.45">
      <c r="A89" s="29"/>
      <c r="B89" s="19" t="s">
        <v>216</v>
      </c>
      <c r="F89" s="68">
        <f t="shared" ref="F89:L89" si="13">SUM(F85:F88)</f>
        <v>488.13799999999998</v>
      </c>
      <c r="G89" s="68">
        <f t="shared" si="13"/>
        <v>629.19000000000005</v>
      </c>
      <c r="H89" s="68">
        <f t="shared" si="13"/>
        <v>644.68799999999999</v>
      </c>
      <c r="I89" s="68">
        <f t="shared" si="13"/>
        <v>771.65800000000002</v>
      </c>
      <c r="J89" s="68">
        <f t="shared" si="13"/>
        <v>901.77599999999984</v>
      </c>
      <c r="K89" s="68">
        <f t="shared" si="13"/>
        <v>686.62599999999998</v>
      </c>
      <c r="L89" s="111">
        <f t="shared" si="13"/>
        <v>503.43539522614799</v>
      </c>
      <c r="M89" s="108" t="str">
        <f t="shared" ca="1" si="3"/>
        <v>=SUM(L85:L88)</v>
      </c>
      <c r="Q89" s="68" t="str">
        <f t="shared" ca="1" si="5"/>
        <v/>
      </c>
    </row>
    <row r="90" spans="1:18" customFormat="1" x14ac:dyDescent="0.45">
      <c r="A90" s="29"/>
      <c r="B90" s="15" t="s">
        <v>21</v>
      </c>
      <c r="C90" s="15"/>
      <c r="D90" s="15"/>
      <c r="E90" s="15"/>
      <c r="F90" s="23">
        <v>2694.2049999999999</v>
      </c>
      <c r="G90" s="23">
        <v>2521.09</v>
      </c>
      <c r="H90" s="23">
        <v>2348.9</v>
      </c>
      <c r="I90" s="23">
        <v>2210.3589999999999</v>
      </c>
      <c r="J90" s="23">
        <v>2088.2379999999998</v>
      </c>
      <c r="K90" s="23">
        <v>2119.9670000000001</v>
      </c>
      <c r="L90" s="15">
        <f>L50</f>
        <v>2053.6202925098401</v>
      </c>
      <c r="M90" s="108" t="str">
        <f t="shared" ca="1" si="3"/>
        <v>=L50</v>
      </c>
      <c r="N90" s="15"/>
      <c r="O90" s="15"/>
      <c r="P90" s="15"/>
      <c r="Q90" s="67" t="str">
        <f t="shared" ca="1" si="5"/>
        <v/>
      </c>
      <c r="R90" s="15"/>
    </row>
    <row r="91" spans="1:18" customFormat="1" x14ac:dyDescent="0.45">
      <c r="A91" s="29"/>
      <c r="B91" s="15" t="s">
        <v>22</v>
      </c>
      <c r="C91" s="15"/>
      <c r="D91" s="15"/>
      <c r="E91" s="15"/>
      <c r="F91" s="23">
        <v>952.01499999999999</v>
      </c>
      <c r="G91" s="23">
        <v>952.90300000000002</v>
      </c>
      <c r="H91" s="23">
        <v>883.79200000000003</v>
      </c>
      <c r="I91" s="23">
        <v>795.57600000000002</v>
      </c>
      <c r="J91" s="23">
        <v>823.76300000000003</v>
      </c>
      <c r="K91" s="23">
        <v>846.64200000000005</v>
      </c>
      <c r="L91" s="15">
        <f>L55</f>
        <v>873.19259375820013</v>
      </c>
      <c r="M91" s="108" t="str">
        <f t="shared" ca="1" si="3"/>
        <v>=L55</v>
      </c>
      <c r="N91" s="15"/>
      <c r="O91" s="15"/>
      <c r="P91" s="15"/>
      <c r="Q91" s="67" t="str">
        <f t="shared" ca="1" si="5"/>
        <v/>
      </c>
      <c r="R91" s="15"/>
    </row>
    <row r="92" spans="1:18" s="19" customFormat="1" x14ac:dyDescent="0.45">
      <c r="A92" s="86"/>
      <c r="B92" s="19" t="s">
        <v>23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282.73599999999999</v>
      </c>
      <c r="L92" s="19">
        <f>L60</f>
        <v>262.962509188566</v>
      </c>
      <c r="M92" s="108" t="str">
        <f t="shared" ca="1" si="3"/>
        <v>=L60</v>
      </c>
      <c r="Q92" s="19" t="str">
        <f t="shared" ca="1" si="5"/>
        <v/>
      </c>
    </row>
    <row r="93" spans="1:18" customFormat="1" x14ac:dyDescent="0.45">
      <c r="A93" s="29"/>
      <c r="B93" s="19" t="s">
        <v>24</v>
      </c>
      <c r="C93" s="15"/>
      <c r="D93" s="15"/>
      <c r="E93" s="15"/>
      <c r="F93" s="23">
        <v>52.24</v>
      </c>
      <c r="G93" s="23">
        <v>44.872999999999998</v>
      </c>
      <c r="H93" s="23">
        <v>55.83</v>
      </c>
      <c r="I93" s="23">
        <v>58.206000000000003</v>
      </c>
      <c r="J93" s="33">
        <f>56.813+4.067</f>
        <v>60.88</v>
      </c>
      <c r="K93" s="33">
        <f>65.294+5.922</f>
        <v>71.215999999999994</v>
      </c>
      <c r="L93" s="15">
        <f>L20</f>
        <v>71.215999999999994</v>
      </c>
      <c r="M93" s="111" t="str">
        <f t="shared" ca="1" si="3"/>
        <v>=L20</v>
      </c>
      <c r="N93" s="68"/>
      <c r="O93" s="68"/>
      <c r="P93" s="68"/>
      <c r="Q93" s="67" t="str">
        <f t="shared" ca="1" si="5"/>
        <v/>
      </c>
      <c r="R93" s="15"/>
    </row>
    <row r="94" spans="1:18" customFormat="1" x14ac:dyDescent="0.45">
      <c r="A94" s="29"/>
      <c r="B94" s="19" t="s">
        <v>25</v>
      </c>
      <c r="C94" s="15"/>
      <c r="D94" s="15"/>
      <c r="E94" s="15"/>
      <c r="F94" s="23">
        <f>1.766+1.249+0.153+38.14</f>
        <v>41.308</v>
      </c>
      <c r="G94" s="23">
        <f>0.847+0.823</f>
        <v>1.67</v>
      </c>
      <c r="H94" s="23">
        <f>0.583+0.433</f>
        <v>1.016</v>
      </c>
      <c r="I94" s="23">
        <v>0.248</v>
      </c>
      <c r="J94" s="33">
        <f>0.631+45.933</f>
        <v>46.564</v>
      </c>
      <c r="K94" s="33">
        <f>54.801</f>
        <v>54.801000000000002</v>
      </c>
      <c r="L94" s="15">
        <f>L21</f>
        <v>54.801000000000002</v>
      </c>
      <c r="M94" s="111" t="str">
        <f t="shared" ca="1" si="3"/>
        <v>=L21</v>
      </c>
      <c r="N94" s="68"/>
      <c r="O94" s="68"/>
      <c r="P94" s="68"/>
      <c r="Q94" s="67" t="str">
        <f t="shared" ca="1" si="5"/>
        <v/>
      </c>
      <c r="R94" s="15"/>
    </row>
    <row r="95" spans="1:18" s="18" customFormat="1" x14ac:dyDescent="0.45">
      <c r="A95" s="84"/>
      <c r="B95" s="85" t="s">
        <v>30</v>
      </c>
      <c r="C95" s="27"/>
      <c r="D95" s="27"/>
      <c r="E95" s="27"/>
      <c r="F95" s="18">
        <f t="shared" ref="F95:L95" si="14">SUM(F89:F94)</f>
        <v>4227.9059999999999</v>
      </c>
      <c r="G95" s="18">
        <f t="shared" si="14"/>
        <v>4149.7259999999997</v>
      </c>
      <c r="H95" s="18">
        <f t="shared" si="14"/>
        <v>3934.2260000000001</v>
      </c>
      <c r="I95" s="18">
        <f t="shared" si="14"/>
        <v>3836.047</v>
      </c>
      <c r="J95" s="18">
        <f t="shared" si="14"/>
        <v>3921.2209999999995</v>
      </c>
      <c r="K95" s="18">
        <f t="shared" si="14"/>
        <v>4061.9879999999994</v>
      </c>
      <c r="L95" s="18">
        <f t="shared" si="14"/>
        <v>3819.2277906827539</v>
      </c>
      <c r="M95" s="111" t="str">
        <f t="shared" ca="1" si="3"/>
        <v>=SUM(L89:L94)</v>
      </c>
      <c r="Q95" s="18" t="str">
        <f t="shared" ca="1" si="5"/>
        <v/>
      </c>
    </row>
    <row r="96" spans="1:18" s="19" customFormat="1" x14ac:dyDescent="0.45">
      <c r="A96" s="86"/>
      <c r="B96" s="19" t="s">
        <v>226</v>
      </c>
      <c r="F96" s="23">
        <v>18.373999999999999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Q96" s="18" t="str">
        <f t="shared" ca="1" si="5"/>
        <v/>
      </c>
    </row>
    <row r="97" spans="1:18" customFormat="1" x14ac:dyDescent="0.45">
      <c r="A97" s="29"/>
      <c r="B97" s="19" t="s">
        <v>34</v>
      </c>
      <c r="C97" s="15"/>
      <c r="D97" s="15"/>
      <c r="E97" s="15"/>
      <c r="F97" s="23">
        <v>598.18200000000002</v>
      </c>
      <c r="G97" s="23">
        <v>553.65499999999997</v>
      </c>
      <c r="H97" s="23">
        <v>476.27100000000002</v>
      </c>
      <c r="I97" s="23">
        <v>540.98900000000003</v>
      </c>
      <c r="J97" s="23">
        <v>501.01600000000002</v>
      </c>
      <c r="K97" s="23">
        <v>529.20399999999995</v>
      </c>
      <c r="L97" s="15"/>
      <c r="M97" s="15"/>
      <c r="N97" s="15"/>
      <c r="O97" s="15"/>
      <c r="P97" s="15"/>
      <c r="Q97" s="67" t="str">
        <f t="shared" ca="1" si="5"/>
        <v/>
      </c>
      <c r="R97" s="15"/>
    </row>
    <row r="98" spans="1:18" customFormat="1" x14ac:dyDescent="0.45">
      <c r="A98" s="29"/>
      <c r="B98" s="19" t="s">
        <v>35</v>
      </c>
      <c r="C98" s="15"/>
      <c r="D98" s="15"/>
      <c r="E98" s="15"/>
      <c r="F98" s="23">
        <v>10.79</v>
      </c>
      <c r="G98" s="23">
        <v>11.707000000000001</v>
      </c>
      <c r="H98" s="23">
        <v>3.8730000000000002</v>
      </c>
      <c r="I98" s="23">
        <v>23.885999999999999</v>
      </c>
      <c r="J98" s="23">
        <v>26.734999999999999</v>
      </c>
      <c r="K98" s="23">
        <v>28.981999999999999</v>
      </c>
      <c r="L98" s="21"/>
      <c r="M98" s="21"/>
      <c r="N98" s="21"/>
      <c r="O98" s="21"/>
      <c r="P98" s="21"/>
      <c r="Q98" s="67" t="str">
        <f t="shared" ca="1" si="5"/>
        <v/>
      </c>
      <c r="R98" s="15"/>
    </row>
    <row r="99" spans="1:18" s="19" customFormat="1" x14ac:dyDescent="0.45">
      <c r="A99" s="86"/>
      <c r="B99" s="19" t="s">
        <v>36</v>
      </c>
      <c r="F99" s="35">
        <v>53.356000000000002</v>
      </c>
      <c r="G99" s="35">
        <v>58.094000000000001</v>
      </c>
      <c r="H99" s="35">
        <v>40.844999999999999</v>
      </c>
      <c r="I99" s="35">
        <v>30.643000000000001</v>
      </c>
      <c r="J99" s="35">
        <v>37.961000000000006</v>
      </c>
      <c r="K99" s="35">
        <v>31.783999999999999</v>
      </c>
      <c r="L99" s="21"/>
      <c r="M99" s="21"/>
      <c r="N99" s="21"/>
      <c r="O99" s="21"/>
      <c r="P99" s="21"/>
      <c r="Q99" s="19" t="str">
        <f t="shared" ca="1" si="5"/>
        <v/>
      </c>
    </row>
    <row r="100" spans="1:18" s="19" customFormat="1" x14ac:dyDescent="0.45">
      <c r="A100" s="86"/>
      <c r="B100" s="19" t="s">
        <v>218</v>
      </c>
      <c r="F100" s="19">
        <f t="shared" ref="F100:K100" si="15">SUM(F96:F99)</f>
        <v>680.702</v>
      </c>
      <c r="G100" s="19">
        <f t="shared" si="15"/>
        <v>623.45600000000002</v>
      </c>
      <c r="H100" s="19">
        <f t="shared" si="15"/>
        <v>520.98900000000003</v>
      </c>
      <c r="I100" s="19">
        <f t="shared" si="15"/>
        <v>595.51800000000003</v>
      </c>
      <c r="J100" s="19">
        <f t="shared" si="15"/>
        <v>565.71199999999999</v>
      </c>
      <c r="K100" s="19">
        <f t="shared" si="15"/>
        <v>589.96999999999991</v>
      </c>
      <c r="Q100" s="19" t="str">
        <f t="shared" ref="Q100:Q118" ca="1" si="16">IFERROR(_xlfn.FORMULATEXT(P100),"")</f>
        <v/>
      </c>
    </row>
    <row r="101" spans="1:18" s="19" customFormat="1" x14ac:dyDescent="0.45">
      <c r="A101" s="86"/>
      <c r="B101" s="19" t="s">
        <v>75</v>
      </c>
      <c r="E101" s="20"/>
      <c r="F101" s="23">
        <v>391.81499999999994</v>
      </c>
      <c r="G101" s="23">
        <v>262.61900000000003</v>
      </c>
      <c r="H101" s="23">
        <v>230.86500000000001</v>
      </c>
      <c r="I101" s="23">
        <v>164.797</v>
      </c>
      <c r="J101" s="23">
        <v>145.21100000000001</v>
      </c>
      <c r="K101" s="23">
        <v>151.62299999999999</v>
      </c>
      <c r="Q101" s="19" t="str">
        <f t="shared" ca="1" si="16"/>
        <v/>
      </c>
    </row>
    <row r="102" spans="1:18" s="19" customFormat="1" x14ac:dyDescent="0.45">
      <c r="A102" s="86"/>
      <c r="B102" s="19" t="s">
        <v>269</v>
      </c>
      <c r="E102" s="20"/>
      <c r="F102" s="23">
        <v>229.54</v>
      </c>
      <c r="G102" s="23">
        <v>207.39099999999999</v>
      </c>
      <c r="H102" s="23">
        <v>184.881</v>
      </c>
      <c r="I102" s="23">
        <v>160.691</v>
      </c>
      <c r="J102" s="23">
        <v>155.744</v>
      </c>
      <c r="K102" s="23">
        <v>118.19499999999999</v>
      </c>
      <c r="L102" s="88"/>
      <c r="M102" s="92"/>
      <c r="N102" s="92"/>
      <c r="O102" s="92"/>
      <c r="P102" s="92"/>
      <c r="Q102" s="19" t="str">
        <f t="shared" ca="1" si="16"/>
        <v/>
      </c>
    </row>
    <row r="103" spans="1:18" s="19" customFormat="1" x14ac:dyDescent="0.45">
      <c r="A103" s="86"/>
      <c r="B103" s="19" t="s">
        <v>32</v>
      </c>
      <c r="E103" s="20"/>
      <c r="F103" s="23">
        <v>137.27799999999999</v>
      </c>
      <c r="G103" s="23">
        <f>33.496</f>
        <v>33.496000000000002</v>
      </c>
      <c r="H103" s="23">
        <v>16.042999999999999</v>
      </c>
      <c r="I103" s="23">
        <v>5.3079999999999998</v>
      </c>
      <c r="J103" s="23">
        <v>0.36799999999999999</v>
      </c>
      <c r="K103" s="23">
        <v>20.454000000000001</v>
      </c>
      <c r="Q103" s="19" t="str">
        <f t="shared" ca="1" si="16"/>
        <v/>
      </c>
    </row>
    <row r="104" spans="1:18" s="19" customFormat="1" x14ac:dyDescent="0.45">
      <c r="A104" s="86"/>
      <c r="B104" s="19" t="s">
        <v>230</v>
      </c>
      <c r="E104" s="20"/>
      <c r="F104" s="23">
        <v>2780.114</v>
      </c>
      <c r="G104" s="23">
        <v>1831.28</v>
      </c>
      <c r="H104" s="23">
        <v>1828.327</v>
      </c>
      <c r="I104" s="23">
        <v>1389.9559999999999</v>
      </c>
      <c r="J104" s="23">
        <v>1568.2619999999999</v>
      </c>
      <c r="K104" s="23">
        <v>1577.4849999999999</v>
      </c>
      <c r="Q104" s="19" t="str">
        <f t="shared" ca="1" si="16"/>
        <v/>
      </c>
    </row>
    <row r="105" spans="1:18" s="19" customFormat="1" x14ac:dyDescent="0.45">
      <c r="A105" s="86"/>
      <c r="B105" s="19" t="s">
        <v>240</v>
      </c>
      <c r="E105" s="20"/>
      <c r="F105" s="23">
        <f>6.35+23.509</f>
        <v>29.859000000000002</v>
      </c>
      <c r="G105" s="23">
        <f>6.769+16.331</f>
        <v>23.1</v>
      </c>
      <c r="H105" s="23">
        <f>7.597+9.236</f>
        <v>16.833000000000002</v>
      </c>
      <c r="I105" s="23">
        <f>4.899+4.597</f>
        <v>9.4960000000000004</v>
      </c>
      <c r="J105" s="23">
        <f>1.973+2.774</f>
        <v>4.7469999999999999</v>
      </c>
      <c r="K105" s="23">
        <f>34.777+228.439</f>
        <v>263.21600000000001</v>
      </c>
      <c r="Q105" s="19" t="str">
        <f t="shared" ca="1" si="16"/>
        <v/>
      </c>
    </row>
    <row r="106" spans="1:18" s="19" customFormat="1" x14ac:dyDescent="0.45">
      <c r="A106" s="86"/>
      <c r="B106" s="19" t="s">
        <v>258</v>
      </c>
      <c r="E106" s="20"/>
      <c r="F106" s="19">
        <f t="shared" ref="F106:K106" si="17">SUM(F100:F105)</f>
        <v>4249.308</v>
      </c>
      <c r="G106" s="19">
        <f t="shared" si="17"/>
        <v>2981.3420000000001</v>
      </c>
      <c r="H106" s="19">
        <f t="shared" si="17"/>
        <v>2797.9380000000001</v>
      </c>
      <c r="I106" s="19">
        <f t="shared" si="17"/>
        <v>2325.7660000000001</v>
      </c>
      <c r="J106" s="19">
        <f t="shared" si="17"/>
        <v>2440.0439999999999</v>
      </c>
      <c r="K106" s="19">
        <f t="shared" si="17"/>
        <v>2720.9429999999998</v>
      </c>
      <c r="Q106" s="19" t="str">
        <f t="shared" ca="1" si="16"/>
        <v/>
      </c>
    </row>
    <row r="107" spans="1:18" customFormat="1" x14ac:dyDescent="0.45">
      <c r="A107" s="29"/>
      <c r="B107" s="19" t="s">
        <v>31</v>
      </c>
      <c r="C107" s="15"/>
      <c r="D107" s="15"/>
      <c r="E107" s="15"/>
      <c r="F107" s="23">
        <v>-21.402000000000001</v>
      </c>
      <c r="G107" s="23">
        <f>1168.536-0.15</f>
        <v>1168.386</v>
      </c>
      <c r="H107" s="23">
        <v>1136.288</v>
      </c>
      <c r="I107" s="23">
        <f>1510.271+0.01</f>
        <v>1510.2809999999999</v>
      </c>
      <c r="J107" s="23">
        <v>1481.1769999999999</v>
      </c>
      <c r="K107" s="23">
        <v>1341.0450000000001</v>
      </c>
      <c r="L107" s="15"/>
      <c r="M107" s="15"/>
      <c r="N107" s="15"/>
      <c r="O107" s="15"/>
      <c r="P107" s="15"/>
      <c r="Q107" s="19" t="str">
        <f t="shared" ca="1" si="16"/>
        <v/>
      </c>
      <c r="R107" s="15"/>
    </row>
    <row r="108" spans="1:18" s="18" customFormat="1" x14ac:dyDescent="0.45">
      <c r="A108" s="29"/>
      <c r="B108" s="85" t="s">
        <v>37</v>
      </c>
      <c r="C108" s="27"/>
      <c r="D108" s="27"/>
      <c r="E108" s="27"/>
      <c r="F108" s="18">
        <f t="shared" ref="F108:K108" si="18">SUM(F106:F107)</f>
        <v>4227.9059999999999</v>
      </c>
      <c r="G108" s="18">
        <f t="shared" si="18"/>
        <v>4149.7280000000001</v>
      </c>
      <c r="H108" s="18">
        <f t="shared" si="18"/>
        <v>3934.2260000000001</v>
      </c>
      <c r="I108" s="18">
        <f t="shared" si="18"/>
        <v>3836.047</v>
      </c>
      <c r="J108" s="18">
        <f t="shared" si="18"/>
        <v>3921.2209999999995</v>
      </c>
      <c r="K108" s="18">
        <f t="shared" si="18"/>
        <v>4061.9879999999998</v>
      </c>
      <c r="Q108" s="19" t="str">
        <f t="shared" ca="1" si="16"/>
        <v/>
      </c>
    </row>
    <row r="109" spans="1:18" x14ac:dyDescent="0.45">
      <c r="B109" s="11"/>
      <c r="C109" s="11"/>
      <c r="D109" s="11"/>
      <c r="E109" s="1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9" t="str">
        <f t="shared" ca="1" si="16"/>
        <v/>
      </c>
    </row>
    <row r="110" spans="1:18" customFormat="1" x14ac:dyDescent="0.45">
      <c r="A110" s="29"/>
      <c r="B110" s="15" t="s">
        <v>68</v>
      </c>
      <c r="C110" s="15"/>
      <c r="D110" s="15"/>
      <c r="E110" s="15"/>
      <c r="F110" s="16">
        <f t="shared" ref="F110:K110" si="19">F108-F95</f>
        <v>0</v>
      </c>
      <c r="G110" s="88">
        <f t="shared" si="19"/>
        <v>2.0000000004074536E-3</v>
      </c>
      <c r="H110" s="16">
        <f t="shared" si="19"/>
        <v>0</v>
      </c>
      <c r="I110" s="88">
        <f t="shared" si="19"/>
        <v>0</v>
      </c>
      <c r="J110" s="16">
        <f t="shared" si="19"/>
        <v>0</v>
      </c>
      <c r="K110" s="16">
        <f t="shared" si="19"/>
        <v>0</v>
      </c>
      <c r="L110" s="16"/>
      <c r="M110" s="16"/>
      <c r="N110" s="16"/>
      <c r="O110" s="16"/>
      <c r="P110" s="16"/>
      <c r="Q110" s="19" t="str">
        <f t="shared" ca="1" si="16"/>
        <v/>
      </c>
      <c r="R110" s="15"/>
    </row>
    <row r="111" spans="1:18" x14ac:dyDescent="0.45"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9" t="str">
        <f t="shared" ca="1" si="16"/>
        <v/>
      </c>
    </row>
    <row r="112" spans="1:18" customFormat="1" x14ac:dyDescent="0.45">
      <c r="A112" s="29" t="s">
        <v>42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9" t="str">
        <f t="shared" ca="1" si="16"/>
        <v/>
      </c>
    </row>
    <row r="113" spans="1:17" customFormat="1" x14ac:dyDescent="0.45">
      <c r="A113" s="29"/>
      <c r="B113" s="15" t="s">
        <v>43</v>
      </c>
      <c r="C113" s="7"/>
      <c r="D113" s="7"/>
      <c r="E113" s="7"/>
      <c r="F113" s="7">
        <f>F82/IS!F28</f>
        <v>-0.14186746987951807</v>
      </c>
      <c r="G113" s="7">
        <f>G82/IS!G28</f>
        <v>-0.12077631578947368</v>
      </c>
      <c r="H113" s="7">
        <f>H82/IS!H28</f>
        <v>-4.7694254085398027E-2</v>
      </c>
      <c r="I113" s="7">
        <f>I82/IS!I28</f>
        <v>-5.1966558791801544E-2</v>
      </c>
      <c r="J113" s="7">
        <f>J82/IS!J28</f>
        <v>-4.523187633262258E-2</v>
      </c>
      <c r="K113" s="7">
        <f>K82/IS!K28</f>
        <v>-5.5090090090090055E-2</v>
      </c>
      <c r="L113" s="7"/>
      <c r="M113" s="7"/>
      <c r="N113" s="7"/>
      <c r="O113" s="7"/>
      <c r="P113" s="7"/>
      <c r="Q113" s="19" t="str">
        <f t="shared" ca="1" si="16"/>
        <v/>
      </c>
    </row>
    <row r="114" spans="1:17" customFormat="1" x14ac:dyDescent="0.45">
      <c r="A114" s="29"/>
      <c r="B114" s="15" t="s">
        <v>44</v>
      </c>
      <c r="C114" s="4"/>
      <c r="D114" s="4"/>
      <c r="E114" s="4"/>
      <c r="F114" s="4">
        <f>SUM(BS!F90:F94)/IS!F28</f>
        <v>1.8022978313253011</v>
      </c>
      <c r="G114" s="4">
        <f>SUM(BS!G90:G94)/IS!G28</f>
        <v>1.7816477732793525</v>
      </c>
      <c r="H114" s="4">
        <f>SUM(BS!H90:H94)/IS!H28</f>
        <v>1.7340738007380074</v>
      </c>
      <c r="I114" s="4">
        <f>SUM(BS!I90:I94)/IS!I28</f>
        <v>1.6528527508090616</v>
      </c>
      <c r="J114" s="4">
        <f>SUM(BS!J90:J94)/IS!J28</f>
        <v>1.6095122601279317</v>
      </c>
      <c r="K114" s="4">
        <f>SUM(BS!K90:K94)/IS!K28</f>
        <v>1.7887450980392157</v>
      </c>
      <c r="L114" s="4"/>
      <c r="M114" s="4"/>
      <c r="N114" s="4"/>
      <c r="O114" s="4"/>
      <c r="P114" s="4"/>
      <c r="Q114" s="67" t="str">
        <f t="shared" ca="1" si="16"/>
        <v/>
      </c>
    </row>
    <row r="115" spans="1:17" customFormat="1" x14ac:dyDescent="0.45">
      <c r="A115" s="2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67" t="str">
        <f t="shared" ca="1" si="16"/>
        <v/>
      </c>
    </row>
    <row r="116" spans="1:17" customFormat="1" x14ac:dyDescent="0.45">
      <c r="A116" s="29" t="s">
        <v>49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68" t="str">
        <f t="shared" ca="1" si="16"/>
        <v/>
      </c>
    </row>
    <row r="117" spans="1:17" customFormat="1" x14ac:dyDescent="0.45">
      <c r="A117" s="29"/>
      <c r="B117" s="15" t="s">
        <v>50</v>
      </c>
      <c r="C117" s="15"/>
      <c r="D117" s="4"/>
      <c r="E117" s="4"/>
      <c r="F117" s="7" t="e">
        <f>IS!#REF!/AVERAGE(BS!E107:F107)</f>
        <v>#REF!</v>
      </c>
      <c r="G117" s="7" t="e">
        <f>IS!#REF!/AVERAGE(BS!F107:G107)</f>
        <v>#REF!</v>
      </c>
      <c r="H117" s="7">
        <f>IS!H46/AVERAGE(BS!G107:H107)</f>
        <v>7.5645405814444885E-2</v>
      </c>
      <c r="I117" s="7">
        <f>IS!I46/AVERAGE(BS!H107:I107)</f>
        <v>0.38108282837137447</v>
      </c>
      <c r="J117" s="7">
        <f>IS!J46/AVERAGE(BS!I107:J107)</f>
        <v>7.1461474638788131E-2</v>
      </c>
      <c r="K117" s="7">
        <f>IS!K46/AVERAGE(BS!J107:K107)</f>
        <v>3.9417168458044737E-2</v>
      </c>
      <c r="L117" s="7"/>
      <c r="M117" s="7"/>
      <c r="N117" s="7"/>
      <c r="O117" s="7"/>
      <c r="P117" s="7"/>
      <c r="Q117" s="68" t="str">
        <f t="shared" ca="1" si="16"/>
        <v/>
      </c>
    </row>
    <row r="118" spans="1:17" customFormat="1" x14ac:dyDescent="0.45">
      <c r="A118" s="29"/>
      <c r="B118" s="15" t="s">
        <v>283</v>
      </c>
      <c r="C118" s="15"/>
      <c r="D118" s="15"/>
      <c r="E118" s="15"/>
      <c r="F118" s="7">
        <f>IS!F38/(BS!F104+BS!F96-BS!F85+BS!F107)</f>
        <v>6.6431154190540034E-2</v>
      </c>
      <c r="G118" s="7">
        <f>IS!G38/(BS!G104+BS!G96-BS!G85+BS!G107)</f>
        <v>5.6090165856222139E-2</v>
      </c>
      <c r="H118" s="7">
        <f>IS!H38/(BS!H104+BS!H96-BS!H85+BS!H107)</f>
        <v>5.5057372638559643E-2</v>
      </c>
      <c r="I118" s="7">
        <f>IS!I38/(BS!I104+BS!I96-BS!I85+BS!I107)</f>
        <v>6.5780966309212721E-2</v>
      </c>
      <c r="J118" s="7">
        <f>IS!J38/(BS!J104+BS!J96-BS!J85+BS!J107)</f>
        <v>6.6694565763243188E-2</v>
      </c>
      <c r="K118" s="7">
        <f>IS!K38/(BS!K104+BS!K96-BS!K85+BS!K107)</f>
        <v>7.1086739523878367E-2</v>
      </c>
      <c r="L118" s="7"/>
      <c r="M118" s="7"/>
      <c r="N118" s="7"/>
      <c r="O118" s="7"/>
      <c r="P118" s="7"/>
      <c r="Q118" s="68" t="str">
        <f t="shared" ca="1" si="16"/>
        <v/>
      </c>
    </row>
    <row r="119" spans="1:17" customFormat="1" x14ac:dyDescent="0.45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7" x14ac:dyDescent="0.45">
      <c r="A120" s="29" t="s">
        <v>115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8250-52E8-4A44-8302-7FD51C752A39}">
  <sheetPr>
    <pageSetUpPr fitToPage="1"/>
  </sheetPr>
  <dimension ref="A1:R47"/>
  <sheetViews>
    <sheetView zoomScale="150" zoomScaleNormal="150" workbookViewId="0">
      <pane xSplit="2" ySplit="3" topLeftCell="K4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6" sqref="L6"/>
    </sheetView>
  </sheetViews>
  <sheetFormatPr defaultRowHeight="15.75" x14ac:dyDescent="0.45"/>
  <cols>
    <col min="1" max="1" width="1.59765625" style="29" customWidth="1"/>
    <col min="2" max="2" width="40.59765625" style="15" customWidth="1"/>
    <col min="3" max="6" width="9.06640625" style="15" customWidth="1"/>
    <col min="7" max="7" width="9.1328125" style="15" customWidth="1"/>
    <col min="8" max="10" width="9.06640625" style="15" customWidth="1"/>
    <col min="11" max="16384" width="9.06640625" style="15"/>
  </cols>
  <sheetData>
    <row r="1" spans="1:17" s="18" customFormat="1" ht="14.25" x14ac:dyDescent="0.45">
      <c r="A1" s="103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99" t="s">
        <v>95</v>
      </c>
      <c r="B3" s="10"/>
      <c r="C3" s="69">
        <f>IS!C$3</f>
        <v>40908</v>
      </c>
      <c r="D3" s="69">
        <f>IS!D$3</f>
        <v>41274</v>
      </c>
      <c r="E3" s="69">
        <f>IS!E$3</f>
        <v>41639</v>
      </c>
      <c r="F3" s="69">
        <f>IS!F$3</f>
        <v>42004</v>
      </c>
      <c r="G3" s="69">
        <f>IS!G$3</f>
        <v>42369</v>
      </c>
      <c r="H3" s="69">
        <f>IS!H$3</f>
        <v>42735</v>
      </c>
      <c r="I3" s="69">
        <f>IS!I$3</f>
        <v>43100</v>
      </c>
      <c r="J3" s="69">
        <f>IS!J$3</f>
        <v>43465</v>
      </c>
      <c r="K3" s="69">
        <f>IS!K$3</f>
        <v>43830</v>
      </c>
      <c r="L3" s="69">
        <f>IS!L$3</f>
        <v>44196</v>
      </c>
      <c r="M3" s="69">
        <f>IS!M$3</f>
        <v>44561</v>
      </c>
      <c r="N3" s="69">
        <f>IS!N$3</f>
        <v>44926</v>
      </c>
      <c r="O3" s="69">
        <f>IS!O$3</f>
        <v>45291</v>
      </c>
      <c r="P3" s="69">
        <f>IS!P$3</f>
        <v>45657</v>
      </c>
    </row>
    <row r="5" spans="1:17" s="88" customFormat="1" x14ac:dyDescent="0.45">
      <c r="A5" s="29" t="s">
        <v>264</v>
      </c>
    </row>
    <row r="6" spans="1:17" s="88" customFormat="1" x14ac:dyDescent="0.45">
      <c r="A6" s="29"/>
      <c r="B6" s="88" t="str">
        <f>BS!B62</f>
        <v>Beginning lease liabilities</v>
      </c>
      <c r="Q6" s="93" t="str">
        <f ca="1">IFERROR(_xlfn.FORMULATEXT(P6),"")</f>
        <v/>
      </c>
    </row>
    <row r="7" spans="1:17" s="88" customFormat="1" x14ac:dyDescent="0.45">
      <c r="A7" s="29"/>
      <c r="B7" s="88" t="str">
        <f>BS!B63</f>
        <v>Add new leases</v>
      </c>
      <c r="Q7" s="93" t="str">
        <f t="shared" ref="Q7:Q13" ca="1" si="0">IFERROR(_xlfn.FORMULATEXT(P7),"")</f>
        <v/>
      </c>
    </row>
    <row r="8" spans="1:17" s="88" customFormat="1" x14ac:dyDescent="0.45">
      <c r="A8" s="29"/>
      <c r="B8" s="88" t="str">
        <f>BS!B64</f>
        <v>Add non cash interest expense</v>
      </c>
      <c r="Q8" s="93" t="str">
        <f t="shared" ca="1" si="0"/>
        <v/>
      </c>
    </row>
    <row r="9" spans="1:17" s="88" customFormat="1" x14ac:dyDescent="0.45">
      <c r="A9" s="29"/>
      <c r="B9" s="88" t="str">
        <f>BS!B65</f>
        <v>Subtract lease repayment</v>
      </c>
      <c r="Q9" s="93" t="str">
        <f t="shared" ca="1" si="0"/>
        <v/>
      </c>
    </row>
    <row r="10" spans="1:17" s="88" customFormat="1" x14ac:dyDescent="0.45">
      <c r="A10" s="29"/>
      <c r="B10" s="88" t="str">
        <f>BS!B66</f>
        <v>Ending lease liabilities</v>
      </c>
      <c r="K10" s="88">
        <f>BS!K66</f>
        <v>263.21600000000001</v>
      </c>
      <c r="Q10" s="93" t="str">
        <f t="shared" ca="1" si="0"/>
        <v/>
      </c>
    </row>
    <row r="11" spans="1:17" s="88" customFormat="1" x14ac:dyDescent="0.45">
      <c r="A11" s="29"/>
      <c r="Q11" s="93" t="str">
        <f t="shared" ca="1" si="0"/>
        <v/>
      </c>
    </row>
    <row r="12" spans="1:17" s="88" customFormat="1" x14ac:dyDescent="0.45">
      <c r="A12" s="29"/>
      <c r="B12" s="88" t="s">
        <v>265</v>
      </c>
      <c r="Q12" s="93" t="str">
        <f t="shared" ca="1" si="0"/>
        <v/>
      </c>
    </row>
    <row r="13" spans="1:17" s="88" customFormat="1" x14ac:dyDescent="0.45">
      <c r="A13" s="29"/>
      <c r="Q13" s="93" t="str">
        <f t="shared" ca="1" si="0"/>
        <v/>
      </c>
    </row>
    <row r="14" spans="1:17" s="88" customFormat="1" x14ac:dyDescent="0.45">
      <c r="A14" s="29"/>
      <c r="B14" s="88" t="s">
        <v>259</v>
      </c>
      <c r="Q14" s="88" t="str">
        <f ca="1">IFERROR(_xlfn.FORMULATEXT(P14),"")</f>
        <v/>
      </c>
    </row>
    <row r="15" spans="1:17" s="88" customFormat="1" x14ac:dyDescent="0.45">
      <c r="A15" s="29"/>
      <c r="B15" s="88" t="s">
        <v>261</v>
      </c>
      <c r="Q15" s="88" t="str">
        <f t="shared" ref="Q15:Q20" ca="1" si="1">IFERROR(_xlfn.FORMULATEXT(P15),"")</f>
        <v/>
      </c>
    </row>
    <row r="16" spans="1:17" s="88" customFormat="1" x14ac:dyDescent="0.45">
      <c r="A16" s="29"/>
      <c r="B16" s="88" t="s">
        <v>266</v>
      </c>
      <c r="Q16" s="88" t="str">
        <f t="shared" ca="1" si="1"/>
        <v/>
      </c>
    </row>
    <row r="17" spans="1:18" s="88" customFormat="1" x14ac:dyDescent="0.45">
      <c r="A17" s="29"/>
    </row>
    <row r="18" spans="1:18" s="88" customFormat="1" x14ac:dyDescent="0.45">
      <c r="A18" s="29"/>
      <c r="B18" s="88" t="s">
        <v>267</v>
      </c>
      <c r="Q18" s="88" t="str">
        <f t="shared" ca="1" si="1"/>
        <v/>
      </c>
    </row>
    <row r="19" spans="1:18" s="88" customFormat="1" x14ac:dyDescent="0.45">
      <c r="A19" s="29"/>
      <c r="Q19" s="88" t="str">
        <f t="shared" ca="1" si="1"/>
        <v/>
      </c>
    </row>
    <row r="20" spans="1:18" customFormat="1" x14ac:dyDescent="0.45">
      <c r="A20" s="29" t="s">
        <v>73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88" t="str">
        <f t="shared" ca="1" si="1"/>
        <v/>
      </c>
      <c r="R20" s="15"/>
    </row>
    <row r="21" spans="1:18" s="88" customFormat="1" x14ac:dyDescent="0.45">
      <c r="A21" s="29"/>
      <c r="B21" s="88" t="s">
        <v>38</v>
      </c>
      <c r="Q21" s="88" t="str">
        <f ca="1">IFERROR(_xlfn.FORMULATEXT(P21),"")</f>
        <v/>
      </c>
    </row>
    <row r="22" spans="1:18" s="88" customFormat="1" x14ac:dyDescent="0.45">
      <c r="A22" s="29"/>
      <c r="B22" s="88" t="s">
        <v>234</v>
      </c>
      <c r="Q22" s="88" t="str">
        <f t="shared" ref="Q22:Q46" ca="1" si="2">IFERROR(_xlfn.FORMULATEXT(P22),"")</f>
        <v/>
      </c>
    </row>
    <row r="23" spans="1:18" s="88" customFormat="1" x14ac:dyDescent="0.45">
      <c r="A23" s="29"/>
      <c r="B23" s="88" t="s">
        <v>235</v>
      </c>
      <c r="Q23" s="88" t="str">
        <f t="shared" ca="1" si="2"/>
        <v/>
      </c>
    </row>
    <row r="24" spans="1:18" s="88" customFormat="1" x14ac:dyDescent="0.45">
      <c r="A24" s="29"/>
      <c r="B24" s="88" t="s">
        <v>236</v>
      </c>
      <c r="Q24" s="88" t="str">
        <f t="shared" ca="1" si="2"/>
        <v/>
      </c>
    </row>
    <row r="25" spans="1:18" s="88" customFormat="1" x14ac:dyDescent="0.45">
      <c r="A25" s="29"/>
      <c r="B25" s="88" t="str">
        <f>"Change in "&amp;BS!B93</f>
        <v>Change in Non-current trade receivables</v>
      </c>
      <c r="Q25" s="88" t="str">
        <f t="shared" ca="1" si="2"/>
        <v/>
      </c>
    </row>
    <row r="26" spans="1:18" s="88" customFormat="1" x14ac:dyDescent="0.45">
      <c r="A26" s="29"/>
      <c r="B26" s="88" t="str">
        <f>"Change in "&amp;BS!B94</f>
        <v>Change in Other non-current assets</v>
      </c>
      <c r="Q26" s="88" t="str">
        <f t="shared" ca="1" si="2"/>
        <v/>
      </c>
    </row>
    <row r="27" spans="1:18" s="88" customFormat="1" x14ac:dyDescent="0.45">
      <c r="A27" s="29"/>
      <c r="B27" s="88" t="str">
        <f>"Change in "&amp;BS!B101</f>
        <v>Change in Other non-current liabilities</v>
      </c>
      <c r="Q27" s="88" t="str">
        <f t="shared" ca="1" si="2"/>
        <v/>
      </c>
    </row>
    <row r="28" spans="1:18" s="88" customFormat="1" x14ac:dyDescent="0.45">
      <c r="A28" s="29"/>
      <c r="B28" s="88" t="str">
        <f>"Change in "&amp;BS!B102</f>
        <v>Change in Non current deferred tax liability</v>
      </c>
      <c r="Q28" s="88" t="str">
        <f t="shared" ca="1" si="2"/>
        <v/>
      </c>
    </row>
    <row r="29" spans="1:18" s="88" customFormat="1" x14ac:dyDescent="0.45">
      <c r="A29" s="29"/>
      <c r="B29" s="88" t="str">
        <f>"Change in "&amp;BS!B103</f>
        <v>Change in Non-current trade payables</v>
      </c>
      <c r="Q29" s="88" t="str">
        <f t="shared" ca="1" si="2"/>
        <v/>
      </c>
    </row>
    <row r="30" spans="1:18" s="88" customFormat="1" x14ac:dyDescent="0.45">
      <c r="A30" s="29"/>
      <c r="B30" s="88" t="s">
        <v>262</v>
      </c>
      <c r="Q30" s="88" t="str">
        <f t="shared" ca="1" si="2"/>
        <v/>
      </c>
    </row>
    <row r="31" spans="1:18" s="88" customFormat="1" x14ac:dyDescent="0.45">
      <c r="A31" s="29"/>
      <c r="B31" s="88" t="s">
        <v>224</v>
      </c>
      <c r="Q31" s="88" t="str">
        <f t="shared" ca="1" si="2"/>
        <v/>
      </c>
    </row>
    <row r="32" spans="1:18" s="88" customFormat="1" x14ac:dyDescent="0.45">
      <c r="A32" s="29"/>
      <c r="Q32" s="88" t="str">
        <f t="shared" ca="1" si="2"/>
        <v/>
      </c>
    </row>
    <row r="33" spans="1:17" s="19" customFormat="1" x14ac:dyDescent="0.45">
      <c r="A33" s="86"/>
      <c r="B33" s="19" t="s">
        <v>263</v>
      </c>
      <c r="Q33" s="19" t="str">
        <f t="shared" ca="1" si="2"/>
        <v/>
      </c>
    </row>
    <row r="34" spans="1:17" s="88" customFormat="1" x14ac:dyDescent="0.45">
      <c r="A34" s="29"/>
      <c r="B34" s="88" t="s">
        <v>237</v>
      </c>
      <c r="Q34" s="88" t="str">
        <f t="shared" ca="1" si="2"/>
        <v/>
      </c>
    </row>
    <row r="35" spans="1:17" s="88" customFormat="1" x14ac:dyDescent="0.45">
      <c r="A35" s="29"/>
      <c r="B35" s="88" t="s">
        <v>223</v>
      </c>
      <c r="Q35" s="88" t="str">
        <f t="shared" ca="1" si="2"/>
        <v/>
      </c>
    </row>
    <row r="36" spans="1:17" s="88" customFormat="1" x14ac:dyDescent="0.45">
      <c r="A36" s="29"/>
      <c r="Q36" s="88" t="str">
        <f t="shared" ca="1" si="2"/>
        <v/>
      </c>
    </row>
    <row r="37" spans="1:17" s="88" customFormat="1" x14ac:dyDescent="0.45">
      <c r="A37" s="29"/>
      <c r="B37" s="88" t="s">
        <v>238</v>
      </c>
      <c r="Q37" s="88" t="str">
        <f t="shared" ca="1" si="2"/>
        <v/>
      </c>
    </row>
    <row r="38" spans="1:17" s="88" customFormat="1" x14ac:dyDescent="0.45">
      <c r="A38" s="29"/>
      <c r="B38" s="88" t="s">
        <v>239</v>
      </c>
      <c r="Q38" s="88" t="str">
        <f t="shared" ca="1" si="2"/>
        <v/>
      </c>
    </row>
    <row r="39" spans="1:17" s="88" customFormat="1" x14ac:dyDescent="0.45">
      <c r="A39" s="29"/>
      <c r="B39" s="88" t="s">
        <v>241</v>
      </c>
      <c r="Q39" s="88" t="str">
        <f t="shared" ca="1" si="2"/>
        <v/>
      </c>
    </row>
    <row r="40" spans="1:17" s="88" customFormat="1" x14ac:dyDescent="0.45">
      <c r="A40" s="29"/>
      <c r="B40" s="88" t="s">
        <v>260</v>
      </c>
      <c r="Q40" s="88" t="str">
        <f t="shared" ca="1" si="2"/>
        <v/>
      </c>
    </row>
    <row r="41" spans="1:17" s="88" customFormat="1" x14ac:dyDescent="0.45">
      <c r="A41" s="29"/>
      <c r="B41" s="88" t="s">
        <v>222</v>
      </c>
      <c r="Q41" s="88" t="str">
        <f t="shared" ca="1" si="2"/>
        <v/>
      </c>
    </row>
    <row r="42" spans="1:17" s="88" customFormat="1" x14ac:dyDescent="0.45">
      <c r="A42" s="29"/>
      <c r="Q42" s="88" t="str">
        <f t="shared" ca="1" si="2"/>
        <v/>
      </c>
    </row>
    <row r="43" spans="1:17" s="88" customFormat="1" x14ac:dyDescent="0.45">
      <c r="A43" s="29"/>
      <c r="B43" s="88" t="s">
        <v>242</v>
      </c>
      <c r="Q43" s="88" t="str">
        <f t="shared" ca="1" si="2"/>
        <v/>
      </c>
    </row>
    <row r="44" spans="1:17" s="88" customFormat="1" x14ac:dyDescent="0.45">
      <c r="A44" s="29"/>
      <c r="B44" s="88" t="s">
        <v>243</v>
      </c>
      <c r="Q44" s="88" t="str">
        <f t="shared" ca="1" si="2"/>
        <v/>
      </c>
    </row>
    <row r="45" spans="1:17" s="88" customFormat="1" x14ac:dyDescent="0.45">
      <c r="A45" s="29"/>
      <c r="B45" s="88" t="s">
        <v>244</v>
      </c>
      <c r="K45" s="88">
        <f>BS!K85</f>
        <v>200.61099999999999</v>
      </c>
      <c r="Q45" s="88" t="str">
        <f t="shared" ca="1" si="2"/>
        <v/>
      </c>
    </row>
    <row r="46" spans="1:17" s="88" customFormat="1" x14ac:dyDescent="0.45">
      <c r="A46" s="29"/>
      <c r="Q46" s="88" t="str">
        <f t="shared" ca="1" si="2"/>
        <v/>
      </c>
    </row>
    <row r="47" spans="1:17" s="88" customFormat="1" x14ac:dyDescent="0.45">
      <c r="A47" s="29" t="s">
        <v>115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A60-D58C-4A39-819A-5BBC3CB3802F}">
  <sheetPr>
    <pageSetUpPr fitToPage="1"/>
  </sheetPr>
  <dimension ref="A1:Q41"/>
  <sheetViews>
    <sheetView zoomScale="150" zoomScaleNormal="150" workbookViewId="0">
      <pane xSplit="2" ySplit="3" topLeftCell="K4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6" sqref="L6"/>
    </sheetView>
  </sheetViews>
  <sheetFormatPr defaultRowHeight="15.75" x14ac:dyDescent="0.45"/>
  <cols>
    <col min="1" max="1" width="1.59765625" style="29" customWidth="1"/>
    <col min="2" max="2" width="40.59765625" style="88" customWidth="1"/>
    <col min="3" max="6" width="9.06640625" style="88" customWidth="1"/>
    <col min="7" max="7" width="9.1328125" style="88" customWidth="1"/>
    <col min="8" max="10" width="9.06640625" style="88" customWidth="1"/>
    <col min="11" max="16384" width="9.06640625" style="88"/>
  </cols>
  <sheetData>
    <row r="1" spans="1:17" s="18" customFormat="1" ht="14.25" x14ac:dyDescent="0.45">
      <c r="A1" s="103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99" t="s">
        <v>95</v>
      </c>
      <c r="B3" s="10"/>
      <c r="C3" s="69">
        <f>IS!C$3</f>
        <v>40908</v>
      </c>
      <c r="D3" s="69">
        <f>IS!D$3</f>
        <v>41274</v>
      </c>
      <c r="E3" s="69">
        <f>IS!E$3</f>
        <v>41639</v>
      </c>
      <c r="F3" s="69">
        <f>IS!F$3</f>
        <v>42004</v>
      </c>
      <c r="G3" s="69">
        <f>IS!G$3</f>
        <v>42369</v>
      </c>
      <c r="H3" s="69">
        <f>IS!H$3</f>
        <v>42735</v>
      </c>
      <c r="I3" s="69">
        <f>IS!I$3</f>
        <v>43100</v>
      </c>
      <c r="J3" s="69">
        <f>IS!J$3</f>
        <v>43465</v>
      </c>
      <c r="K3" s="69">
        <f>IS!K$3</f>
        <v>43830</v>
      </c>
      <c r="L3" s="69">
        <f>IS!L$3</f>
        <v>44196</v>
      </c>
      <c r="M3" s="69">
        <f>IS!M$3</f>
        <v>44561</v>
      </c>
      <c r="N3" s="69">
        <f>IS!N$3</f>
        <v>44926</v>
      </c>
      <c r="O3" s="69">
        <f>IS!O$3</f>
        <v>45291</v>
      </c>
      <c r="P3" s="69">
        <f>IS!P$3</f>
        <v>45657</v>
      </c>
    </row>
    <row r="5" spans="1:17" x14ac:dyDescent="0.45">
      <c r="A5" s="29" t="s">
        <v>226</v>
      </c>
      <c r="Q5" s="88" t="str">
        <f ca="1">IFERROR(_xlfn.FORMULATEXT(P5),"")</f>
        <v/>
      </c>
    </row>
    <row r="6" spans="1:17" x14ac:dyDescent="0.45">
      <c r="B6" s="88" t="s">
        <v>224</v>
      </c>
      <c r="Q6" s="88" t="str">
        <f t="shared" ref="Q6:Q41" ca="1" si="0">IFERROR(_xlfn.FORMULATEXT(P6),"")</f>
        <v/>
      </c>
    </row>
    <row r="7" spans="1:17" x14ac:dyDescent="0.45">
      <c r="B7" s="88" t="s">
        <v>223</v>
      </c>
      <c r="Q7" s="88" t="str">
        <f t="shared" ca="1" si="0"/>
        <v/>
      </c>
    </row>
    <row r="8" spans="1:17" x14ac:dyDescent="0.45">
      <c r="B8" s="88" t="str">
        <f>CFS!B39</f>
        <v>Dividends</v>
      </c>
      <c r="Q8" s="88" t="str">
        <f t="shared" ca="1" si="0"/>
        <v/>
      </c>
    </row>
    <row r="9" spans="1:17" x14ac:dyDescent="0.45">
      <c r="B9" s="88" t="s">
        <v>245</v>
      </c>
      <c r="Q9" s="88" t="str">
        <f t="shared" ca="1" si="0"/>
        <v/>
      </c>
    </row>
    <row r="10" spans="1:17" x14ac:dyDescent="0.45">
      <c r="B10" s="88" t="s">
        <v>242</v>
      </c>
      <c r="Q10" s="88" t="str">
        <f t="shared" ca="1" si="0"/>
        <v/>
      </c>
    </row>
    <row r="11" spans="1:17" x14ac:dyDescent="0.45">
      <c r="B11" s="88" t="s">
        <v>246</v>
      </c>
      <c r="Q11" s="88" t="str">
        <f t="shared" ca="1" si="0"/>
        <v/>
      </c>
    </row>
    <row r="12" spans="1:17" x14ac:dyDescent="0.45">
      <c r="B12" s="88" t="str">
        <f>CFS!B40</f>
        <v>Lease repayment</v>
      </c>
      <c r="Q12" s="88" t="str">
        <f t="shared" ca="1" si="0"/>
        <v/>
      </c>
    </row>
    <row r="13" spans="1:17" x14ac:dyDescent="0.45">
      <c r="B13" s="88" t="str">
        <f>CFS!B38</f>
        <v>Change in long term debt</v>
      </c>
      <c r="Q13" s="88" t="str">
        <f t="shared" ca="1" si="0"/>
        <v/>
      </c>
    </row>
    <row r="14" spans="1:17" x14ac:dyDescent="0.45">
      <c r="B14" s="88" t="s">
        <v>247</v>
      </c>
      <c r="Q14" s="88" t="str">
        <f t="shared" ca="1" si="0"/>
        <v/>
      </c>
    </row>
    <row r="15" spans="1:17" x14ac:dyDescent="0.45">
      <c r="Q15" s="88" t="str">
        <f t="shared" ca="1" si="0"/>
        <v/>
      </c>
    </row>
    <row r="16" spans="1:17" x14ac:dyDescent="0.45">
      <c r="B16" s="88" t="s">
        <v>248</v>
      </c>
      <c r="Q16" s="88" t="str">
        <f t="shared" ca="1" si="0"/>
        <v/>
      </c>
    </row>
    <row r="17" spans="1:17" x14ac:dyDescent="0.45">
      <c r="B17" s="88" t="s">
        <v>249</v>
      </c>
      <c r="Q17" s="88" t="str">
        <f t="shared" ca="1" si="0"/>
        <v/>
      </c>
    </row>
    <row r="18" spans="1:17" x14ac:dyDescent="0.45">
      <c r="B18" s="88" t="s">
        <v>250</v>
      </c>
      <c r="K18" s="88">
        <f>BS!K96</f>
        <v>0</v>
      </c>
      <c r="Q18" s="88" t="str">
        <f t="shared" ca="1" si="0"/>
        <v/>
      </c>
    </row>
    <row r="19" spans="1:17" x14ac:dyDescent="0.45">
      <c r="Q19" s="88" t="str">
        <f t="shared" ca="1" si="0"/>
        <v/>
      </c>
    </row>
    <row r="20" spans="1:17" s="15" customFormat="1" x14ac:dyDescent="0.45">
      <c r="A20" s="29" t="s">
        <v>233</v>
      </c>
      <c r="Q20" s="88" t="str">
        <f t="shared" ca="1" si="0"/>
        <v/>
      </c>
    </row>
    <row r="21" spans="1:17" s="15" customFormat="1" x14ac:dyDescent="0.45">
      <c r="A21" s="29"/>
      <c r="B21" s="15" t="s">
        <v>228</v>
      </c>
      <c r="G21" s="7"/>
      <c r="H21" s="7"/>
      <c r="I21" s="7"/>
      <c r="J21" s="7"/>
      <c r="K21" s="7"/>
      <c r="L21" s="24">
        <v>1E-3</v>
      </c>
      <c r="M21" s="24">
        <v>1E-3</v>
      </c>
      <c r="N21" s="24">
        <v>1E-3</v>
      </c>
      <c r="O21" s="24">
        <v>1E-3</v>
      </c>
      <c r="P21" s="24">
        <v>1E-3</v>
      </c>
      <c r="Q21" s="88" t="str">
        <f ca="1">IFERROR(_xlfn.FORMULATEXT(P21),"")</f>
        <v/>
      </c>
    </row>
    <row r="22" spans="1:17" x14ac:dyDescent="0.45">
      <c r="B22" s="88" t="s">
        <v>232</v>
      </c>
      <c r="L22" s="36">
        <v>0.01</v>
      </c>
      <c r="M22" s="36">
        <v>0.01</v>
      </c>
      <c r="N22" s="36">
        <v>0.01</v>
      </c>
      <c r="O22" s="36">
        <v>0.01</v>
      </c>
      <c r="P22" s="36">
        <v>0.01</v>
      </c>
      <c r="Q22" s="88" t="str">
        <f t="shared" ca="1" si="0"/>
        <v/>
      </c>
    </row>
    <row r="23" spans="1:17" s="15" customFormat="1" x14ac:dyDescent="0.45">
      <c r="A23" s="29"/>
      <c r="B23" s="15" t="s">
        <v>231</v>
      </c>
      <c r="G23" s="7"/>
      <c r="H23" s="7"/>
      <c r="I23" s="7"/>
      <c r="J23" s="7"/>
      <c r="K23" s="7"/>
      <c r="L23" s="24">
        <v>0.03</v>
      </c>
      <c r="M23" s="24">
        <v>0.03</v>
      </c>
      <c r="N23" s="24">
        <v>0.03</v>
      </c>
      <c r="O23" s="24">
        <v>0.03</v>
      </c>
      <c r="P23" s="24">
        <v>0.03</v>
      </c>
      <c r="Q23" s="88" t="str">
        <f t="shared" ca="1" si="0"/>
        <v/>
      </c>
    </row>
    <row r="24" spans="1:17" x14ac:dyDescent="0.45">
      <c r="G24" s="7"/>
      <c r="H24" s="7"/>
      <c r="I24" s="7"/>
      <c r="J24" s="7"/>
      <c r="K24" s="7"/>
      <c r="Q24" s="88" t="str">
        <f t="shared" ca="1" si="0"/>
        <v/>
      </c>
    </row>
    <row r="25" spans="1:17" x14ac:dyDescent="0.45">
      <c r="A25" s="29" t="s">
        <v>251</v>
      </c>
      <c r="G25" s="7"/>
      <c r="H25" s="7"/>
      <c r="I25" s="7"/>
      <c r="J25" s="7"/>
      <c r="K25" s="7"/>
      <c r="Q25" s="88" t="str">
        <f t="shared" ca="1" si="0"/>
        <v/>
      </c>
    </row>
    <row r="26" spans="1:17" x14ac:dyDescent="0.45">
      <c r="B26" s="88" t="s">
        <v>220</v>
      </c>
      <c r="G26" s="7"/>
      <c r="H26" s="7"/>
      <c r="I26" s="7"/>
      <c r="J26" s="7"/>
      <c r="K26" s="7"/>
      <c r="Q26" s="88" t="str">
        <f ca="1">IFERROR(_xlfn.FORMULATEXT(P26),"")</f>
        <v/>
      </c>
    </row>
    <row r="27" spans="1:17" x14ac:dyDescent="0.45">
      <c r="B27" s="88" t="s">
        <v>252</v>
      </c>
      <c r="G27" s="7"/>
      <c r="H27" s="7"/>
      <c r="I27" s="7"/>
      <c r="J27" s="7"/>
      <c r="K27" s="7"/>
      <c r="Q27" s="88" t="str">
        <f t="shared" ca="1" si="0"/>
        <v/>
      </c>
    </row>
    <row r="28" spans="1:17" x14ac:dyDescent="0.45">
      <c r="B28" s="88" t="s">
        <v>256</v>
      </c>
      <c r="G28" s="7"/>
      <c r="H28" s="7"/>
      <c r="I28" s="7"/>
      <c r="J28" s="7"/>
      <c r="K28" s="7"/>
      <c r="Q28" s="88" t="str">
        <f t="shared" ca="1" si="0"/>
        <v/>
      </c>
    </row>
    <row r="29" spans="1:17" x14ac:dyDescent="0.45">
      <c r="B29" s="88" t="s">
        <v>254</v>
      </c>
      <c r="G29" s="7"/>
      <c r="H29" s="7"/>
      <c r="I29" s="7"/>
      <c r="J29" s="7"/>
      <c r="K29" s="7"/>
      <c r="Q29" s="88" t="str">
        <f t="shared" ca="1" si="0"/>
        <v/>
      </c>
    </row>
    <row r="30" spans="1:17" x14ac:dyDescent="0.45">
      <c r="B30" s="88" t="s">
        <v>255</v>
      </c>
      <c r="G30" s="7"/>
      <c r="H30" s="7"/>
      <c r="I30" s="7"/>
      <c r="J30" s="7"/>
      <c r="K30" s="7"/>
      <c r="Q30" s="88" t="str">
        <f t="shared" ca="1" si="0"/>
        <v/>
      </c>
    </row>
    <row r="31" spans="1:17" x14ac:dyDescent="0.45">
      <c r="B31" s="88" t="s">
        <v>253</v>
      </c>
      <c r="G31" s="7"/>
      <c r="H31" s="7"/>
      <c r="I31" s="7"/>
      <c r="J31" s="7"/>
      <c r="K31" s="7"/>
      <c r="Q31" s="88" t="str">
        <f t="shared" ca="1" si="0"/>
        <v/>
      </c>
    </row>
    <row r="32" spans="1:17" s="94" customFormat="1" x14ac:dyDescent="0.45">
      <c r="A32" s="29"/>
      <c r="G32" s="7"/>
      <c r="H32" s="7"/>
      <c r="I32" s="7"/>
      <c r="J32" s="7"/>
      <c r="K32" s="7"/>
    </row>
    <row r="33" spans="1:17" customFormat="1" x14ac:dyDescent="0.45">
      <c r="A33" s="29" t="s">
        <v>45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67" t="str">
        <f t="shared" ref="Q33:Q39" ca="1" si="1">IFERROR(_xlfn.FORMULATEXT(P33),"")</f>
        <v/>
      </c>
    </row>
    <row r="34" spans="1:17" customFormat="1" x14ac:dyDescent="0.45">
      <c r="A34" s="29"/>
      <c r="B34" s="15" t="s">
        <v>46</v>
      </c>
      <c r="C34" s="15"/>
      <c r="D34" s="15"/>
      <c r="E34" s="15"/>
      <c r="F34" s="5">
        <f>BS!F104+BS!F96</f>
        <v>2798.4879999999998</v>
      </c>
      <c r="G34" s="5">
        <f>BS!G104+BS!G96</f>
        <v>1831.28</v>
      </c>
      <c r="H34" s="5">
        <f>BS!H104+BS!H96</f>
        <v>1828.327</v>
      </c>
      <c r="I34" s="5">
        <f>BS!I104+BS!I96</f>
        <v>1389.9559999999999</v>
      </c>
      <c r="J34" s="5">
        <f>BS!J104+BS!J96</f>
        <v>1568.2619999999999</v>
      </c>
      <c r="K34" s="5">
        <f>BS!K104+BS!K96</f>
        <v>1577.4849999999999</v>
      </c>
      <c r="L34" s="5"/>
      <c r="M34" s="5"/>
      <c r="N34" s="5"/>
      <c r="O34" s="5"/>
      <c r="P34" s="5"/>
      <c r="Q34" s="67" t="str">
        <f t="shared" ca="1" si="1"/>
        <v/>
      </c>
    </row>
    <row r="35" spans="1:17" customFormat="1" x14ac:dyDescent="0.45">
      <c r="A35" s="29"/>
      <c r="B35" s="15" t="s">
        <v>47</v>
      </c>
      <c r="C35" s="15"/>
      <c r="D35" s="15"/>
      <c r="E35" s="15"/>
      <c r="F35" s="5">
        <f>F34-BS!F85</f>
        <v>2678.3029999999999</v>
      </c>
      <c r="G35" s="5">
        <f>G34-BS!G85</f>
        <v>1586.8920000000001</v>
      </c>
      <c r="H35" s="5">
        <f>H34-BS!H85</f>
        <v>1614.152</v>
      </c>
      <c r="I35" s="5">
        <f>I34-BS!I85</f>
        <v>1117.4699999999998</v>
      </c>
      <c r="J35" s="5">
        <f>J34-BS!J85</f>
        <v>1147.3429999999998</v>
      </c>
      <c r="K35" s="5">
        <f>K34-BS!K85</f>
        <v>1376.8739999999998</v>
      </c>
      <c r="L35" s="5"/>
      <c r="M35" s="5"/>
      <c r="N35" s="5"/>
      <c r="O35" s="5"/>
      <c r="P35" s="5"/>
      <c r="Q35" s="67" t="str">
        <f t="shared" ca="1" si="1"/>
        <v/>
      </c>
    </row>
    <row r="36" spans="1:17" customFormat="1" x14ac:dyDescent="0.45">
      <c r="A36" s="29"/>
      <c r="B36" s="15" t="s">
        <v>273</v>
      </c>
      <c r="C36" s="15"/>
      <c r="D36" s="15"/>
      <c r="E36" s="15"/>
      <c r="F36" s="22">
        <f>F34/IS!F35</f>
        <v>4.3863448275862069</v>
      </c>
      <c r="G36" s="22">
        <f>G34/IS!G35</f>
        <v>2.920701754385965</v>
      </c>
      <c r="H36" s="22">
        <f>H34/IS!H35</f>
        <v>2.9923518821603929</v>
      </c>
      <c r="I36" s="22">
        <f>I34/IS!I35</f>
        <v>2.3127387687188019</v>
      </c>
      <c r="J36" s="22">
        <f>J34/IS!J35</f>
        <v>2.6094209650582361</v>
      </c>
      <c r="K36" s="22">
        <f>K34/IS!K35</f>
        <v>2.3615044910179641</v>
      </c>
      <c r="L36" s="22"/>
      <c r="M36" s="22"/>
      <c r="N36" s="22"/>
      <c r="O36" s="22"/>
      <c r="P36" s="22"/>
      <c r="Q36" s="67" t="str">
        <f t="shared" ca="1" si="1"/>
        <v/>
      </c>
    </row>
    <row r="37" spans="1:17" customFormat="1" x14ac:dyDescent="0.45">
      <c r="A37" s="29"/>
      <c r="B37" s="15" t="s">
        <v>274</v>
      </c>
      <c r="C37" s="15"/>
      <c r="D37" s="15"/>
      <c r="E37" s="15"/>
      <c r="F37" s="22">
        <f>F35/IS!F35</f>
        <v>4.1979670846394983</v>
      </c>
      <c r="G37" s="22">
        <f>G35/IS!G35</f>
        <v>2.5309282296650717</v>
      </c>
      <c r="H37" s="22">
        <f>H35/IS!H35</f>
        <v>2.6418199672667759</v>
      </c>
      <c r="I37" s="22">
        <f>I35/IS!I35</f>
        <v>1.8593510815307817</v>
      </c>
      <c r="J37" s="22">
        <f>J35/IS!J35</f>
        <v>1.9090565723793675</v>
      </c>
      <c r="K37" s="22">
        <f>K35/IS!K35</f>
        <v>2.0611886227544907</v>
      </c>
      <c r="L37" s="22"/>
      <c r="M37" s="22"/>
      <c r="N37" s="22"/>
      <c r="O37" s="22"/>
      <c r="P37" s="22"/>
      <c r="Q37" s="67" t="str">
        <f t="shared" ca="1" si="1"/>
        <v/>
      </c>
    </row>
    <row r="38" spans="1:17" customFormat="1" x14ac:dyDescent="0.45">
      <c r="A38" s="29"/>
      <c r="B38" s="15" t="s">
        <v>275</v>
      </c>
      <c r="C38" s="15"/>
      <c r="D38" s="15"/>
      <c r="E38" s="15"/>
      <c r="F38" s="22">
        <f>IS!F35/-IS!F40</f>
        <v>1.4808178385165824</v>
      </c>
      <c r="G38" s="22">
        <f>IS!G35/-IS!G40</f>
        <v>1.1311625356081667</v>
      </c>
      <c r="H38" s="22">
        <f>IS!H35/-IS!H40</f>
        <v>10.407440212577502</v>
      </c>
      <c r="I38" s="22">
        <f>IS!I35/-IS!I40</f>
        <v>11.462684289828537</v>
      </c>
      <c r="J38" s="22">
        <f>IS!J35/-IS!J40</f>
        <v>11.840731327698643</v>
      </c>
      <c r="K38" s="22">
        <f>IS!K35/-IS!K40</f>
        <v>13.465570069343656</v>
      </c>
      <c r="L38" s="22"/>
      <c r="M38" s="22"/>
      <c r="N38" s="22"/>
      <c r="O38" s="22"/>
      <c r="P38" s="22"/>
      <c r="Q38" s="67" t="str">
        <f t="shared" ca="1" si="1"/>
        <v/>
      </c>
    </row>
    <row r="39" spans="1:17" customFormat="1" x14ac:dyDescent="0.45">
      <c r="A39" s="29"/>
      <c r="B39" s="15" t="s">
        <v>48</v>
      </c>
      <c r="C39" s="15"/>
      <c r="D39" s="15"/>
      <c r="E39" s="15"/>
      <c r="F39" s="4">
        <f>F35/(F35+BS!F107)</f>
        <v>1.0080552493299524</v>
      </c>
      <c r="G39" s="4">
        <f>G35/(G35+BS!G107)</f>
        <v>0.57594623845579285</v>
      </c>
      <c r="H39" s="4">
        <f>H35/(H35+BS!H107)</f>
        <v>0.58687046436206569</v>
      </c>
      <c r="I39" s="4">
        <f>I35/(I35+BS!I107)</f>
        <v>0.42525718761024156</v>
      </c>
      <c r="J39" s="4">
        <f>J35/(J35+BS!J107)</f>
        <v>0.43649772495548828</v>
      </c>
      <c r="K39" s="4">
        <f>K35/(K35+BS!K107)</f>
        <v>0.50659125603080879</v>
      </c>
      <c r="L39" s="4"/>
      <c r="M39" s="4"/>
      <c r="N39" s="4"/>
      <c r="O39" s="4"/>
      <c r="P39" s="4"/>
      <c r="Q39" s="67" t="str">
        <f t="shared" ca="1" si="1"/>
        <v/>
      </c>
    </row>
    <row r="40" spans="1:17" s="68" customFormat="1" x14ac:dyDescent="0.45">
      <c r="A40" s="2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x14ac:dyDescent="0.45">
      <c r="A41" s="29" t="s">
        <v>115</v>
      </c>
      <c r="Q41" s="88" t="str">
        <f t="shared" ca="1" si="0"/>
        <v/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Welcome</vt:lpstr>
      <vt:lpstr>Info</vt:lpstr>
      <vt:lpstr>Revenue - Mobile</vt:lpstr>
      <vt:lpstr>Revenue - Fixed</vt:lpstr>
      <vt:lpstr>IS</vt:lpstr>
      <vt:lpstr>BS</vt:lpstr>
      <vt:lpstr>CFS</vt:lpstr>
      <vt:lpstr>Debt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Taylor</dc:creator>
  <cp:keywords/>
  <dc:description/>
  <cp:lastModifiedBy>Jonathan Rugg</cp:lastModifiedBy>
  <cp:revision/>
  <cp:lastPrinted>2021-01-25T19:45:46Z</cp:lastPrinted>
  <dcterms:created xsi:type="dcterms:W3CDTF">2021-01-08T11:10:34Z</dcterms:created>
  <dcterms:modified xsi:type="dcterms:W3CDTF">2021-03-15T23:08:18Z</dcterms:modified>
  <cp:category/>
  <cp:contentStatus/>
</cp:coreProperties>
</file>