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550 Healthcare/Elearning/18. Cash flow statement - Final/"/>
    </mc:Choice>
  </mc:AlternateContent>
  <xr:revisionPtr revIDLastSave="4" documentId="13_ncr:1_{32581E1E-A9B6-421F-AECB-1F4C5A2FF7F9}" xr6:coauthVersionLast="47" xr6:coauthVersionMax="47" xr10:uidLastSave="{A02E920E-4143-4100-BD36-AD6DB0D6615C}"/>
  <bookViews>
    <workbookView xWindow="-98" yWindow="-98" windowWidth="21795" windowHeight="13875" activeTab="4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  <externalReference r:id="rId10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6" l="1"/>
  <c r="E41" i="6"/>
  <c r="F41" i="6"/>
  <c r="G41" i="6"/>
  <c r="D42" i="6"/>
  <c r="D46" i="6" s="1"/>
  <c r="E42" i="6"/>
  <c r="E46" i="6" s="1"/>
  <c r="F42" i="6"/>
  <c r="F46" i="6" s="1"/>
  <c r="G42" i="6"/>
  <c r="D43" i="6"/>
  <c r="E43" i="6"/>
  <c r="F43" i="6"/>
  <c r="G43" i="6"/>
  <c r="G46" i="6" s="1"/>
  <c r="H43" i="6"/>
  <c r="D44" i="6"/>
  <c r="E44" i="6"/>
  <c r="F44" i="6"/>
  <c r="G44" i="6"/>
  <c r="D45" i="6"/>
  <c r="E45" i="6"/>
  <c r="F45" i="6"/>
  <c r="G45" i="6"/>
  <c r="H45" i="6"/>
  <c r="C46" i="6"/>
  <c r="C45" i="6"/>
  <c r="C44" i="6"/>
  <c r="C43" i="6"/>
  <c r="C42" i="6"/>
  <c r="C41" i="6"/>
  <c r="D76" i="6"/>
  <c r="E76" i="6"/>
  <c r="F76" i="6"/>
  <c r="G76" i="6"/>
  <c r="C76" i="6"/>
  <c r="D74" i="6"/>
  <c r="E74" i="6"/>
  <c r="F74" i="6"/>
  <c r="G74" i="6"/>
  <c r="C74" i="6"/>
  <c r="D71" i="6"/>
  <c r="E71" i="6"/>
  <c r="F71" i="6"/>
  <c r="G71" i="6"/>
  <c r="C71" i="6"/>
  <c r="H69" i="6"/>
  <c r="H67" i="6"/>
  <c r="H64" i="6"/>
  <c r="H63" i="6"/>
  <c r="H62" i="6"/>
  <c r="D60" i="6"/>
  <c r="E60" i="6"/>
  <c r="F60" i="6"/>
  <c r="G60" i="6"/>
  <c r="C60" i="6"/>
  <c r="H57" i="6"/>
  <c r="H53" i="6"/>
  <c r="H52" i="6"/>
  <c r="H51" i="6"/>
  <c r="H35" i="6"/>
  <c r="G38" i="6"/>
  <c r="H32" i="6"/>
  <c r="H31" i="6"/>
  <c r="H30" i="6"/>
  <c r="H29" i="6"/>
  <c r="G32" i="6"/>
  <c r="H25" i="6"/>
  <c r="H23" i="6"/>
  <c r="H19" i="6"/>
  <c r="H17" i="6"/>
  <c r="D26" i="6"/>
  <c r="E26" i="6"/>
  <c r="F26" i="6"/>
  <c r="G26" i="6"/>
  <c r="C26" i="6"/>
  <c r="D20" i="6"/>
  <c r="E20" i="6"/>
  <c r="F20" i="6"/>
  <c r="G20" i="6"/>
  <c r="C20" i="6"/>
  <c r="H54" i="2"/>
  <c r="D47" i="2"/>
  <c r="E47" i="2"/>
  <c r="F47" i="2"/>
  <c r="G47" i="2"/>
  <c r="C47" i="2"/>
  <c r="H45" i="2"/>
  <c r="H44" i="2"/>
  <c r="H35" i="2"/>
  <c r="D41" i="2"/>
  <c r="E41" i="2"/>
  <c r="F41" i="2"/>
  <c r="G41" i="2"/>
  <c r="C41" i="2"/>
  <c r="D38" i="2"/>
  <c r="E38" i="2"/>
  <c r="F38" i="2"/>
  <c r="G38" i="2"/>
  <c r="C38" i="2"/>
  <c r="D36" i="2"/>
  <c r="E36" i="2"/>
  <c r="F36" i="2"/>
  <c r="G36" i="2"/>
  <c r="C36" i="2"/>
  <c r="D31" i="2"/>
  <c r="E31" i="2"/>
  <c r="F31" i="2"/>
  <c r="G31" i="2"/>
  <c r="C31" i="2"/>
  <c r="D28" i="2"/>
  <c r="E28" i="2"/>
  <c r="F28" i="2"/>
  <c r="G28" i="2"/>
  <c r="C28" i="2"/>
  <c r="H27" i="2"/>
  <c r="H26" i="2"/>
  <c r="H18" i="2"/>
  <c r="I51" i="7"/>
  <c r="L51" i="7"/>
  <c r="I54" i="7"/>
  <c r="L53" i="7"/>
  <c r="L54" i="7"/>
  <c r="L50" i="7"/>
  <c r="I58" i="7"/>
  <c r="L52" i="7"/>
  <c r="I52" i="7"/>
  <c r="I59" i="7"/>
  <c r="L55" i="7"/>
  <c r="I56" i="7"/>
  <c r="I50" i="7"/>
  <c r="I53" i="7"/>
  <c r="I57" i="7"/>
  <c r="I55" i="7"/>
  <c r="T88" i="4"/>
  <c r="I62" i="6"/>
  <c r="I58" i="6"/>
  <c r="I29" i="6"/>
  <c r="D23" i="4"/>
  <c r="T74" i="4"/>
  <c r="T83" i="4"/>
  <c r="I49" i="6"/>
  <c r="I28" i="2"/>
  <c r="D22" i="4"/>
  <c r="I53" i="6"/>
  <c r="I34" i="1"/>
  <c r="I36" i="2"/>
  <c r="T51" i="4"/>
  <c r="I35" i="2"/>
  <c r="I26" i="2"/>
  <c r="I19" i="6"/>
  <c r="I45" i="1"/>
  <c r="I26" i="6"/>
  <c r="I42" i="1"/>
  <c r="I20" i="6"/>
  <c r="I64" i="6"/>
  <c r="I52" i="6"/>
  <c r="I71" i="6"/>
  <c r="I26" i="1"/>
  <c r="I60" i="6"/>
  <c r="I50" i="6"/>
  <c r="I31" i="6"/>
  <c r="T96" i="4"/>
  <c r="I51" i="6"/>
  <c r="T105" i="4"/>
  <c r="I48" i="2"/>
  <c r="T53" i="4"/>
  <c r="I68" i="6"/>
  <c r="I37" i="6"/>
  <c r="I56" i="6"/>
  <c r="T85" i="4"/>
  <c r="I29" i="1"/>
  <c r="I54" i="2"/>
  <c r="I17" i="6"/>
  <c r="T80" i="4"/>
  <c r="T102" i="4"/>
  <c r="I36" i="6"/>
  <c r="I41" i="1"/>
  <c r="I23" i="6"/>
  <c r="T72" i="4"/>
  <c r="T39" i="4"/>
  <c r="T43" i="4"/>
  <c r="I67" i="6"/>
  <c r="I55" i="2"/>
  <c r="I38" i="6"/>
  <c r="T50" i="4"/>
  <c r="I55" i="6"/>
  <c r="I18" i="6"/>
  <c r="T79" i="4"/>
  <c r="I22" i="2"/>
  <c r="T101" i="4"/>
  <c r="I25" i="1"/>
  <c r="I35" i="1"/>
  <c r="D61" i="4"/>
  <c r="I47" i="2"/>
  <c r="I40" i="1"/>
  <c r="T48" i="4"/>
  <c r="I43" i="6"/>
  <c r="T86" i="4"/>
  <c r="I27" i="1"/>
  <c r="T75" i="4"/>
  <c r="I31" i="2"/>
  <c r="I56" i="2"/>
  <c r="I36" i="1"/>
  <c r="I32" i="1"/>
  <c r="I45" i="6"/>
  <c r="I35" i="6"/>
  <c r="I53" i="2"/>
  <c r="I46" i="6"/>
  <c r="I19" i="2"/>
  <c r="T97" i="4"/>
  <c r="T54" i="4"/>
  <c r="I37" i="1"/>
  <c r="I38" i="1"/>
  <c r="T94" i="4"/>
  <c r="I45" i="2"/>
  <c r="I32" i="6"/>
  <c r="I43" i="1"/>
  <c r="I25" i="2"/>
  <c r="I76" i="6"/>
  <c r="T103" i="4"/>
  <c r="I25" i="6"/>
  <c r="I30" i="6"/>
  <c r="I40" i="2"/>
  <c r="I52" i="2"/>
  <c r="T104" i="4"/>
  <c r="T93" i="4"/>
  <c r="T38" i="4"/>
  <c r="T37" i="4"/>
  <c r="T100" i="4"/>
  <c r="T40" i="4"/>
  <c r="I74" i="6"/>
  <c r="T89" i="4"/>
  <c r="I44" i="1"/>
  <c r="I21" i="2"/>
  <c r="I57" i="6"/>
  <c r="T82" i="4"/>
  <c r="I33" i="1"/>
  <c r="I24" i="2"/>
  <c r="T44" i="4"/>
  <c r="I44" i="6"/>
  <c r="I18" i="2"/>
  <c r="I51" i="2"/>
  <c r="I17" i="2"/>
  <c r="I39" i="1"/>
  <c r="I30" i="1"/>
  <c r="T47" i="4"/>
  <c r="I42" i="6"/>
  <c r="I27" i="2"/>
  <c r="T73" i="4"/>
  <c r="I41" i="2"/>
  <c r="T18" i="4"/>
  <c r="I31" i="1"/>
  <c r="T95" i="4"/>
  <c r="T78" i="4"/>
  <c r="I28" i="1"/>
  <c r="I24" i="6"/>
  <c r="I38" i="2"/>
  <c r="I41" i="6"/>
  <c r="I44" i="2"/>
  <c r="I63" i="6"/>
  <c r="I69" i="6"/>
  <c r="T92" i="4"/>
  <c r="T45" i="4"/>
  <c r="I73" i="6"/>
  <c r="G44" i="2" l="1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E17" i="2" s="1"/>
  <c r="E19" i="2" s="1"/>
  <c r="E21" i="2" s="1"/>
  <c r="F27" i="1"/>
  <c r="F39" i="1" s="1"/>
  <c r="F42" i="1" s="1"/>
  <c r="F45" i="1" s="1"/>
  <c r="F17" i="2" s="1"/>
  <c r="F19" i="2" s="1"/>
  <c r="F21" i="2" s="1"/>
  <c r="G27" i="1"/>
  <c r="G39" i="1" s="1"/>
  <c r="G42" i="1" s="1"/>
  <c r="G45" i="1" s="1"/>
  <c r="G17" i="2" s="1"/>
  <c r="G19" i="2" s="1"/>
  <c r="G21" i="2" s="1"/>
  <c r="C27" i="1"/>
  <c r="C39" i="1" s="1"/>
  <c r="C42" i="1" s="1"/>
  <c r="C45" i="1" s="1"/>
  <c r="C17" i="2" s="1"/>
  <c r="C19" i="2" s="1"/>
  <c r="C21" i="2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13" i="4"/>
  <c r="G12" i="4"/>
  <c r="G7" i="4"/>
  <c r="G8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H17" i="2" s="1"/>
  <c r="H19" i="2" s="1"/>
  <c r="I9" i="6"/>
  <c r="J9" i="6" s="1"/>
  <c r="K8" i="6"/>
  <c r="G3" i="6"/>
  <c r="H25" i="2" l="1"/>
  <c r="H55" i="2"/>
  <c r="H22" i="2"/>
  <c r="H18" i="6"/>
  <c r="H24" i="2"/>
  <c r="H52" i="2" s="1"/>
  <c r="H24" i="6"/>
  <c r="H56" i="6"/>
  <c r="H42" i="6" s="1"/>
  <c r="N88" i="4"/>
  <c r="N89" i="4" s="1"/>
  <c r="N83" i="4"/>
  <c r="K9" i="6"/>
  <c r="H3" i="6"/>
  <c r="H20" i="6" l="1"/>
  <c r="H26" i="6"/>
  <c r="H21" i="2"/>
  <c r="H55" i="6" s="1"/>
  <c r="H41" i="6" s="1"/>
  <c r="H28" i="2"/>
  <c r="H51" i="2"/>
  <c r="I3" i="6"/>
  <c r="H31" i="2" l="1"/>
  <c r="H56" i="2" s="1"/>
  <c r="H53" i="2"/>
  <c r="H68" i="6"/>
  <c r="H50" i="6"/>
  <c r="H49" i="6"/>
  <c r="J3" i="6"/>
  <c r="H71" i="6" l="1"/>
  <c r="H44" i="6"/>
  <c r="H46" i="6" s="1"/>
  <c r="K3" i="6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D19" i="2" s="1"/>
  <c r="D21" i="2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  <c r="H36" i="2" l="1"/>
  <c r="H38" i="2" s="1"/>
  <c r="H40" i="2" l="1"/>
  <c r="H41" i="2" s="1"/>
  <c r="H36" i="6" l="1"/>
  <c r="H47" i="2"/>
  <c r="H48" i="2" s="1"/>
  <c r="H37" i="6" s="1"/>
  <c r="H38" i="6" l="1"/>
  <c r="H73" i="6" s="1"/>
  <c r="H74" i="6" s="1"/>
  <c r="H58" i="6" l="1"/>
  <c r="H60" i="6" s="1"/>
  <c r="H7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<sst xmlns="http://schemas.openxmlformats.org/spreadsheetml/2006/main" count="313" uniqueCount="225">
  <si>
    <t>This document is for training purposes only. Financial Edge accepts no responsibility or liability for any other purpose or usage.</t>
  </si>
  <si>
    <t>www.fe.training</t>
  </si>
  <si>
    <t>Pharmaceuticals Sector Model - Rovi</t>
  </si>
  <si>
    <t>Features</t>
  </si>
  <si>
    <t>Model Details</t>
  </si>
  <si>
    <t>◦</t>
  </si>
  <si>
    <t>Model for pharmaceuticals company</t>
  </si>
  <si>
    <t>Company name</t>
  </si>
  <si>
    <t>LABORATORIOS FARMACÉUTICOS ROVI</t>
  </si>
  <si>
    <t>Date</t>
  </si>
  <si>
    <t>Currency</t>
  </si>
  <si>
    <t>EUR</t>
  </si>
  <si>
    <t>Units</t>
  </si>
  <si>
    <t>Thousands</t>
  </si>
  <si>
    <t>Analyst Name</t>
  </si>
  <si>
    <t>Firstname Lastname</t>
  </si>
  <si>
    <t>Circular Switch</t>
  </si>
  <si>
    <t>Pipeline Switch</t>
  </si>
  <si>
    <t>Tab Structure</t>
  </si>
  <si>
    <t>Formatting</t>
  </si>
  <si>
    <t>IS</t>
  </si>
  <si>
    <t>Income Statement</t>
  </si>
  <si>
    <t>BS</t>
  </si>
  <si>
    <t>Balance Sheet</t>
  </si>
  <si>
    <t>Input</t>
  </si>
  <si>
    <t>CFS and Debt</t>
  </si>
  <si>
    <t>Cash Flow Statement and Debt Schedule</t>
  </si>
  <si>
    <t>Hard coded</t>
  </si>
  <si>
    <t>Revenues</t>
  </si>
  <si>
    <t>Revenue forecasts</t>
  </si>
  <si>
    <t>Formulas</t>
  </si>
  <si>
    <t>Pipeline drugs</t>
  </si>
  <si>
    <t>Example pipeline drug model</t>
  </si>
  <si>
    <t>Drugs glossary</t>
  </si>
  <si>
    <t>Glossary of sector terminology</t>
  </si>
  <si>
    <t>Income Statement Assumptions</t>
  </si>
  <si>
    <t>Gross margin ex pipeline</t>
  </si>
  <si>
    <t>R&amp;D % of sales</t>
  </si>
  <si>
    <t>SG&amp;A % of sales ex pipeline</t>
  </si>
  <si>
    <t>Other expenses</t>
  </si>
  <si>
    <t>Share of profit of JV</t>
  </si>
  <si>
    <t>Non-recurring expenses</t>
  </si>
  <si>
    <t>Effective tax rate</t>
  </si>
  <si>
    <t>Dividend payout ratio</t>
  </si>
  <si>
    <t>Revenue</t>
  </si>
  <si>
    <t>Recognition of government grants and other</t>
  </si>
  <si>
    <t>Total revenue</t>
  </si>
  <si>
    <t>Cost of sales</t>
  </si>
  <si>
    <t>Gross profit</t>
  </si>
  <si>
    <t>R&amp;D expenses</t>
  </si>
  <si>
    <t>Selling, general and admin expenses</t>
  </si>
  <si>
    <t>Share of profit of a joint venture</t>
  </si>
  <si>
    <t>EBITDA</t>
  </si>
  <si>
    <t>Depreciation and amortisation</t>
  </si>
  <si>
    <t>EBIT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</si>
  <si>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</si>
  <si>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</si>
  <si>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</si>
  <si>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</si>
  <si>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</si>
  <si>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</si>
  <si>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</si>
  <si>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</si>
  <si>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</si>
  <si>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</si>
  <si>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</si>
  <si>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Gross profit margin</t>
  </si>
  <si>
    <t>R&amp;D YOY % change</t>
  </si>
  <si>
    <t>EBITDA profit margin</t>
  </si>
  <si>
    <t>D&amp;A YOY % change</t>
  </si>
  <si>
    <t>D&amp;A % of sales</t>
  </si>
  <si>
    <t>EBIT margin</t>
  </si>
  <si>
    <t>Balance sheet assumptions</t>
  </si>
  <si>
    <t>Tangible capex/sales</t>
  </si>
  <si>
    <t>Intangible capex/sales</t>
  </si>
  <si>
    <t>Depreciation % of prior year balance</t>
  </si>
  <si>
    <t>Amortisation % of prior year balance</t>
  </si>
  <si>
    <t>JV dividend payout ratio</t>
  </si>
  <si>
    <t>Days inventory outstanding</t>
  </si>
  <si>
    <t>Days sales outstanding</t>
  </si>
  <si>
    <t>Days payable outstanding</t>
  </si>
  <si>
    <t>Calculations</t>
  </si>
  <si>
    <t>Property, Plant and Equipment</t>
  </si>
  <si>
    <t>Beginning balance</t>
  </si>
  <si>
    <t>Capex</t>
  </si>
  <si>
    <t>Depreciation</t>
  </si>
  <si>
    <t>Closing balance</t>
  </si>
  <si>
    <t>Intangible assets</t>
  </si>
  <si>
    <t>Amortization</t>
  </si>
  <si>
    <t>Joint venture investments</t>
  </si>
  <si>
    <t>Share of JV profits</t>
  </si>
  <si>
    <t>Dividends from JV</t>
  </si>
  <si>
    <t>Equity</t>
  </si>
  <si>
    <t>Opening balance</t>
  </si>
  <si>
    <t>Dividends</t>
  </si>
  <si>
    <t>Operating working capital</t>
  </si>
  <si>
    <t>Inventories</t>
  </si>
  <si>
    <t>Trade and other receivables</t>
  </si>
  <si>
    <t>Other current assets</t>
  </si>
  <si>
    <t>Trade and other payables</t>
  </si>
  <si>
    <t>Other current liabilities</t>
  </si>
  <si>
    <t>Net operating working capital</t>
  </si>
  <si>
    <t>Investment in joint venture</t>
  </si>
  <si>
    <t>Deferred tax assets</t>
  </si>
  <si>
    <t>Other non-current assets</t>
  </si>
  <si>
    <t>Cash and cash equivalents</t>
  </si>
  <si>
    <t>Total assets</t>
  </si>
  <si>
    <t>Financial debt</t>
  </si>
  <si>
    <t>Deferred income tax liabilities</t>
  </si>
  <si>
    <t>Other non-current liabilities</t>
  </si>
  <si>
    <t>Current liabilities</t>
  </si>
  <si>
    <t>Total liabilities</t>
  </si>
  <si>
    <t>Total liabilities and equity</t>
  </si>
  <si>
    <t>Balancing sheet check</t>
  </si>
  <si>
    <t>Cash/Debt Assumptions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</si>
  <si>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</si>
  <si>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</si>
  <si>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</si>
  <si>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</si>
  <si>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Cash flow statement</t>
  </si>
  <si>
    <t>Cash flows from operating activities</t>
  </si>
  <si>
    <t>Depreciation and amortization</t>
  </si>
  <si>
    <t>Net finance costs</t>
  </si>
  <si>
    <t>Change in operating working capital</t>
  </si>
  <si>
    <t>Change in other non-current assets</t>
  </si>
  <si>
    <t>Change in other non-current liabilities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</si>
  <si>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</si>
  <si>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</si>
  <si>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</si>
  <si>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</si>
  <si>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Dividends received from JV</t>
  </si>
  <si>
    <t>Interest received</t>
  </si>
  <si>
    <t xml:space="preserve">Net cash generated from (used in) investing activities </t>
  </si>
  <si>
    <t>Cash flows from financing activities</t>
  </si>
  <si>
    <t>Issuance/(repayment) of current debt</t>
  </si>
  <si>
    <t>Issuance/(repayment) of non-current debt</t>
  </si>
  <si>
    <t>Interest paid</t>
  </si>
  <si>
    <t>Dividends paid</t>
  </si>
  <si>
    <t xml:space="preserve">Net cash generated from (used in) financing activities </t>
  </si>
  <si>
    <t>Net cash flow</t>
  </si>
  <si>
    <t>Beginning cash and cash equivalents</t>
  </si>
  <si>
    <t>Ending cash and cash equivalents</t>
  </si>
  <si>
    <t>Cash/ Debt and Interest Calculations</t>
  </si>
  <si>
    <t>Ending non-current financial debt</t>
  </si>
  <si>
    <t>Ending current financial debt</t>
  </si>
  <si>
    <t>Financial expense</t>
  </si>
  <si>
    <t>Cash and equivalents</t>
  </si>
  <si>
    <t>Interest income</t>
  </si>
  <si>
    <t>Net debt</t>
  </si>
  <si>
    <t>Revenue build up</t>
  </si>
  <si>
    <t>Revenue growth assumptions</t>
  </si>
  <si>
    <t>Hibor  - Sales in Spain</t>
  </si>
  <si>
    <t>Hibor - 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</si>
  <si>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</si>
  <si>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</si>
  <si>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</si>
  <si>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</si>
  <si>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</si>
  <si>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</si>
  <si>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</si>
  <si>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</si>
  <si>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</si>
  <si>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Other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</si>
  <si>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</si>
  <si>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</si>
  <si>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</si>
  <si>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</si>
  <si>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Revenue build up - by product and product line</t>
  </si>
  <si>
    <t>Sales in Spain</t>
  </si>
  <si>
    <t>International sales</t>
  </si>
  <si>
    <t>Hibor</t>
  </si>
  <si>
    <t>DORIA (risk-adjusted)</t>
  </si>
  <si>
    <t>Total prescription-based pharmaceutical products</t>
  </si>
  <si>
    <t>Sale of goods</t>
  </si>
  <si>
    <t>Total Revenues</t>
  </si>
  <si>
    <t>Hist.</t>
  </si>
  <si>
    <t>Proj.</t>
  </si>
  <si>
    <t>Pipeline Drug</t>
  </si>
  <si>
    <t>DORIA Market Analysis</t>
  </si>
  <si>
    <t xml:space="preserve">Total schizophrenia market size </t>
  </si>
  <si>
    <t>$bn</t>
  </si>
  <si>
    <t>%</t>
  </si>
  <si>
    <t>US</t>
  </si>
  <si>
    <t>EU</t>
  </si>
  <si>
    <t>Total</t>
  </si>
  <si>
    <t>Long Acting Injectibles (LAI) market size</t>
  </si>
  <si>
    <t>LAI/market</t>
  </si>
  <si>
    <t xml:space="preserve">US </t>
  </si>
  <si>
    <t xml:space="preserve">EU </t>
  </si>
  <si>
    <t>EUR:USD FX Rate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</si>
  <si>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</si>
  <si>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</si>
  <si>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</si>
  <si>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</si>
  <si>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</si>
  <si>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</si>
  <si>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</si>
  <si>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</si>
  <si>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</si>
  <si>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</si>
  <si>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</si>
  <si>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</si>
  <si>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</si>
  <si>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Annual commercial cost inflation before peak</t>
  </si>
  <si>
    <t>Annual decline in commercial costs after peak</t>
  </si>
  <si>
    <t>Manufacturing and logistics costs (% of revenue)</t>
  </si>
  <si>
    <t>DORIA market share</t>
  </si>
  <si>
    <t>DORIA sales (€ thousands)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</si>
  <si>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</si>
  <si>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</si>
  <si>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</si>
  <si>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</si>
  <si>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</si>
  <si>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Gross margin</t>
  </si>
  <si>
    <t>Commercial costs</t>
  </si>
  <si>
    <t>Manufacturing and logistics costs</t>
  </si>
  <si>
    <t>EBITDA margin</t>
  </si>
  <si>
    <t>US &amp; Europe Combined</t>
  </si>
  <si>
    <t>SG&amp;A</t>
  </si>
  <si>
    <t>US &amp; Europe Combined - Risk Adjusted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</si>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</sst>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90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19" fillId="12" borderId="0" xfId="0" applyFont="1" applyFill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 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%20Jones\AppData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9</v>
    <v>3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67" customFormat="1" ht="189.75" customHeight="1" x14ac:dyDescent="0.4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/>
      <c r="Q1"/>
      <c r="R1"/>
      <c r="S1"/>
      <c r="T1"/>
      <c r="U1"/>
    </row>
    <row r="2" spans="1:21" s="60" customFormat="1" ht="7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/>
      <c r="P2"/>
      <c r="Q2"/>
      <c r="R2"/>
      <c r="S2"/>
      <c r="T2"/>
      <c r="U2"/>
    </row>
    <row r="3" spans="1:21" s="65" customFormat="1" ht="7.5" customHeight="1" x14ac:dyDescent="0.2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25">
      <c r="A4" s="69"/>
      <c r="B4" s="53"/>
      <c r="C4" s="83"/>
      <c r="D4" s="83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25">
      <c r="A5" s="8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/>
      <c r="P5"/>
      <c r="Q5"/>
      <c r="R5"/>
      <c r="S5"/>
      <c r="T5"/>
      <c r="U5"/>
    </row>
    <row r="6" spans="1:21" s="65" customFormat="1" ht="15" customHeight="1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/>
      <c r="P6"/>
      <c r="Q6"/>
      <c r="R6"/>
      <c r="S6"/>
      <c r="T6"/>
      <c r="U6"/>
    </row>
    <row r="7" spans="1:21" s="65" customFormat="1" ht="15" customHeight="1" x14ac:dyDescent="0.25">
      <c r="A7" s="84" t="str">
        <f ca="1">"© "&amp;YEAR(TODAY())&amp;" Financial Edge Training"</f>
        <v>© 2026 Financial Edge Training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/>
      <c r="P7"/>
      <c r="Q7"/>
      <c r="R7"/>
      <c r="S7"/>
      <c r="T7"/>
      <c r="U7"/>
    </row>
    <row r="8" spans="1:21" s="65" customFormat="1" ht="15" customHeight="1" x14ac:dyDescent="0.25">
      <c r="A8" s="85" t="s">
        <v>1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/>
      <c r="P8"/>
      <c r="Q8"/>
      <c r="R8"/>
      <c r="S8"/>
      <c r="T8"/>
      <c r="U8"/>
    </row>
    <row r="9" spans="1:21" s="65" customFormat="1" ht="15" customHeight="1" thickBot="1" x14ac:dyDescent="0.3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25">
      <c r="A10"/>
      <c r="B10"/>
      <c r="C10"/>
      <c r="D10"/>
      <c r="E10"/>
      <c r="F10"/>
      <c r="G10" s="80"/>
      <c r="H10" s="80"/>
      <c r="I10" s="80"/>
      <c r="J10" s="80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25">
      <c r="A11"/>
      <c r="B11"/>
      <c r="C11"/>
      <c r="D11"/>
      <c r="E11"/>
      <c r="F11"/>
      <c r="G11" s="80"/>
      <c r="H11" s="80"/>
      <c r="I11" s="80"/>
      <c r="J11" s="80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25">
      <c r="A13"/>
      <c r="B13"/>
      <c r="C13"/>
      <c r="D13"/>
      <c r="E13"/>
      <c r="F13"/>
      <c r="G13" s="80"/>
      <c r="H13" s="80"/>
      <c r="I13" s="80"/>
      <c r="J13" s="80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25">
      <c r="A14"/>
      <c r="B14"/>
      <c r="C14"/>
      <c r="D14"/>
      <c r="E14"/>
      <c r="F14"/>
      <c r="G14" s="80"/>
      <c r="H14" s="80"/>
      <c r="I14" s="80"/>
      <c r="J14" s="80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25">
      <c r="A15"/>
      <c r="B15"/>
      <c r="C15"/>
      <c r="D15"/>
      <c r="E15"/>
      <c r="F15"/>
      <c r="G15" s="80"/>
      <c r="H15" s="80"/>
      <c r="I15" s="80"/>
      <c r="J15" s="80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25">
      <c r="A17"/>
      <c r="B17"/>
      <c r="C17"/>
      <c r="D17"/>
      <c r="E17"/>
      <c r="F17"/>
      <c r="G17" s="80"/>
      <c r="H17" s="80"/>
      <c r="I17" s="80"/>
      <c r="J17" s="80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2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140625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24" ht="45" customHeight="1" x14ac:dyDescent="0.45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3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25">
      <c r="S3"/>
      <c r="T3"/>
      <c r="U3"/>
      <c r="V3"/>
      <c r="W3"/>
      <c r="X3"/>
    </row>
    <row r="4" spans="1:24" s="43" customFormat="1" ht="22.5" customHeight="1" x14ac:dyDescent="0.25">
      <c r="A4" s="44"/>
      <c r="B4" s="87" t="s">
        <v>3</v>
      </c>
      <c r="C4" s="87"/>
      <c r="D4" s="87"/>
      <c r="E4" s="87"/>
      <c r="F4" s="87"/>
      <c r="G4" s="87"/>
      <c r="H4" s="87"/>
      <c r="I4" s="87"/>
      <c r="K4" s="44"/>
      <c r="L4" s="87" t="s">
        <v>4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25">
      <c r="A5" s="46"/>
      <c r="B5" s="47" t="s">
        <v>5</v>
      </c>
      <c r="C5" s="48" t="s">
        <v>6</v>
      </c>
      <c r="D5" s="49"/>
      <c r="E5" s="49"/>
      <c r="F5" s="49"/>
      <c r="G5" s="49"/>
      <c r="H5" s="49"/>
      <c r="I5" s="49"/>
      <c r="K5" s="44"/>
      <c r="L5" s="50" t="s">
        <v>7</v>
      </c>
      <c r="M5" s="50"/>
      <c r="N5" s="86" t="s">
        <v>8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2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9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2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10</v>
      </c>
      <c r="M7" s="50"/>
      <c r="N7" s="86" t="s">
        <v>11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2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12</v>
      </c>
      <c r="M8" s="50"/>
      <c r="N8" s="86" t="s">
        <v>13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2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14</v>
      </c>
      <c r="M9" s="50"/>
      <c r="N9" s="86" t="s">
        <v>15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16</v>
      </c>
      <c r="M10" s="50"/>
      <c r="N10" s="89">
        <v>1</v>
      </c>
      <c r="O10" s="89"/>
      <c r="P10" s="89"/>
      <c r="Q10" s="89"/>
      <c r="R10" s="55"/>
      <c r="S10"/>
      <c r="T10"/>
      <c r="U10"/>
      <c r="V10"/>
      <c r="W10"/>
      <c r="X10"/>
    </row>
    <row r="11" spans="1:24" s="43" customFormat="1" ht="1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17</v>
      </c>
      <c r="M11" s="50"/>
      <c r="N11" s="89">
        <v>1</v>
      </c>
      <c r="O11" s="89"/>
      <c r="P11" s="89"/>
      <c r="Q11" s="89"/>
      <c r="R11" s="55"/>
      <c r="S11"/>
      <c r="T11"/>
      <c r="U11"/>
      <c r="V11"/>
      <c r="W11"/>
      <c r="X11"/>
    </row>
    <row r="12" spans="1:24" s="43" customFormat="1" ht="15" customHeight="1" thickBot="1" x14ac:dyDescent="0.3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2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25">
      <c r="A14" s="48"/>
      <c r="B14" s="87" t="s">
        <v>18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25">
      <c r="A15" s="49"/>
      <c r="B15" s="89" t="s">
        <v>20</v>
      </c>
      <c r="C15" s="89"/>
      <c r="D15" s="89" t="s">
        <v>21</v>
      </c>
      <c r="E15" s="89"/>
      <c r="F15" s="89"/>
      <c r="G15" s="89"/>
      <c r="H15" s="89"/>
      <c r="I15" s="89"/>
      <c r="J15" s="89"/>
      <c r="K15" s="89"/>
      <c r="L15" s="89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25">
      <c r="A16" s="49"/>
      <c r="B16" s="89" t="s">
        <v>22</v>
      </c>
      <c r="C16" s="89"/>
      <c r="D16" s="89" t="s">
        <v>23</v>
      </c>
      <c r="E16" s="89"/>
      <c r="F16" s="89"/>
      <c r="G16" s="89"/>
      <c r="H16" s="89"/>
      <c r="I16" s="89"/>
      <c r="J16" s="89"/>
      <c r="K16" s="89"/>
      <c r="L16" s="89"/>
      <c r="N16" s="51"/>
      <c r="O16" s="59"/>
      <c r="P16" s="61" t="s">
        <v>24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25">
      <c r="A17" s="49"/>
      <c r="B17" s="89" t="s">
        <v>25</v>
      </c>
      <c r="C17" s="89"/>
      <c r="D17" s="89" t="s">
        <v>26</v>
      </c>
      <c r="E17" s="89"/>
      <c r="F17" s="89"/>
      <c r="G17" s="89"/>
      <c r="H17" s="89"/>
      <c r="I17" s="89"/>
      <c r="J17" s="89"/>
      <c r="K17" s="89"/>
      <c r="L17" s="89"/>
      <c r="N17" s="49"/>
      <c r="O17" s="59"/>
      <c r="P17" s="62" t="s">
        <v>27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25">
      <c r="A18" s="49"/>
      <c r="B18" s="89" t="s">
        <v>28</v>
      </c>
      <c r="C18" s="89"/>
      <c r="D18" s="89" t="s">
        <v>29</v>
      </c>
      <c r="E18" s="89"/>
      <c r="F18" s="89"/>
      <c r="G18" s="89"/>
      <c r="H18" s="89"/>
      <c r="I18" s="89"/>
      <c r="J18" s="89"/>
      <c r="K18" s="89"/>
      <c r="L18" s="89"/>
      <c r="N18" s="49"/>
      <c r="O18" s="59"/>
      <c r="P18" t="s">
        <v>30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25">
      <c r="A19" s="54"/>
      <c r="B19" s="89" t="s">
        <v>31</v>
      </c>
      <c r="C19" s="89"/>
      <c r="D19" s="89" t="s">
        <v>32</v>
      </c>
      <c r="E19" s="89"/>
      <c r="F19" s="89"/>
      <c r="G19" s="89"/>
      <c r="H19" s="89"/>
      <c r="I19" s="89"/>
      <c r="J19" s="89"/>
      <c r="K19" s="89"/>
      <c r="L19" s="89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25">
      <c r="A20" s="54"/>
      <c r="B20" s="64" t="s">
        <v>33</v>
      </c>
      <c r="C20" s="64"/>
      <c r="D20" s="64" t="s">
        <v>34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5.75" thickBot="1" x14ac:dyDescent="0.3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2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1.7109375" customWidth="1"/>
    <col min="2" max="2" width="41.42578125" customWidth="1"/>
    <col min="3" max="11" width="10.7109375" customWidth="1"/>
  </cols>
  <sheetData>
    <row r="1" spans="1:13" ht="50.1" customHeight="1" x14ac:dyDescent="0.4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2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35">
      <c r="A3" s="73" t="s">
        <v>21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25">
      <c r="A5" s="11" t="s">
        <v>35</v>
      </c>
    </row>
    <row r="6" spans="1:13" x14ac:dyDescent="0.25">
      <c r="B6" s="17" t="s">
        <v>36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25">
      <c r="B7" s="17" t="s">
        <v>37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25">
      <c r="B8" s="17" t="s">
        <v>38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25">
      <c r="B9" t="s">
        <v>39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25">
      <c r="B10" t="s">
        <v>40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25">
      <c r="B11" t="s">
        <v>41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25">
      <c r="B12" s="17" t="s">
        <v>42</v>
      </c>
      <c r="C12" s="19">
        <f>-C40/C38</f>
        <v>5.211024978466839E-2</v>
      </c>
      <c r="D12" s="19">
        <f>-D40/D38</f>
        <v>6.4306721182124674E-2</v>
      </c>
      <c r="E12" s="19">
        <f>-E40/E38</f>
        <v>1.6036982079671271E-2</v>
      </c>
      <c r="F12" s="19">
        <f>-F40/F38</f>
        <v>-7.2841726618705041E-2</v>
      </c>
      <c r="G12" s="19">
        <f>-G40/G38</f>
        <v>6.224928366762178E-2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25">
      <c r="B13" s="17" t="s">
        <v>43</v>
      </c>
      <c r="C13" s="19">
        <f>C48/C47</f>
        <v>0.34760174668080168</v>
      </c>
      <c r="D13" s="19">
        <f>D48/D47</f>
        <v>0.34392552416727351</v>
      </c>
      <c r="E13" s="19">
        <f>E48/E47</f>
        <v>0.34519317904993907</v>
      </c>
      <c r="F13" s="19">
        <f>F48/F47</f>
        <v>0.2284210896898575</v>
      </c>
      <c r="G13" s="19">
        <f>G48/G47</f>
        <v>0.24602189799607874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25">
      <c r="H14" s="24"/>
      <c r="I14" s="24"/>
      <c r="J14" s="24"/>
      <c r="K14" s="24"/>
    </row>
    <row r="16" spans="1:13" ht="15.75" x14ac:dyDescent="0.25">
      <c r="A16" s="11" t="s">
        <v>21</v>
      </c>
    </row>
    <row r="17" spans="2:18" s="17" customFormat="1" x14ac:dyDescent="0.25">
      <c r="B17" t="s">
        <v>44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25">
      <c r="B18" t="s">
        <v>45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25">
      <c r="B19" t="s">
        <v>46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25">
      <c r="R20" s="33"/>
    </row>
    <row r="21" spans="2:18" x14ac:dyDescent="0.25">
      <c r="B21" t="s">
        <v>47</v>
      </c>
      <c r="C21">
        <f>C22-C19</f>
        <v>-97074</v>
      </c>
      <c r="D21">
        <f t="shared" ref="D21:H21" si="3">D22-D19</f>
        <v>-112025</v>
      </c>
      <c r="E21">
        <f t="shared" si="3"/>
        <v>-110194</v>
      </c>
      <c r="F21">
        <f t="shared" si="3"/>
        <v>-128611</v>
      </c>
      <c r="G21">
        <f t="shared" si="3"/>
        <v>-166605</v>
      </c>
      <c r="H21">
        <f t="shared" si="3"/>
        <v>-179935.38769999999</v>
      </c>
      <c r="I21" t="str">
        <f t="shared" ref="I21:I22" ca="1" si="4">_xlfn.FORMULATEXT(H21)</f>
        <v>=H22-H19</v>
      </c>
      <c r="R21" s="33"/>
    </row>
    <row r="22" spans="2:18" s="33" customFormat="1" x14ac:dyDescent="0.25">
      <c r="B22" t="s">
        <v>48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>
        <f>H6*(H19-Revenues!H37)+IF(Pipeline=1,'Pipeline Drug'!I101,0)</f>
        <v>238519.00229999996</v>
      </c>
      <c r="I22" t="str">
        <f t="shared" ca="1" si="4"/>
        <v>=H6*(H19-Revenues!H37)+IF(Pipeline=1,'Pipeline Drug'!I101,0)</v>
      </c>
      <c r="J22"/>
      <c r="K22"/>
      <c r="L22"/>
    </row>
    <row r="23" spans="2:18" x14ac:dyDescent="0.25">
      <c r="R23" s="33"/>
    </row>
    <row r="24" spans="2:18" x14ac:dyDescent="0.25">
      <c r="B24" t="s">
        <v>49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H24">
        <f>-H7*H19</f>
        <v>-25107.263399999996</v>
      </c>
      <c r="I24" t="str">
        <f t="shared" ref="I24:I28" ca="1" si="5">_xlfn.FORMULATEXT(H24)</f>
        <v>=-H7*H19</v>
      </c>
      <c r="R24" s="33"/>
    </row>
    <row r="25" spans="2:18" x14ac:dyDescent="0.25">
      <c r="B25" t="s">
        <v>50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H25">
        <f>-H8*(H19-Revenues!H37)+'Pipeline Drug'!I103</f>
        <v>-146459.03649999999</v>
      </c>
      <c r="I25" t="str">
        <f t="shared" ca="1" si="5"/>
        <v>=-H8*(H19-Revenues!H37)+'Pipeline Drug'!I103</v>
      </c>
      <c r="R25" s="33"/>
    </row>
    <row r="26" spans="2:18" x14ac:dyDescent="0.25">
      <c r="B26" t="s">
        <v>39</v>
      </c>
      <c r="C26" s="5"/>
      <c r="D26" s="14">
        <v>3997</v>
      </c>
      <c r="E26" s="14">
        <v>0</v>
      </c>
      <c r="F26" s="14">
        <v>-1094</v>
      </c>
      <c r="G26" s="14">
        <v>0</v>
      </c>
      <c r="H26">
        <f>H9</f>
        <v>0</v>
      </c>
      <c r="I26" t="str">
        <f t="shared" ca="1" si="5"/>
        <v>=H9</v>
      </c>
      <c r="R26" s="33"/>
    </row>
    <row r="27" spans="2:18" x14ac:dyDescent="0.25">
      <c r="B27" t="s">
        <v>51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H27">
        <f>H10</f>
        <v>0</v>
      </c>
      <c r="I27" t="str">
        <f t="shared" ca="1" si="5"/>
        <v>=H10</v>
      </c>
      <c r="R27" s="33"/>
    </row>
    <row r="28" spans="2:18" s="17" customFormat="1" x14ac:dyDescent="0.25">
      <c r="B28" t="s">
        <v>52</v>
      </c>
      <c r="C28">
        <f>C22+SUM(C24:C27)</f>
        <v>31817</v>
      </c>
      <c r="D28">
        <f t="shared" ref="D28:H28" si="6">D22+SUM(D24:D27)</f>
        <v>39394</v>
      </c>
      <c r="E28">
        <f t="shared" si="6"/>
        <v>29921</v>
      </c>
      <c r="F28">
        <f t="shared" si="6"/>
        <v>29526</v>
      </c>
      <c r="G28">
        <f t="shared" si="6"/>
        <v>60864</v>
      </c>
      <c r="H28">
        <f t="shared" si="6"/>
        <v>66952.70239999998</v>
      </c>
      <c r="I28" t="str">
        <f t="shared" ca="1" si="5"/>
        <v>=H22+SUM(H24:H27)</v>
      </c>
      <c r="J28"/>
      <c r="K28"/>
      <c r="L28"/>
    </row>
    <row r="29" spans="2:18" x14ac:dyDescent="0.25">
      <c r="R29" s="33"/>
    </row>
    <row r="30" spans="2:18" x14ac:dyDescent="0.25">
      <c r="B30" t="s">
        <v>53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79"/>
      <c r="J30" s="17"/>
      <c r="K30" s="17"/>
      <c r="R30" s="33"/>
    </row>
    <row r="31" spans="2:18" s="17" customFormat="1" x14ac:dyDescent="0.25">
      <c r="B31" t="s">
        <v>54</v>
      </c>
      <c r="C31">
        <f>C28+C30</f>
        <v>21842</v>
      </c>
      <c r="D31">
        <f t="shared" ref="D31:H31" si="7">D28+D30</f>
        <v>28371</v>
      </c>
      <c r="E31">
        <f t="shared" si="7"/>
        <v>18442</v>
      </c>
      <c r="F31">
        <f t="shared" si="7"/>
        <v>17482</v>
      </c>
      <c r="G31">
        <f t="shared" si="7"/>
        <v>42648</v>
      </c>
      <c r="H31">
        <f t="shared" si="7"/>
        <v>66952.70239999998</v>
      </c>
      <c r="I31" t="str">
        <f t="shared" ref="I31" ca="1" si="8">_xlfn.FORMULATEXT(H31)</f>
        <v>=H28+H30</v>
      </c>
      <c r="J31"/>
      <c r="K31"/>
      <c r="L31"/>
    </row>
    <row r="33" spans="2:18" x14ac:dyDescent="0.25">
      <c r="B33" t="s">
        <v>55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79"/>
      <c r="J33" s="17"/>
      <c r="K33" s="17"/>
    </row>
    <row r="34" spans="2:18" x14ac:dyDescent="0.25">
      <c r="B34" t="s">
        <v>56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79"/>
      <c r="J34" s="17"/>
      <c r="K34" s="17"/>
    </row>
    <row r="35" spans="2:18" x14ac:dyDescent="0.25">
      <c r="B35" t="s">
        <v>41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  <c r="H35">
        <f>H11</f>
        <v>0</v>
      </c>
      <c r="I35" t="str">
        <f t="shared" ref="I35:I36" ca="1" si="9">_xlfn.FORMULATEXT(H35)</f>
        <v>=H11</v>
      </c>
    </row>
    <row r="36" spans="2:18" x14ac:dyDescent="0.25">
      <c r="B36" t="s">
        <v>57</v>
      </c>
      <c r="C36">
        <f>SUM(C33:C35)</f>
        <v>-944</v>
      </c>
      <c r="D36">
        <f t="shared" ref="D36:H36" si="10">SUM(D33:D35)</f>
        <v>-489</v>
      </c>
      <c r="E36">
        <f t="shared" si="10"/>
        <v>-920</v>
      </c>
      <c r="F36">
        <f t="shared" si="10"/>
        <v>-802</v>
      </c>
      <c r="G36">
        <f t="shared" si="10"/>
        <v>-768</v>
      </c>
      <c r="H36">
        <f t="shared" si="10"/>
        <v>0</v>
      </c>
      <c r="I36" t="str">
        <f t="shared" ca="1" si="9"/>
        <v>=SUM(H33:H35)</v>
      </c>
    </row>
    <row r="38" spans="2:18" x14ac:dyDescent="0.25">
      <c r="B38" t="s">
        <v>58</v>
      </c>
      <c r="C38">
        <f>C31+C36</f>
        <v>20898</v>
      </c>
      <c r="D38">
        <f t="shared" ref="D38:H38" si="11">D31+D36</f>
        <v>27882</v>
      </c>
      <c r="E38">
        <f t="shared" si="11"/>
        <v>17522</v>
      </c>
      <c r="F38">
        <f t="shared" si="11"/>
        <v>16680</v>
      </c>
      <c r="G38">
        <f t="shared" si="11"/>
        <v>41880</v>
      </c>
      <c r="H38">
        <f t="shared" si="11"/>
        <v>66952.70239999998</v>
      </c>
      <c r="I38" t="str">
        <f ca="1">_xlfn.FORMULATEXT(H38)</f>
        <v>=H31+H36</v>
      </c>
    </row>
    <row r="40" spans="2:18" x14ac:dyDescent="0.25">
      <c r="B40" t="s">
        <v>59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>
        <f>-H12*H38</f>
        <v>-6025.743215999998</v>
      </c>
      <c r="I40" t="str">
        <f t="shared" ref="I40:I41" ca="1" si="12">_xlfn.FORMULATEXT(H40)</f>
        <v>=-H12*H38</v>
      </c>
      <c r="J40" s="17"/>
      <c r="K40" s="17"/>
    </row>
    <row r="41" spans="2:18" x14ac:dyDescent="0.25">
      <c r="B41" t="s">
        <v>60</v>
      </c>
      <c r="C41">
        <f>C38+C40</f>
        <v>19809</v>
      </c>
      <c r="D41">
        <f t="shared" ref="D41:H41" si="13">D38+D40</f>
        <v>26089</v>
      </c>
      <c r="E41">
        <f t="shared" si="13"/>
        <v>17241</v>
      </c>
      <c r="F41">
        <f t="shared" si="13"/>
        <v>17895</v>
      </c>
      <c r="G41">
        <f t="shared" si="13"/>
        <v>39273</v>
      </c>
      <c r="H41">
        <f t="shared" si="13"/>
        <v>60926.959183999985</v>
      </c>
      <c r="I41" t="str">
        <f t="shared" ca="1" si="12"/>
        <v>=H38+H40</v>
      </c>
    </row>
    <row r="42" spans="2:18" x14ac:dyDescent="0.25">
      <c r="B42" s="17"/>
    </row>
    <row r="43" spans="2:18" s="33" customFormat="1" x14ac:dyDescent="0.25">
      <c r="B43" s="7" t="s">
        <v>61</v>
      </c>
      <c r="L43"/>
    </row>
    <row r="44" spans="2:18" x14ac:dyDescent="0.25">
      <c r="B44" t="s">
        <v>62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H44">
        <f>G44</f>
        <v>55382.008999999998</v>
      </c>
      <c r="I44" t="str">
        <f t="shared" ref="I44:I45" ca="1" si="14">_xlfn.FORMULATEXT(H44)</f>
        <v>=G44</v>
      </c>
      <c r="R44" s="33"/>
    </row>
    <row r="45" spans="2:18" x14ac:dyDescent="0.25">
      <c r="B45" t="s">
        <v>63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H45">
        <f>G45</f>
        <v>55180</v>
      </c>
      <c r="I45" t="str">
        <f t="shared" ca="1" si="14"/>
        <v>=G45</v>
      </c>
      <c r="R45" s="33"/>
    </row>
    <row r="47" spans="2:18" x14ac:dyDescent="0.25">
      <c r="B47" t="s">
        <v>64</v>
      </c>
      <c r="C47">
        <f>C41/C45</f>
        <v>0.39988291580031088</v>
      </c>
      <c r="D47">
        <f t="shared" ref="D47:H47" si="15">D41/D45</f>
        <v>0.53209194183271813</v>
      </c>
      <c r="E47">
        <f t="shared" si="15"/>
        <v>0.34965928449744466</v>
      </c>
      <c r="F47">
        <f t="shared" si="15"/>
        <v>0.34935478203150927</v>
      </c>
      <c r="G47">
        <f t="shared" si="15"/>
        <v>0.71172526277636827</v>
      </c>
      <c r="H47">
        <f t="shared" si="15"/>
        <v>1.1041493146792314</v>
      </c>
      <c r="I47" t="str">
        <f t="shared" ref="I47:I48" ca="1" si="16">_xlfn.FORMULATEXT(H47)</f>
        <v>=H41/H45</v>
      </c>
    </row>
    <row r="48" spans="2:18" x14ac:dyDescent="0.25">
      <c r="B48" t="s">
        <v>65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>
        <f>H13*H47</f>
        <v>0.27603732866980785</v>
      </c>
      <c r="I48" t="str">
        <f t="shared" ca="1" si="16"/>
        <v>=H13*H47</v>
      </c>
      <c r="J48" s="77"/>
      <c r="K48" s="77"/>
      <c r="R48" s="33"/>
    </row>
    <row r="51" spans="2:18" x14ac:dyDescent="0.25">
      <c r="B51" t="s">
        <v>66</v>
      </c>
      <c r="C51" s="19">
        <f t="shared" ref="C51:H51" si="17">C22/C19</f>
        <v>0.60702126539848844</v>
      </c>
      <c r="D51" s="19">
        <f t="shared" si="17"/>
        <v>0.58000914775879908</v>
      </c>
      <c r="E51" s="19">
        <f t="shared" si="17"/>
        <v>0.60279572062979414</v>
      </c>
      <c r="F51" s="19">
        <f t="shared" si="17"/>
        <v>0.57803267178277429</v>
      </c>
      <c r="G51" s="19">
        <f t="shared" si="17"/>
        <v>0.56438923503711469</v>
      </c>
      <c r="H51" s="19">
        <f t="shared" si="17"/>
        <v>0.56999999999999995</v>
      </c>
      <c r="I51" t="str">
        <f t="shared" ref="I51:I56" ca="1" si="18">_xlfn.FORMULATEXT(H51)</f>
        <v>=H22/H19</v>
      </c>
      <c r="J51" s="19"/>
      <c r="K51" s="19"/>
      <c r="R51" s="33"/>
    </row>
    <row r="52" spans="2:18" x14ac:dyDescent="0.25">
      <c r="B52" t="s">
        <v>67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>
        <f>H24/G24-1</f>
        <v>-0.1432137796887798</v>
      </c>
      <c r="I52" t="str">
        <f t="shared" ca="1" si="18"/>
        <v>=H24/G24-1</v>
      </c>
      <c r="J52" s="19"/>
      <c r="K52" s="19"/>
      <c r="R52" s="33"/>
    </row>
    <row r="53" spans="2:18" x14ac:dyDescent="0.25">
      <c r="B53" t="s">
        <v>68</v>
      </c>
      <c r="C53" s="19">
        <f t="shared" ref="C53:H53" si="19">C28/C19</f>
        <v>0.12880281433562329</v>
      </c>
      <c r="D53" s="19">
        <f t="shared" si="19"/>
        <v>0.14769131562767121</v>
      </c>
      <c r="E53" s="19">
        <f t="shared" si="19"/>
        <v>0.10785296153180692</v>
      </c>
      <c r="F53" s="19">
        <f t="shared" si="19"/>
        <v>9.6873574833737444E-2</v>
      </c>
      <c r="G53" s="19">
        <f t="shared" si="19"/>
        <v>0.15913696226824556</v>
      </c>
      <c r="H53" s="19">
        <f t="shared" si="19"/>
        <v>0.15999999999999998</v>
      </c>
      <c r="I53" t="str">
        <f t="shared" ca="1" si="18"/>
        <v>=H28/H19</v>
      </c>
      <c r="J53" s="19"/>
      <c r="K53" s="19"/>
      <c r="R53" s="33"/>
    </row>
    <row r="54" spans="2:18" x14ac:dyDescent="0.25">
      <c r="B54" t="s">
        <v>69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>
        <f>H30/G30-1</f>
        <v>-1</v>
      </c>
      <c r="I54" t="str">
        <f t="shared" ca="1" si="18"/>
        <v>=H30/G30-1</v>
      </c>
      <c r="J54" s="19"/>
      <c r="K54" s="19"/>
      <c r="R54" s="33"/>
    </row>
    <row r="55" spans="2:18" x14ac:dyDescent="0.25">
      <c r="B55" t="s">
        <v>70</v>
      </c>
      <c r="C55" s="19">
        <f t="shared" ref="C55:H55" si="20">-C30/C19</f>
        <v>4.0381182166698379E-2</v>
      </c>
      <c r="D55" s="19">
        <f t="shared" si="20"/>
        <v>4.1326125099350658E-2</v>
      </c>
      <c r="E55" s="19">
        <f t="shared" si="20"/>
        <v>4.1377097871849587E-2</v>
      </c>
      <c r="F55" s="19">
        <f t="shared" si="20"/>
        <v>3.9515861792912471E-2</v>
      </c>
      <c r="G55" s="19">
        <f t="shared" si="20"/>
        <v>4.762813657791734E-2</v>
      </c>
      <c r="H55" s="19">
        <f t="shared" si="20"/>
        <v>0</v>
      </c>
      <c r="I55" t="str">
        <f t="shared" ca="1" si="18"/>
        <v>=-H30/H19</v>
      </c>
      <c r="J55" s="19"/>
      <c r="K55" s="19"/>
      <c r="R55" s="33"/>
    </row>
    <row r="56" spans="2:18" x14ac:dyDescent="0.25">
      <c r="B56" t="s">
        <v>71</v>
      </c>
      <c r="C56" s="19">
        <f t="shared" ref="C56:H56" si="21">C31/C19</f>
        <v>8.8421632168924916E-2</v>
      </c>
      <c r="D56" s="19">
        <f t="shared" si="21"/>
        <v>0.10636519052832057</v>
      </c>
      <c r="E56" s="19">
        <f t="shared" si="21"/>
        <v>6.6475863659957321E-2</v>
      </c>
      <c r="F56" s="19">
        <f t="shared" si="21"/>
        <v>5.7357713040824966E-2</v>
      </c>
      <c r="G56" s="19">
        <f t="shared" si="21"/>
        <v>0.11150882569032822</v>
      </c>
      <c r="H56" s="19">
        <f t="shared" si="21"/>
        <v>0.15999999999999998</v>
      </c>
      <c r="I56" t="str">
        <f t="shared" ca="1" si="18"/>
        <v>=H31/H19</v>
      </c>
      <c r="J56" s="19"/>
      <c r="K56" s="19"/>
    </row>
    <row r="253" spans="2:2" x14ac:dyDescent="0.25">
      <c r="B253" s="17"/>
    </row>
    <row r="254" spans="2:2" x14ac:dyDescent="0.25">
      <c r="B254" s="17"/>
    </row>
    <row r="255" spans="2:2" x14ac:dyDescent="0.25">
      <c r="B255" s="17"/>
    </row>
    <row r="256" spans="2:2" x14ac:dyDescent="0.25">
      <c r="B256" s="17"/>
    </row>
    <row r="257" spans="2:2" x14ac:dyDescent="0.25">
      <c r="B257" s="17"/>
    </row>
    <row r="258" spans="2:2" x14ac:dyDescent="0.25">
      <c r="B258" s="17"/>
    </row>
    <row r="259" spans="2:2" x14ac:dyDescent="0.25">
      <c r="B259" s="17"/>
    </row>
    <row r="260" spans="2:2" x14ac:dyDescent="0.25">
      <c r="B260" s="17"/>
    </row>
    <row r="261" spans="2:2" x14ac:dyDescent="0.25">
      <c r="B261" s="17"/>
    </row>
    <row r="262" spans="2:2" x14ac:dyDescent="0.25">
      <c r="B262" s="17"/>
    </row>
    <row r="263" spans="2:2" x14ac:dyDescent="0.25">
      <c r="B263" s="17"/>
    </row>
    <row r="264" spans="2:2" x14ac:dyDescent="0.25">
      <c r="B264" s="17"/>
    </row>
    <row r="265" spans="2:2" x14ac:dyDescent="0.25">
      <c r="B265" s="17"/>
    </row>
    <row r="266" spans="2:2" x14ac:dyDescent="0.25">
      <c r="B266" s="17"/>
    </row>
    <row r="267" spans="2:2" x14ac:dyDescent="0.2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5" x14ac:dyDescent="0.25"/>
  <cols>
    <col min="1" max="1" width="1.7109375" customWidth="1"/>
    <col min="2" max="2" width="55" customWidth="1"/>
    <col min="3" max="11" width="10.7109375" customWidth="1"/>
  </cols>
  <sheetData>
    <row r="1" spans="1:21" ht="50.1" customHeight="1" x14ac:dyDescent="0.4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2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35">
      <c r="A3" s="73" t="s">
        <v>23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25">
      <c r="A5" s="11" t="s">
        <v>72</v>
      </c>
      <c r="B5" s="17"/>
    </row>
    <row r="6" spans="1:21" x14ac:dyDescent="0.2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25">
      <c r="B7" t="s">
        <v>74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25">
      <c r="B8" t="s">
        <v>75</v>
      </c>
      <c r="D8" s="19">
        <f>-D19/C20</f>
        <v>0.10535065951126486</v>
      </c>
      <c r="E8" s="19">
        <f>-E19/D20</f>
        <v>0.10471855304146241</v>
      </c>
      <c r="F8" s="19">
        <f>-F19/E20</f>
        <v>0.10720220984549048</v>
      </c>
      <c r="G8" s="19">
        <f>-G19/F20</f>
        <v>0.14983774533843922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25">
      <c r="B9" t="s">
        <v>76</v>
      </c>
      <c r="D9" s="19">
        <f>-D25/C26</f>
        <v>0.1273767279275462</v>
      </c>
      <c r="E9" s="19">
        <f>-E25/D26</f>
        <v>0.11281762624638147</v>
      </c>
      <c r="F9" s="19">
        <f>-F25/E26</f>
        <v>9.2215082354679082E-2</v>
      </c>
      <c r="G9" s="19">
        <f>-G25/F26</f>
        <v>0.11128427128427129</v>
      </c>
      <c r="H9" s="23">
        <f>G9+1%</f>
        <v>0.12128427128427129</v>
      </c>
      <c r="I9" s="23">
        <f>H9+1%</f>
        <v>0.13128427128427128</v>
      </c>
      <c r="J9" s="23">
        <f>I9+1%</f>
        <v>0.14128427128427129</v>
      </c>
      <c r="K9" s="23">
        <f>J9+1%</f>
        <v>0.1512842712842713</v>
      </c>
    </row>
    <row r="10" spans="1:21" x14ac:dyDescent="0.25">
      <c r="B10" t="s">
        <v>77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25">
      <c r="B11" t="s">
        <v>78</v>
      </c>
      <c r="C11">
        <f>-C55/IS!C21*365</f>
        <v>240.11099779549622</v>
      </c>
      <c r="D11">
        <f>-D55/IS!D21*365</f>
        <v>219.55715242133451</v>
      </c>
      <c r="E11">
        <f>-E55/IS!E21*365</f>
        <v>250.05517541789933</v>
      </c>
      <c r="F11">
        <f>-F55/IS!F21*365</f>
        <v>269.21697988507981</v>
      </c>
      <c r="G11">
        <f>-G55/IS!G21*365</f>
        <v>347.92482218420815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25">
      <c r="B12" t="s">
        <v>79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25">
      <c r="B13" t="s">
        <v>80</v>
      </c>
      <c r="C13">
        <f>C68/(IS!C19-IS!C28)*365</f>
        <v>77.581411126187248</v>
      </c>
      <c r="D13">
        <f>D68/(IS!D19-IS!D28)*365</f>
        <v>96.094713598254586</v>
      </c>
      <c r="E13">
        <f>E68/(IS!E19-IS!E28)*365</f>
        <v>78.075134442814829</v>
      </c>
      <c r="F13">
        <f>F68/(IS!F19-IS!F28)*365</f>
        <v>90.387102516502395</v>
      </c>
      <c r="G13">
        <f>G68/(IS!G19-IS!G28)*365</f>
        <v>104.31814153650974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25">
      <c r="A15" s="11" t="s">
        <v>81</v>
      </c>
      <c r="B15" s="17"/>
    </row>
    <row r="16" spans="1:21" x14ac:dyDescent="0.25">
      <c r="B16" s="7" t="s">
        <v>82</v>
      </c>
    </row>
    <row r="17" spans="2:14" x14ac:dyDescent="0.25">
      <c r="B17" t="s">
        <v>83</v>
      </c>
      <c r="C17" s="6"/>
      <c r="D17" s="17"/>
      <c r="E17" s="17"/>
      <c r="F17" s="17"/>
      <c r="G17" s="17"/>
      <c r="H17" s="17">
        <f>G20</f>
        <v>131608</v>
      </c>
      <c r="I17" s="17" t="str">
        <f ca="1">_xlfn.FORMULATEXT(H17)</f>
        <v>=G20</v>
      </c>
      <c r="J17" s="17"/>
      <c r="K17" s="17"/>
    </row>
    <row r="18" spans="2:14" x14ac:dyDescent="0.25">
      <c r="B18" t="s">
        <v>84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>
        <f>H6*IS!H19</f>
        <v>25107.263399999996</v>
      </c>
      <c r="I18" s="17" t="str">
        <f t="shared" ref="I18:I20" ca="1" si="1">_xlfn.FORMULATEXT(H18)</f>
        <v>=H6*IS!H19</v>
      </c>
      <c r="J18" s="17"/>
      <c r="K18" s="17"/>
    </row>
    <row r="19" spans="2:14" x14ac:dyDescent="0.25">
      <c r="B19" t="s">
        <v>85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>
        <f>-H8*H17</f>
        <v>-15792.96</v>
      </c>
      <c r="I19" s="17" t="str">
        <f t="shared" ca="1" si="1"/>
        <v>=-H8*H17</v>
      </c>
      <c r="J19" s="17"/>
      <c r="K19" s="17"/>
      <c r="N19" s="33"/>
    </row>
    <row r="20" spans="2:14" x14ac:dyDescent="0.25">
      <c r="B20" t="s">
        <v>86</v>
      </c>
      <c r="C20">
        <f>C49</f>
        <v>81803</v>
      </c>
      <c r="D20">
        <f t="shared" ref="D20:G20" si="2">D49</f>
        <v>82822</v>
      </c>
      <c r="E20">
        <f t="shared" si="2"/>
        <v>89056</v>
      </c>
      <c r="F20">
        <f t="shared" si="2"/>
        <v>95837</v>
      </c>
      <c r="G20">
        <f t="shared" si="2"/>
        <v>131608</v>
      </c>
      <c r="H20">
        <f>SUM(H17:H19)</f>
        <v>140922.3034</v>
      </c>
      <c r="I20" s="17" t="str">
        <f t="shared" ca="1" si="1"/>
        <v>=SUM(H17:H19)</v>
      </c>
    </row>
    <row r="21" spans="2:14" x14ac:dyDescent="0.25">
      <c r="B21" s="17"/>
    </row>
    <row r="22" spans="2:14" x14ac:dyDescent="0.25">
      <c r="B22" s="7" t="s">
        <v>87</v>
      </c>
    </row>
    <row r="23" spans="2:14" x14ac:dyDescent="0.25">
      <c r="B23" t="s">
        <v>83</v>
      </c>
      <c r="C23" s="6"/>
      <c r="D23" s="17"/>
      <c r="E23" s="17"/>
      <c r="F23" s="17"/>
      <c r="G23" s="17"/>
      <c r="H23" s="17">
        <f>G26</f>
        <v>45079</v>
      </c>
      <c r="I23" s="17" t="str">
        <f t="shared" ref="I23:I26" ca="1" si="3">_xlfn.FORMULATEXT(H23)</f>
        <v>=G26</v>
      </c>
      <c r="J23" s="17"/>
      <c r="K23" s="17"/>
    </row>
    <row r="24" spans="2:14" x14ac:dyDescent="0.25">
      <c r="B24" t="s">
        <v>84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>
        <f>H7*IS!H19</f>
        <v>14645.90365</v>
      </c>
      <c r="I24" s="17" t="str">
        <f t="shared" ca="1" si="3"/>
        <v>=H7*IS!H19</v>
      </c>
      <c r="J24" s="17"/>
      <c r="K24" s="17"/>
    </row>
    <row r="25" spans="2:14" x14ac:dyDescent="0.25">
      <c r="B25" t="s">
        <v>88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>
        <f>-H9*H23</f>
        <v>-5467.3736652236657</v>
      </c>
      <c r="I25" s="17" t="str">
        <f t="shared" ca="1" si="3"/>
        <v>=-H9*H23</v>
      </c>
      <c r="J25" s="17"/>
      <c r="K25" s="17"/>
      <c r="N25" s="33"/>
    </row>
    <row r="26" spans="2:14" x14ac:dyDescent="0.25">
      <c r="B26" t="s">
        <v>86</v>
      </c>
      <c r="C26">
        <f>C50</f>
        <v>18881</v>
      </c>
      <c r="D26">
        <f t="shared" ref="D26:G26" si="4">D50</f>
        <v>24872</v>
      </c>
      <c r="E26">
        <f t="shared" si="4"/>
        <v>27078</v>
      </c>
      <c r="F26">
        <f t="shared" si="4"/>
        <v>34650</v>
      </c>
      <c r="G26">
        <f t="shared" si="4"/>
        <v>45079</v>
      </c>
      <c r="H26">
        <f>SUM(H23:H25)</f>
        <v>54257.529984776338</v>
      </c>
      <c r="I26" s="17" t="str">
        <f t="shared" ca="1" si="3"/>
        <v>=SUM(H23:H25)</v>
      </c>
    </row>
    <row r="27" spans="2:14" x14ac:dyDescent="0.25">
      <c r="B27" s="17"/>
    </row>
    <row r="28" spans="2:14" x14ac:dyDescent="0.25">
      <c r="B28" s="7" t="s">
        <v>89</v>
      </c>
    </row>
    <row r="29" spans="2:14" x14ac:dyDescent="0.25">
      <c r="B29" t="s">
        <v>83</v>
      </c>
      <c r="H29">
        <f>G32</f>
        <v>1843</v>
      </c>
      <c r="I29" s="17" t="str">
        <f t="shared" ref="I29:I32" ca="1" si="5">_xlfn.FORMULATEXT(H29)</f>
        <v>=G32</v>
      </c>
    </row>
    <row r="30" spans="2:14" x14ac:dyDescent="0.25">
      <c r="B30" t="s">
        <v>90</v>
      </c>
      <c r="H30">
        <f>IS!H27</f>
        <v>0</v>
      </c>
      <c r="I30" s="17" t="str">
        <f t="shared" ca="1" si="5"/>
        <v>=IS!H27</v>
      </c>
    </row>
    <row r="31" spans="2:14" x14ac:dyDescent="0.25">
      <c r="B31" t="s">
        <v>91</v>
      </c>
      <c r="H31">
        <f>-H10*H30</f>
        <v>0</v>
      </c>
      <c r="I31" s="17" t="str">
        <f t="shared" ca="1" si="5"/>
        <v>=-H10*H30</v>
      </c>
    </row>
    <row r="32" spans="2:14" x14ac:dyDescent="0.25">
      <c r="B32" t="s">
        <v>86</v>
      </c>
      <c r="G32">
        <f>G51</f>
        <v>1843</v>
      </c>
      <c r="H32">
        <f>SUM(H29:H31)</f>
        <v>1843</v>
      </c>
      <c r="I32" s="17" t="str">
        <f t="shared" ca="1" si="5"/>
        <v>=SUM(H29:H31)</v>
      </c>
    </row>
    <row r="33" spans="1:11" x14ac:dyDescent="0.25">
      <c r="B33" s="17"/>
    </row>
    <row r="34" spans="1:11" x14ac:dyDescent="0.25">
      <c r="B34" s="7" t="s">
        <v>92</v>
      </c>
    </row>
    <row r="35" spans="1:11" x14ac:dyDescent="0.25">
      <c r="B35" t="s">
        <v>93</v>
      </c>
      <c r="H35">
        <f>G38</f>
        <v>322386</v>
      </c>
      <c r="I35" s="17" t="str">
        <f t="shared" ref="I35:I38" ca="1" si="6">_xlfn.FORMULATEXT(H35)</f>
        <v>=G38</v>
      </c>
    </row>
    <row r="36" spans="1:11" x14ac:dyDescent="0.25">
      <c r="B36" t="s">
        <v>60</v>
      </c>
      <c r="H36">
        <f>IS!H41</f>
        <v>60926.959183999985</v>
      </c>
      <c r="I36" s="17" t="str">
        <f t="shared" ca="1" si="6"/>
        <v>=IS!H41</v>
      </c>
    </row>
    <row r="37" spans="1:11" x14ac:dyDescent="0.25">
      <c r="B37" t="s">
        <v>94</v>
      </c>
      <c r="H37">
        <f>-IS!H48*IS!H44</f>
        <v>-15287.501820727255</v>
      </c>
      <c r="I37" s="17" t="str">
        <f t="shared" ca="1" si="6"/>
        <v>=-IS!H48*IS!H44</v>
      </c>
    </row>
    <row r="38" spans="1:11" x14ac:dyDescent="0.25">
      <c r="B38" t="s">
        <v>86</v>
      </c>
      <c r="G38">
        <f>G73</f>
        <v>322386</v>
      </c>
      <c r="H38">
        <f>SUM(H35:H37)</f>
        <v>368025.45736327273</v>
      </c>
      <c r="I38" s="17" t="str">
        <f t="shared" ca="1" si="6"/>
        <v>=SUM(H35:H37)</v>
      </c>
    </row>
    <row r="39" spans="1:11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25">
      <c r="B40" s="21" t="s">
        <v>95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B41" t="s">
        <v>96</v>
      </c>
      <c r="C41" s="17">
        <f>C55</f>
        <v>63859</v>
      </c>
      <c r="D41" s="17">
        <f t="shared" ref="D41:H41" si="7">D55</f>
        <v>67386</v>
      </c>
      <c r="E41" s="17">
        <f t="shared" si="7"/>
        <v>75492</v>
      </c>
      <c r="F41" s="17">
        <f t="shared" si="7"/>
        <v>94861</v>
      </c>
      <c r="G41" s="17">
        <f t="shared" si="7"/>
        <v>158811</v>
      </c>
      <c r="H41" s="17">
        <f t="shared" si="7"/>
        <v>167611.04607671231</v>
      </c>
      <c r="I41" s="17" t="str">
        <f t="shared" ref="I41:I46" ca="1" si="8">_xlfn.FORMULATEXT(H41)</f>
        <v>=H55</v>
      </c>
      <c r="J41" s="17"/>
      <c r="K41" s="17"/>
    </row>
    <row r="42" spans="1:11" x14ac:dyDescent="0.25">
      <c r="B42" t="s">
        <v>97</v>
      </c>
      <c r="C42" s="17">
        <f>C56</f>
        <v>57028</v>
      </c>
      <c r="D42" s="17">
        <f t="shared" ref="D42:H42" si="9">D56</f>
        <v>53842</v>
      </c>
      <c r="E42" s="17">
        <f t="shared" si="9"/>
        <v>49747</v>
      </c>
      <c r="F42" s="17">
        <f t="shared" si="9"/>
        <v>60180</v>
      </c>
      <c r="G42" s="17">
        <f t="shared" si="9"/>
        <v>81541</v>
      </c>
      <c r="H42" s="17">
        <f t="shared" si="9"/>
        <v>85983.77876712328</v>
      </c>
      <c r="I42" s="17" t="str">
        <f t="shared" ca="1" si="8"/>
        <v>=H56</v>
      </c>
      <c r="J42" s="17"/>
      <c r="K42" s="17"/>
    </row>
    <row r="43" spans="1:11" x14ac:dyDescent="0.25">
      <c r="B43" t="s">
        <v>98</v>
      </c>
      <c r="C43" s="17">
        <f>C57</f>
        <v>3945</v>
      </c>
      <c r="D43" s="17">
        <f t="shared" ref="D43:H43" si="10">D57</f>
        <v>4466</v>
      </c>
      <c r="E43" s="17">
        <f t="shared" si="10"/>
        <v>2228</v>
      </c>
      <c r="F43" s="17">
        <f t="shared" si="10"/>
        <v>3452</v>
      </c>
      <c r="G43" s="17">
        <f t="shared" si="10"/>
        <v>10107</v>
      </c>
      <c r="H43" s="17">
        <f t="shared" si="10"/>
        <v>10107</v>
      </c>
      <c r="I43" s="17" t="str">
        <f t="shared" ca="1" si="8"/>
        <v>=H57</v>
      </c>
      <c r="J43" s="17"/>
      <c r="K43" s="17"/>
    </row>
    <row r="44" spans="1:11" x14ac:dyDescent="0.25">
      <c r="B44" t="s">
        <v>99</v>
      </c>
      <c r="C44" s="17">
        <f>C68</f>
        <v>45742</v>
      </c>
      <c r="D44" s="17">
        <f t="shared" ref="D44:H44" si="11">D68</f>
        <v>59852</v>
      </c>
      <c r="E44" s="17">
        <f t="shared" si="11"/>
        <v>52942</v>
      </c>
      <c r="F44" s="17">
        <f t="shared" si="11"/>
        <v>68165</v>
      </c>
      <c r="G44" s="17">
        <f t="shared" si="11"/>
        <v>91914</v>
      </c>
      <c r="H44" s="17">
        <f t="shared" si="11"/>
        <v>96301.832219178061</v>
      </c>
      <c r="I44" s="17" t="str">
        <f t="shared" ca="1" si="8"/>
        <v>=H68</v>
      </c>
      <c r="J44" s="17"/>
      <c r="K44" s="17"/>
    </row>
    <row r="45" spans="1:11" x14ac:dyDescent="0.25">
      <c r="B45" t="s">
        <v>100</v>
      </c>
      <c r="C45" s="17">
        <f>C69</f>
        <v>3337</v>
      </c>
      <c r="D45" s="17">
        <f t="shared" ref="D45:H45" si="12">D69</f>
        <v>3624</v>
      </c>
      <c r="E45" s="17">
        <f t="shared" si="12"/>
        <v>4073</v>
      </c>
      <c r="F45" s="17">
        <f t="shared" si="12"/>
        <v>1712</v>
      </c>
      <c r="G45" s="17">
        <f t="shared" si="12"/>
        <v>2094</v>
      </c>
      <c r="H45" s="17">
        <f t="shared" si="12"/>
        <v>2094</v>
      </c>
      <c r="I45" s="17" t="str">
        <f t="shared" ca="1" si="8"/>
        <v>=H69</v>
      </c>
      <c r="J45" s="17"/>
      <c r="K45" s="17"/>
    </row>
    <row r="46" spans="1:11" x14ac:dyDescent="0.25">
      <c r="B46" t="s">
        <v>101</v>
      </c>
      <c r="C46" s="17">
        <f>SUM(C41:C43)-SUM(C44:C45)</f>
        <v>75753</v>
      </c>
      <c r="D46" s="17">
        <f t="shared" ref="D46:H46" si="13">SUM(D41:D43)-SUM(D44:D45)</f>
        <v>62218</v>
      </c>
      <c r="E46" s="17">
        <f t="shared" si="13"/>
        <v>70452</v>
      </c>
      <c r="F46" s="17">
        <f t="shared" si="13"/>
        <v>88616</v>
      </c>
      <c r="G46" s="17">
        <f t="shared" si="13"/>
        <v>156451</v>
      </c>
      <c r="H46" s="17">
        <f t="shared" si="13"/>
        <v>165305.99262465755</v>
      </c>
      <c r="I46" s="17" t="str">
        <f t="shared" ca="1" si="8"/>
        <v>=SUM(H41:H43)-SUM(H44:H45)</v>
      </c>
      <c r="J46" s="17"/>
      <c r="K46" s="17"/>
    </row>
    <row r="47" spans="1:11" x14ac:dyDescent="0.25">
      <c r="B47" s="17"/>
      <c r="C47" s="2"/>
    </row>
    <row r="48" spans="1:11" ht="15.75" x14ac:dyDescent="0.25">
      <c r="A48" s="11" t="s">
        <v>23</v>
      </c>
      <c r="B48" s="17"/>
    </row>
    <row r="49" spans="2:16" x14ac:dyDescent="0.25">
      <c r="B49" t="s">
        <v>82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H49">
        <f>H20</f>
        <v>140922.3034</v>
      </c>
      <c r="I49" s="17" t="str">
        <f t="shared" ref="I49:I53" ca="1" si="14">_xlfn.FORMULATEXT(H49)</f>
        <v>=H20</v>
      </c>
    </row>
    <row r="50" spans="2:16" x14ac:dyDescent="0.25">
      <c r="B50" t="s">
        <v>87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H50">
        <f>H26</f>
        <v>54257.529984776338</v>
      </c>
      <c r="I50" s="17" t="str">
        <f t="shared" ca="1" si="14"/>
        <v>=H26</v>
      </c>
    </row>
    <row r="51" spans="2:16" x14ac:dyDescent="0.25">
      <c r="B51" t="s">
        <v>102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H51">
        <f>H32</f>
        <v>1843</v>
      </c>
      <c r="I51" s="17" t="str">
        <f t="shared" ca="1" si="14"/>
        <v>=H32</v>
      </c>
    </row>
    <row r="52" spans="2:16" x14ac:dyDescent="0.25">
      <c r="B52" t="s">
        <v>103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H52">
        <f>G52</f>
        <v>14660</v>
      </c>
      <c r="I52" s="17" t="str">
        <f t="shared" ca="1" si="14"/>
        <v>=G52</v>
      </c>
    </row>
    <row r="53" spans="2:16" x14ac:dyDescent="0.25">
      <c r="B53" t="s">
        <v>104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H53">
        <f>G53</f>
        <v>136</v>
      </c>
      <c r="I53" s="17" t="str">
        <f t="shared" ca="1" si="14"/>
        <v>=G53</v>
      </c>
    </row>
    <row r="54" spans="2:16" x14ac:dyDescent="0.25">
      <c r="B54" s="17"/>
      <c r="C54" s="6"/>
      <c r="D54" s="6"/>
      <c r="E54" s="6"/>
      <c r="F54" s="6"/>
      <c r="G54" s="6"/>
    </row>
    <row r="55" spans="2:16" x14ac:dyDescent="0.25">
      <c r="B55" t="s">
        <v>96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H55">
        <f>-H11/365*IS!H21</f>
        <v>167611.04607671231</v>
      </c>
      <c r="I55" s="17" t="str">
        <f t="shared" ref="I55:I58" ca="1" si="15">_xlfn.FORMULATEXT(H55)</f>
        <v>=-H11/365*IS!H21</v>
      </c>
    </row>
    <row r="56" spans="2:16" x14ac:dyDescent="0.25">
      <c r="B56" t="s">
        <v>97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H56">
        <f>H12/365*IS!H19</f>
        <v>85983.77876712328</v>
      </c>
      <c r="I56" s="17" t="str">
        <f t="shared" ca="1" si="15"/>
        <v>=H12/365*IS!H19</v>
      </c>
    </row>
    <row r="57" spans="2:16" x14ac:dyDescent="0.25">
      <c r="B57" t="s">
        <v>98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H57">
        <f>G57</f>
        <v>10107</v>
      </c>
      <c r="I57" s="17" t="str">
        <f t="shared" ca="1" si="15"/>
        <v>=G57</v>
      </c>
    </row>
    <row r="58" spans="2:16" x14ac:dyDescent="0.25">
      <c r="B58" t="s">
        <v>105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H58">
        <f>'CFS and Debt Schedule'!H39</f>
        <v>0</v>
      </c>
      <c r="I58" s="17" t="str">
        <f t="shared" ca="1" si="15"/>
        <v>='CFS and Debt Schedule'!H39</v>
      </c>
    </row>
    <row r="59" spans="2:16" x14ac:dyDescent="0.25">
      <c r="B59" s="17"/>
      <c r="C59" s="6"/>
      <c r="D59" s="6"/>
      <c r="E59" s="6"/>
      <c r="F59" s="6"/>
      <c r="G59" s="6"/>
    </row>
    <row r="60" spans="2:16" x14ac:dyDescent="0.25">
      <c r="B60" t="s">
        <v>106</v>
      </c>
      <c r="C60">
        <f>SUM(C49:C53,C55:C58)</f>
        <v>263847</v>
      </c>
      <c r="D60">
        <f t="shared" ref="D60:H60" si="16">SUM(D49:D53,D55:D58)</f>
        <v>287848</v>
      </c>
      <c r="E60">
        <f t="shared" si="16"/>
        <v>298382</v>
      </c>
      <c r="F60">
        <f t="shared" si="16"/>
        <v>402700</v>
      </c>
      <c r="G60">
        <f t="shared" si="16"/>
        <v>511211</v>
      </c>
      <c r="H60">
        <f t="shared" si="16"/>
        <v>475520.65822861198</v>
      </c>
      <c r="I60" s="17" t="str">
        <f ca="1">_xlfn.FORMULATEXT(H60)</f>
        <v>=SUM(H49:H53,H55:H58)</v>
      </c>
    </row>
    <row r="61" spans="2:16" x14ac:dyDescent="0.25">
      <c r="C61" s="6"/>
      <c r="D61" s="6"/>
      <c r="E61" s="6"/>
      <c r="F61" s="6"/>
      <c r="G61" s="6"/>
    </row>
    <row r="62" spans="2:16" x14ac:dyDescent="0.25">
      <c r="B62" t="s">
        <v>107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H62">
        <f>G62+'CFS and Debt Schedule'!H6</f>
        <v>72104</v>
      </c>
      <c r="I62" s="17" t="str">
        <f t="shared" ref="I62:I64" ca="1" si="17">_xlfn.FORMULATEXT(H62)</f>
        <v>=G62+'CFS and Debt Schedule'!H6</v>
      </c>
      <c r="P62" s="33"/>
    </row>
    <row r="63" spans="2:16" x14ac:dyDescent="0.25">
      <c r="B63" t="s">
        <v>108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H63">
        <f>G63</f>
        <v>1078</v>
      </c>
      <c r="I63" s="17" t="str">
        <f t="shared" ca="1" si="17"/>
        <v>=G63</v>
      </c>
    </row>
    <row r="64" spans="2:16" x14ac:dyDescent="0.25">
      <c r="B64" t="s">
        <v>109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H64">
        <f>G64</f>
        <v>8934</v>
      </c>
      <c r="I64" s="17" t="str">
        <f t="shared" ca="1" si="17"/>
        <v>=G64</v>
      </c>
    </row>
    <row r="65" spans="2:16" x14ac:dyDescent="0.25">
      <c r="C65" s="6"/>
      <c r="D65" s="6"/>
      <c r="E65" s="6"/>
      <c r="F65" s="6"/>
      <c r="G65" s="6"/>
    </row>
    <row r="66" spans="2:16" x14ac:dyDescent="0.25">
      <c r="B66" t="s">
        <v>110</v>
      </c>
      <c r="C66" s="6"/>
      <c r="D66" s="6"/>
      <c r="E66" s="6"/>
      <c r="F66" s="6"/>
      <c r="G66" s="6"/>
    </row>
    <row r="67" spans="2:16" x14ac:dyDescent="0.25">
      <c r="B67" t="s">
        <v>107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H67">
        <f>G67+'CFS and Debt Schedule'!H7</f>
        <v>12701</v>
      </c>
      <c r="I67" s="17" t="str">
        <f t="shared" ref="I67:I69" ca="1" si="18">_xlfn.FORMULATEXT(H67)</f>
        <v>=G67+'CFS and Debt Schedule'!H7</v>
      </c>
      <c r="P67" s="33"/>
    </row>
    <row r="68" spans="2:16" x14ac:dyDescent="0.25">
      <c r="B68" t="s">
        <v>99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H68">
        <f>H13/365*(IS!H19-IS!H28)</f>
        <v>96301.832219178061</v>
      </c>
      <c r="I68" s="17" t="str">
        <f t="shared" ca="1" si="18"/>
        <v>=H13/365*(IS!H19-IS!H28)</v>
      </c>
      <c r="P68" s="33"/>
    </row>
    <row r="69" spans="2:16" x14ac:dyDescent="0.25">
      <c r="B69" t="s">
        <v>100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H69">
        <f>G69</f>
        <v>2094</v>
      </c>
      <c r="I69" s="17" t="str">
        <f t="shared" ca="1" si="18"/>
        <v>=G69</v>
      </c>
    </row>
    <row r="70" spans="2:16" x14ac:dyDescent="0.25">
      <c r="C70" s="6"/>
      <c r="D70" s="6"/>
      <c r="E70" s="6"/>
      <c r="F70" s="6"/>
      <c r="G70" s="6"/>
    </row>
    <row r="71" spans="2:16" x14ac:dyDescent="0.25">
      <c r="B71" t="s">
        <v>111</v>
      </c>
      <c r="C71">
        <f>SUM(C62:C64,C67:C69)</f>
        <v>99062</v>
      </c>
      <c r="D71">
        <f t="shared" ref="D71:H71" si="19">SUM(D62:D64,D67:D69)</f>
        <v>104442</v>
      </c>
      <c r="E71">
        <f t="shared" si="19"/>
        <v>106695</v>
      </c>
      <c r="F71">
        <f t="shared" si="19"/>
        <v>115228</v>
      </c>
      <c r="G71">
        <f t="shared" si="19"/>
        <v>188825</v>
      </c>
      <c r="H71">
        <f t="shared" si="19"/>
        <v>193212.83221917806</v>
      </c>
      <c r="I71" s="17" t="str">
        <f ca="1">_xlfn.FORMULATEXT(H71)</f>
        <v>=SUM(H62:H64,H67:H69)</v>
      </c>
    </row>
    <row r="72" spans="2:16" x14ac:dyDescent="0.25">
      <c r="C72" s="6"/>
      <c r="D72" s="6"/>
      <c r="E72" s="6"/>
      <c r="F72" s="6"/>
      <c r="G72" s="6"/>
    </row>
    <row r="73" spans="2:16" x14ac:dyDescent="0.25">
      <c r="B73" t="s">
        <v>92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H73">
        <f>H38</f>
        <v>368025.45736327273</v>
      </c>
      <c r="I73" s="17" t="str">
        <f t="shared" ref="I73:I74" ca="1" si="20">_xlfn.FORMULATEXT(H73)</f>
        <v>=H38</v>
      </c>
    </row>
    <row r="74" spans="2:16" x14ac:dyDescent="0.25">
      <c r="B74" t="s">
        <v>112</v>
      </c>
      <c r="C74">
        <f>C71+C73</f>
        <v>263847</v>
      </c>
      <c r="D74">
        <f t="shared" ref="D74:H74" si="21">D71+D73</f>
        <v>287848</v>
      </c>
      <c r="E74">
        <f t="shared" si="21"/>
        <v>298382</v>
      </c>
      <c r="F74">
        <f t="shared" si="21"/>
        <v>402700</v>
      </c>
      <c r="G74">
        <f t="shared" si="21"/>
        <v>511211</v>
      </c>
      <c r="H74">
        <f t="shared" si="21"/>
        <v>561238.28958245076</v>
      </c>
      <c r="I74" s="17" t="str">
        <f t="shared" ca="1" si="20"/>
        <v>=H71+H73</v>
      </c>
    </row>
    <row r="76" spans="2:16" x14ac:dyDescent="0.25">
      <c r="B76" t="s">
        <v>113</v>
      </c>
      <c r="C76">
        <f>C60-C74</f>
        <v>0</v>
      </c>
      <c r="D76">
        <f t="shared" ref="D76:H76" si="22">D60-D74</f>
        <v>0</v>
      </c>
      <c r="E76">
        <f t="shared" si="22"/>
        <v>0</v>
      </c>
      <c r="F76">
        <f t="shared" si="22"/>
        <v>0</v>
      </c>
      <c r="G76">
        <f t="shared" si="22"/>
        <v>0</v>
      </c>
      <c r="H76">
        <f t="shared" si="22"/>
        <v>-85717.631353838777</v>
      </c>
      <c r="I76" s="17" t="str">
        <f ca="1">_xlfn.FORMULATEXT(H76)</f>
        <v>=H60-H74</v>
      </c>
    </row>
    <row r="77" spans="2:16" x14ac:dyDescent="0.25">
      <c r="B77" s="17"/>
    </row>
    <row r="78" spans="2:16" x14ac:dyDescent="0.25">
      <c r="B78" s="17"/>
      <c r="C78" s="2"/>
    </row>
    <row r="79" spans="2:16" x14ac:dyDescent="0.2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4" sqref="B14"/>
    </sheetView>
  </sheetViews>
  <sheetFormatPr defaultColWidth="9" defaultRowHeight="15" x14ac:dyDescent="0.25"/>
  <cols>
    <col min="1" max="1" width="1.7109375" customWidth="1"/>
    <col min="2" max="2" width="55" customWidth="1"/>
    <col min="3" max="11" width="10.7109375" customWidth="1"/>
  </cols>
  <sheetData>
    <row r="1" spans="1:21" ht="50.1" customHeight="1" x14ac:dyDescent="0.4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2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35">
      <c r="A3" s="73" t="s">
        <v>26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25">
      <c r="A5" s="33" t="s">
        <v>114</v>
      </c>
    </row>
    <row r="6" spans="1:21" x14ac:dyDescent="0.25">
      <c r="B6" t="s">
        <v>115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25">
      <c r="B7" t="s">
        <v>116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25">
      <c r="B8" t="s">
        <v>117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25">
      <c r="B9" t="s">
        <v>118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25">
      <c r="A10" s="11"/>
      <c r="B10" s="17"/>
    </row>
    <row r="11" spans="1:21" ht="15.75" x14ac:dyDescent="0.25">
      <c r="A11" s="11" t="s">
        <v>119</v>
      </c>
      <c r="B11" s="17"/>
    </row>
    <row r="12" spans="1:21" x14ac:dyDescent="0.25">
      <c r="B12" s="7" t="s">
        <v>120</v>
      </c>
    </row>
    <row r="13" spans="1:21" x14ac:dyDescent="0.25">
      <c r="B13" t="s">
        <v>60</v>
      </c>
      <c r="D13" s="17"/>
      <c r="E13" s="17"/>
      <c r="F13" s="17"/>
      <c r="G13" s="17"/>
    </row>
    <row r="14" spans="1:21" x14ac:dyDescent="0.25">
      <c r="B14" t="s">
        <v>51</v>
      </c>
      <c r="D14" s="17"/>
      <c r="E14" s="17"/>
      <c r="F14" s="17"/>
      <c r="G14" s="17"/>
    </row>
    <row r="15" spans="1:21" x14ac:dyDescent="0.25">
      <c r="B15" t="s">
        <v>121</v>
      </c>
      <c r="D15" s="17"/>
      <c r="E15" s="17"/>
      <c r="F15" s="17"/>
      <c r="G15" s="17"/>
    </row>
    <row r="16" spans="1:21" x14ac:dyDescent="0.25">
      <c r="B16" t="s">
        <v>122</v>
      </c>
      <c r="D16" s="17"/>
      <c r="E16" s="17"/>
      <c r="F16" s="17"/>
      <c r="G16" s="17"/>
      <c r="N16" s="33"/>
    </row>
    <row r="17" spans="2:14" x14ac:dyDescent="0.25">
      <c r="B17" t="s">
        <v>123</v>
      </c>
      <c r="D17" s="14"/>
      <c r="E17" s="14"/>
      <c r="F17" s="14"/>
      <c r="G17" s="14"/>
    </row>
    <row r="18" spans="2:14" x14ac:dyDescent="0.25">
      <c r="B18" t="s">
        <v>124</v>
      </c>
      <c r="D18" s="14"/>
      <c r="E18" s="14"/>
      <c r="F18" s="14"/>
      <c r="G18" s="14"/>
    </row>
    <row r="19" spans="2:14" x14ac:dyDescent="0.25">
      <c r="B19" t="s">
        <v>125</v>
      </c>
      <c r="D19" s="14"/>
      <c r="E19" s="14"/>
      <c r="F19" s="14"/>
      <c r="G19" s="14"/>
    </row>
    <row r="20" spans="2:14" x14ac:dyDescent="0.25">
      <c r="B20" t="s">
        <v>126</v>
      </c>
    </row>
    <row r="21" spans="2:14" x14ac:dyDescent="0.25">
      <c r="B21" s="17"/>
      <c r="D21" s="6"/>
      <c r="E21" s="6"/>
      <c r="F21" s="6"/>
      <c r="G21" s="6"/>
    </row>
    <row r="22" spans="2:14" x14ac:dyDescent="0.25">
      <c r="B22" s="7" t="s">
        <v>127</v>
      </c>
      <c r="D22" s="6"/>
      <c r="E22" s="6"/>
      <c r="F22" s="6"/>
      <c r="G22" s="6"/>
    </row>
    <row r="23" spans="2:14" x14ac:dyDescent="0.25">
      <c r="B23" t="s">
        <v>128</v>
      </c>
      <c r="D23" s="14"/>
      <c r="E23" s="14"/>
      <c r="F23" s="14"/>
      <c r="G23" s="14"/>
    </row>
    <row r="24" spans="2:14" x14ac:dyDescent="0.25">
      <c r="B24" t="s">
        <v>129</v>
      </c>
      <c r="D24" s="14"/>
      <c r="E24" s="14"/>
      <c r="F24" s="14"/>
      <c r="G24" s="14"/>
    </row>
    <row r="25" spans="2:14" x14ac:dyDescent="0.25">
      <c r="B25" t="s">
        <v>130</v>
      </c>
      <c r="D25" s="14"/>
      <c r="E25" s="14"/>
      <c r="F25" s="14"/>
      <c r="G25" s="14"/>
    </row>
    <row r="26" spans="2:14" x14ac:dyDescent="0.25">
      <c r="B26" t="s">
        <v>131</v>
      </c>
      <c r="D26" s="14"/>
      <c r="E26" s="14"/>
      <c r="F26" s="14"/>
      <c r="G26" s="14"/>
      <c r="N26" s="33"/>
    </row>
    <row r="27" spans="2:14" x14ac:dyDescent="0.25">
      <c r="B27" t="s">
        <v>132</v>
      </c>
    </row>
    <row r="28" spans="2:14" x14ac:dyDescent="0.25">
      <c r="B28" s="17"/>
      <c r="D28" s="6"/>
      <c r="E28" s="6"/>
      <c r="F28" s="6"/>
      <c r="G28" s="6"/>
    </row>
    <row r="29" spans="2:14" x14ac:dyDescent="0.25">
      <c r="B29" s="7" t="s">
        <v>133</v>
      </c>
      <c r="D29" s="6"/>
      <c r="E29" s="6"/>
      <c r="F29" s="6"/>
      <c r="G29" s="6"/>
    </row>
    <row r="30" spans="2:14" x14ac:dyDescent="0.25">
      <c r="B30" t="s">
        <v>134</v>
      </c>
      <c r="D30" s="14"/>
      <c r="E30" s="14"/>
      <c r="F30" s="14"/>
      <c r="G30" s="14"/>
    </row>
    <row r="31" spans="2:14" x14ac:dyDescent="0.25">
      <c r="B31" t="s">
        <v>135</v>
      </c>
      <c r="D31" s="14"/>
      <c r="E31" s="14"/>
      <c r="F31" s="14"/>
      <c r="G31" s="14"/>
    </row>
    <row r="32" spans="2:14" x14ac:dyDescent="0.25">
      <c r="B32" t="s">
        <v>136</v>
      </c>
      <c r="D32" s="14"/>
      <c r="E32" s="14"/>
      <c r="F32" s="14"/>
      <c r="G32" s="14"/>
      <c r="N32" s="33"/>
    </row>
    <row r="33" spans="1:11" x14ac:dyDescent="0.25">
      <c r="B33" t="s">
        <v>137</v>
      </c>
      <c r="D33" s="14"/>
      <c r="E33" s="14"/>
      <c r="F33" s="14"/>
      <c r="G33" s="14"/>
    </row>
    <row r="34" spans="1:11" x14ac:dyDescent="0.25">
      <c r="B34" t="s">
        <v>138</v>
      </c>
    </row>
    <row r="35" spans="1:11" x14ac:dyDescent="0.2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25">
      <c r="B36" t="s">
        <v>139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25">
      <c r="D37" s="2"/>
      <c r="E37" s="2"/>
      <c r="F37" s="2"/>
      <c r="G37" s="2"/>
      <c r="H37" s="2"/>
      <c r="I37" s="2"/>
      <c r="J37" s="2"/>
      <c r="K37" s="2"/>
    </row>
    <row r="38" spans="1:11" x14ac:dyDescent="0.25">
      <c r="B38" t="s">
        <v>140</v>
      </c>
    </row>
    <row r="39" spans="1:11" x14ac:dyDescent="0.25">
      <c r="B39" t="s">
        <v>141</v>
      </c>
    </row>
    <row r="40" spans="1:11" ht="13.5" customHeight="1" x14ac:dyDescent="0.25">
      <c r="B40" s="17"/>
    </row>
    <row r="41" spans="1:11" ht="15.75" x14ac:dyDescent="0.25">
      <c r="A41" s="28" t="s">
        <v>142</v>
      </c>
      <c r="B41" s="7"/>
    </row>
    <row r="42" spans="1:11" ht="15.75" x14ac:dyDescent="0.25">
      <c r="A42" s="28"/>
      <c r="B42" t="s">
        <v>143</v>
      </c>
    </row>
    <row r="43" spans="1:11" ht="15.75" x14ac:dyDescent="0.25">
      <c r="A43" s="28"/>
      <c r="B43" t="s">
        <v>144</v>
      </c>
    </row>
    <row r="44" spans="1:11" x14ac:dyDescent="0.25">
      <c r="B44" t="s">
        <v>145</v>
      </c>
    </row>
    <row r="46" spans="1:11" x14ac:dyDescent="0.25">
      <c r="B46" t="s">
        <v>146</v>
      </c>
    </row>
    <row r="47" spans="1:11" x14ac:dyDescent="0.25">
      <c r="B47" t="s">
        <v>147</v>
      </c>
    </row>
    <row r="49" spans="2:12" x14ac:dyDescent="0.25">
      <c r="B49" t="s">
        <v>148</v>
      </c>
    </row>
    <row r="50" spans="2:12" x14ac:dyDescent="0.25">
      <c r="B50" s="17"/>
      <c r="C50" s="2"/>
      <c r="I50" t="e" vm="1">
        <f>[2]!FR(H50)</f>
        <v>#VALUE!</v>
      </c>
      <c r="L50" t="e" vm="1">
        <f>[2]!FR(K50)</f>
        <v>#VALUE!</v>
      </c>
    </row>
    <row r="51" spans="2:12" x14ac:dyDescent="0.25">
      <c r="I51" t="e" vm="1">
        <f>[2]!FR(H51)</f>
        <v>#VALUE!</v>
      </c>
      <c r="L51" t="e" vm="1">
        <f>[2]!FR(K51)</f>
        <v>#VALUE!</v>
      </c>
    </row>
    <row r="52" spans="2:12" x14ac:dyDescent="0.25">
      <c r="I52" t="e" vm="1">
        <f>[2]!FR(H52)</f>
        <v>#VALUE!</v>
      </c>
      <c r="L52" t="e" vm="1">
        <f>[2]!FR(K52)</f>
        <v>#VALUE!</v>
      </c>
    </row>
    <row r="53" spans="2:12" x14ac:dyDescent="0.25">
      <c r="B53" s="17"/>
      <c r="I53" t="e" vm="1">
        <f>[2]!FR(H53)</f>
        <v>#VALUE!</v>
      </c>
      <c r="L53" t="e" vm="1">
        <f>[2]!FR(K53)</f>
        <v>#VALUE!</v>
      </c>
    </row>
    <row r="54" spans="2:12" x14ac:dyDescent="0.25">
      <c r="B54" s="17"/>
      <c r="I54" t="e" vm="1">
        <f>[2]!FR(H54)</f>
        <v>#VALUE!</v>
      </c>
      <c r="L54" t="e" vm="1">
        <f>[2]!FR(K54)</f>
        <v>#VALUE!</v>
      </c>
    </row>
    <row r="55" spans="2:12" x14ac:dyDescent="0.25">
      <c r="B55" s="17"/>
      <c r="I55" t="e" vm="1">
        <f>[2]!FR(H55)</f>
        <v>#VALUE!</v>
      </c>
      <c r="L55" t="e" vm="1">
        <f>[2]!FR(K55)</f>
        <v>#VALUE!</v>
      </c>
    </row>
    <row r="56" spans="2:12" x14ac:dyDescent="0.25">
      <c r="B56" s="17"/>
      <c r="I56" t="e" vm="1">
        <f>[2]!FR(H56)</f>
        <v>#VALUE!</v>
      </c>
    </row>
    <row r="57" spans="2:12" x14ac:dyDescent="0.25">
      <c r="B57" s="17"/>
      <c r="I57" t="e" vm="1">
        <f>[2]!FR(H57)</f>
        <v>#VALUE!</v>
      </c>
    </row>
    <row r="58" spans="2:12" x14ac:dyDescent="0.25">
      <c r="B58" s="17"/>
      <c r="I58" t="e" vm="1">
        <f>[2]!FR(H58)</f>
        <v>#VALUE!</v>
      </c>
    </row>
    <row r="59" spans="2:12" x14ac:dyDescent="0.25">
      <c r="B59" s="17"/>
      <c r="I59" t="e" vm="1">
        <f>[2]!FR(H59)</f>
        <v>#VALUE!</v>
      </c>
    </row>
    <row r="60" spans="2:12" x14ac:dyDescent="0.25">
      <c r="B60" s="17"/>
    </row>
    <row r="61" spans="2:12" x14ac:dyDescent="0.25">
      <c r="B61" s="17"/>
    </row>
    <row r="62" spans="2:12" x14ac:dyDescent="0.25">
      <c r="B62" s="17"/>
    </row>
    <row r="63" spans="2:12" x14ac:dyDescent="0.25">
      <c r="B63" s="17"/>
    </row>
    <row r="64" spans="2:12" x14ac:dyDescent="0.25">
      <c r="B64" s="17"/>
    </row>
    <row r="65" spans="2:2" x14ac:dyDescent="0.25">
      <c r="B65" s="17"/>
    </row>
    <row r="66" spans="2:2" x14ac:dyDescent="0.25">
      <c r="B66" s="17"/>
    </row>
    <row r="67" spans="2:2" x14ac:dyDescent="0.25">
      <c r="B67" s="17"/>
    </row>
    <row r="68" spans="2:2" x14ac:dyDescent="0.25">
      <c r="B68" s="17"/>
    </row>
    <row r="69" spans="2:2" x14ac:dyDescent="0.25">
      <c r="B69" s="17"/>
    </row>
    <row r="70" spans="2:2" x14ac:dyDescent="0.25">
      <c r="B70" s="17"/>
    </row>
    <row r="71" spans="2:2" x14ac:dyDescent="0.25">
      <c r="B71" s="17"/>
    </row>
    <row r="72" spans="2:2" x14ac:dyDescent="0.25">
      <c r="B72" s="17"/>
    </row>
    <row r="73" spans="2:2" x14ac:dyDescent="0.25">
      <c r="B73" s="17"/>
    </row>
    <row r="74" spans="2:2" x14ac:dyDescent="0.25">
      <c r="B74" s="17"/>
    </row>
    <row r="75" spans="2:2" x14ac:dyDescent="0.25">
      <c r="B75" s="17"/>
    </row>
    <row r="76" spans="2:2" x14ac:dyDescent="0.25">
      <c r="B76" s="17"/>
    </row>
    <row r="77" spans="2:2" x14ac:dyDescent="0.25">
      <c r="B77" s="17"/>
    </row>
    <row r="78" spans="2:2" x14ac:dyDescent="0.25">
      <c r="B78" s="17"/>
    </row>
    <row r="79" spans="2:2" x14ac:dyDescent="0.25">
      <c r="B79" s="17"/>
    </row>
    <row r="80" spans="2:2" x14ac:dyDescent="0.25">
      <c r="B80" s="17"/>
    </row>
    <row r="81" spans="2:2" x14ac:dyDescent="0.25">
      <c r="B81" s="17"/>
    </row>
    <row r="82" spans="2:2" x14ac:dyDescent="0.25">
      <c r="B82" s="17"/>
    </row>
    <row r="83" spans="2:2" x14ac:dyDescent="0.25">
      <c r="B83" s="17"/>
    </row>
    <row r="84" spans="2:2" x14ac:dyDescent="0.25">
      <c r="B84" s="17"/>
    </row>
    <row r="85" spans="2:2" x14ac:dyDescent="0.25">
      <c r="B85" s="17"/>
    </row>
    <row r="86" spans="2:2" x14ac:dyDescent="0.25">
      <c r="B86" s="17"/>
    </row>
    <row r="87" spans="2:2" x14ac:dyDescent="0.25">
      <c r="B87" s="17"/>
    </row>
    <row r="88" spans="2:2" x14ac:dyDescent="0.25">
      <c r="B88" s="17"/>
    </row>
    <row r="89" spans="2:2" x14ac:dyDescent="0.25">
      <c r="B89" s="17"/>
    </row>
    <row r="90" spans="2:2" x14ac:dyDescent="0.25">
      <c r="B90" s="17"/>
    </row>
    <row r="91" spans="2:2" x14ac:dyDescent="0.25">
      <c r="B91" s="17"/>
    </row>
    <row r="92" spans="2:2" x14ac:dyDescent="0.25">
      <c r="B92" s="17"/>
    </row>
    <row r="93" spans="2:2" x14ac:dyDescent="0.25">
      <c r="B93" s="17"/>
    </row>
    <row r="94" spans="2:2" x14ac:dyDescent="0.25">
      <c r="B94" s="17"/>
    </row>
    <row r="95" spans="2:2" x14ac:dyDescent="0.25">
      <c r="B95" s="17"/>
    </row>
    <row r="96" spans="2:2" x14ac:dyDescent="0.25">
      <c r="B96" s="17"/>
    </row>
    <row r="97" spans="2:2" x14ac:dyDescent="0.25">
      <c r="B97" s="17"/>
    </row>
    <row r="98" spans="2:2" x14ac:dyDescent="0.25">
      <c r="B98" s="17"/>
    </row>
    <row r="99" spans="2:2" x14ac:dyDescent="0.25">
      <c r="B99" s="17"/>
    </row>
    <row r="100" spans="2:2" x14ac:dyDescent="0.25">
      <c r="B100" s="17"/>
    </row>
    <row r="101" spans="2:2" x14ac:dyDescent="0.25">
      <c r="B101" s="17"/>
    </row>
    <row r="102" spans="2:2" x14ac:dyDescent="0.25">
      <c r="B102" s="17"/>
    </row>
    <row r="103" spans="2:2" x14ac:dyDescent="0.25">
      <c r="B103" s="17"/>
    </row>
    <row r="104" spans="2:2" x14ac:dyDescent="0.25">
      <c r="B104" s="17"/>
    </row>
    <row r="105" spans="2:2" x14ac:dyDescent="0.25">
      <c r="B105" s="17"/>
    </row>
    <row r="106" spans="2:2" x14ac:dyDescent="0.2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5" outlineLevelRow="1" x14ac:dyDescent="0.25"/>
  <cols>
    <col min="1" max="1" width="1.7109375" customWidth="1"/>
    <col min="2" max="2" width="55" customWidth="1"/>
    <col min="3" max="11" width="10.7109375" customWidth="1"/>
  </cols>
  <sheetData>
    <row r="1" spans="1:21" ht="50.1" customHeight="1" x14ac:dyDescent="0.4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2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35">
      <c r="A3" s="73" t="s">
        <v>149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25">
      <c r="A5" s="7" t="s">
        <v>150</v>
      </c>
    </row>
    <row r="6" spans="1:21" x14ac:dyDescent="0.25">
      <c r="B6" t="s">
        <v>151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25">
      <c r="B7" t="s">
        <v>152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25">
      <c r="B8" t="s">
        <v>153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25">
      <c r="B9" t="s">
        <v>154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25">
      <c r="B10" t="s">
        <v>155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25">
      <c r="B11" t="s">
        <v>156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25">
      <c r="B12" t="s">
        <v>157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25">
      <c r="B13" t="s">
        <v>158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25">
      <c r="B14" t="s">
        <v>159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25">
      <c r="B15" t="s">
        <v>160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25">
      <c r="B16" t="s">
        <v>161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25">
      <c r="B17" t="s">
        <v>162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25">
      <c r="B18" t="s">
        <v>163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25">
      <c r="B19" t="s">
        <v>164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25">
      <c r="B20" t="s">
        <v>165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25">
      <c r="B21" t="s">
        <v>166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25">
      <c r="A24" s="33" t="s">
        <v>167</v>
      </c>
    </row>
    <row r="25" spans="1:11" outlineLevel="1" x14ac:dyDescent="0.25">
      <c r="B25" t="s">
        <v>168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25">
      <c r="B26" t="s">
        <v>169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25">
      <c r="B27" t="s">
        <v>170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25">
      <c r="B28" t="s">
        <v>153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25">
      <c r="B29" t="s">
        <v>154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25">
      <c r="B30" t="s">
        <v>155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25">
      <c r="B31" t="s">
        <v>156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25">
      <c r="B32" t="s">
        <v>157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25">
      <c r="B33" t="s">
        <v>158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25">
      <c r="B34" t="s">
        <v>159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25">
      <c r="B35" t="s">
        <v>160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25">
      <c r="B36" t="s">
        <v>161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25">
      <c r="B37" t="s">
        <v>171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25">
      <c r="B38" t="s">
        <v>162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25">
      <c r="B39" t="s">
        <v>172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25">
      <c r="B40" t="s">
        <v>163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25">
      <c r="B41" t="s">
        <v>164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25">
      <c r="B42" t="s">
        <v>173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25">
      <c r="B43" t="s">
        <v>165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25">
      <c r="B44" t="s">
        <v>166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25">
      <c r="A45" t="s">
        <v>174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outlineLevelCol="1" x14ac:dyDescent="0.25"/>
  <cols>
    <col min="1" max="1" width="1.7109375" customWidth="1"/>
    <col min="2" max="2" width="55" customWidth="1"/>
    <col min="3" max="5" width="10.7109375" customWidth="1"/>
    <col min="6" max="6" width="10.7109375" hidden="1" customWidth="1" outlineLevel="1"/>
    <col min="7" max="7" width="10.85546875" hidden="1" customWidth="1" outlineLevel="1"/>
    <col min="8" max="8" width="10.7109375" customWidth="1" collapsed="1"/>
    <col min="9" max="19" width="10.7109375" customWidth="1"/>
  </cols>
  <sheetData>
    <row r="1" spans="1:19" ht="50.1" customHeight="1" x14ac:dyDescent="0.4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9"/>
      <c r="B2" s="9"/>
      <c r="C2" s="13"/>
      <c r="D2" s="13"/>
      <c r="E2" s="13"/>
      <c r="F2" s="13"/>
      <c r="G2" s="13"/>
      <c r="H2" s="13" t="s">
        <v>175</v>
      </c>
      <c r="I2" s="13" t="s">
        <v>176</v>
      </c>
      <c r="J2" s="13" t="s">
        <v>176</v>
      </c>
      <c r="K2" s="13" t="s">
        <v>176</v>
      </c>
      <c r="L2" s="13" t="s">
        <v>176</v>
      </c>
      <c r="M2" s="13" t="s">
        <v>176</v>
      </c>
      <c r="N2" s="13" t="s">
        <v>176</v>
      </c>
      <c r="O2" s="13" t="s">
        <v>176</v>
      </c>
      <c r="P2" s="13" t="s">
        <v>176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35">
      <c r="A3" s="73" t="s">
        <v>177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25">
      <c r="A5" s="28" t="s">
        <v>178</v>
      </c>
      <c r="B5" s="11"/>
    </row>
    <row r="6" spans="1:19" x14ac:dyDescent="0.25">
      <c r="B6" s="21" t="s">
        <v>179</v>
      </c>
      <c r="C6" s="21" t="s">
        <v>180</v>
      </c>
      <c r="D6" s="21" t="s">
        <v>181</v>
      </c>
      <c r="F6" s="21"/>
      <c r="G6" s="21"/>
    </row>
    <row r="7" spans="1:19" x14ac:dyDescent="0.25">
      <c r="B7" s="17" t="s">
        <v>182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25">
      <c r="B8" s="17" t="s">
        <v>183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25">
      <c r="B9" s="17" t="s">
        <v>184</v>
      </c>
      <c r="C9" s="26">
        <v>9.5</v>
      </c>
      <c r="F9" s="26"/>
    </row>
    <row r="10" spans="1:19" x14ac:dyDescent="0.25">
      <c r="B10" s="17"/>
    </row>
    <row r="11" spans="1:19" x14ac:dyDescent="0.25">
      <c r="B11" s="21" t="s">
        <v>185</v>
      </c>
      <c r="C11" s="21" t="s">
        <v>180</v>
      </c>
      <c r="D11" s="21" t="s">
        <v>181</v>
      </c>
      <c r="E11" s="21" t="s">
        <v>186</v>
      </c>
      <c r="F11" s="21"/>
    </row>
    <row r="12" spans="1:19" x14ac:dyDescent="0.25">
      <c r="B12" s="17" t="s">
        <v>187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25">
      <c r="B13" s="17" t="s">
        <v>188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25">
      <c r="B14" s="17" t="s">
        <v>184</v>
      </c>
      <c r="C14" s="26">
        <v>5.8</v>
      </c>
      <c r="E14" s="18"/>
      <c r="F14" s="26"/>
      <c r="G14" s="26"/>
    </row>
    <row r="16" spans="1:19" x14ac:dyDescent="0.25">
      <c r="B16" s="17" t="s">
        <v>189</v>
      </c>
      <c r="C16" s="27">
        <v>1.2</v>
      </c>
    </row>
    <row r="17" spans="1:20" ht="15.75" x14ac:dyDescent="0.25">
      <c r="A17" s="28" t="s">
        <v>190</v>
      </c>
    </row>
    <row r="18" spans="1:20" x14ac:dyDescent="0.25">
      <c r="B18" t="s">
        <v>191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25">
      <c r="B19" t="s">
        <v>192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25">
      <c r="B21" t="s">
        <v>193</v>
      </c>
      <c r="C21" s="30">
        <v>0.9</v>
      </c>
    </row>
    <row r="22" spans="1:20" x14ac:dyDescent="0.25">
      <c r="B22" t="s">
        <v>194</v>
      </c>
      <c r="C22" s="32">
        <f>INDEX(I3:S3,MATCH(C23,I37:S37,0))</f>
        <v>46387</v>
      </c>
      <c r="D22" s="17" t="str">
        <f t="shared" ref="D22:D23" ca="1" si="2">_xlfn.FORMULATEXT(C22)</f>
        <v>=INDEX(I3:S3,MATCH(C23,I37:S37,0))</v>
      </c>
    </row>
    <row r="23" spans="1:20" x14ac:dyDescent="0.25">
      <c r="B23" t="s">
        <v>195</v>
      </c>
      <c r="C23" s="15">
        <f>MAX(J37:S37)</f>
        <v>7.4999999999999997E-2</v>
      </c>
      <c r="D23" s="17" t="str">
        <f t="shared" ca="1" si="2"/>
        <v>=MAX(J37:S37)</v>
      </c>
    </row>
    <row r="25" spans="1:20" x14ac:dyDescent="0.25">
      <c r="B25" t="s">
        <v>196</v>
      </c>
      <c r="C25" s="30">
        <v>0.7</v>
      </c>
    </row>
    <row r="26" spans="1:20" x14ac:dyDescent="0.25">
      <c r="B26" t="s">
        <v>197</v>
      </c>
      <c r="C26" s="18">
        <f>1-C25</f>
        <v>0.30000000000000004</v>
      </c>
    </row>
    <row r="27" spans="1:20" x14ac:dyDescent="0.25">
      <c r="B27" t="s">
        <v>198</v>
      </c>
      <c r="C27" s="30">
        <v>0.2</v>
      </c>
    </row>
    <row r="29" spans="1:20" x14ac:dyDescent="0.25">
      <c r="B29" t="s">
        <v>199</v>
      </c>
      <c r="C29" s="30">
        <v>0.8</v>
      </c>
    </row>
    <row r="30" spans="1:20" x14ac:dyDescent="0.25">
      <c r="B30" t="s">
        <v>200</v>
      </c>
      <c r="C30" s="30">
        <v>0.95</v>
      </c>
    </row>
    <row r="31" spans="1:20" x14ac:dyDescent="0.25">
      <c r="B31" t="s">
        <v>201</v>
      </c>
      <c r="C31" s="30">
        <v>0.03</v>
      </c>
    </row>
    <row r="32" spans="1:20" x14ac:dyDescent="0.25">
      <c r="B32" t="s">
        <v>202</v>
      </c>
      <c r="C32" s="22">
        <v>20</v>
      </c>
    </row>
    <row r="33" spans="2:27" x14ac:dyDescent="0.25">
      <c r="B33" t="s">
        <v>203</v>
      </c>
      <c r="C33" s="30">
        <v>0.04</v>
      </c>
    </row>
    <row r="34" spans="2:27" x14ac:dyDescent="0.25">
      <c r="B34" t="s">
        <v>204</v>
      </c>
      <c r="C34" s="30">
        <v>0.2</v>
      </c>
    </row>
    <row r="35" spans="2:27" x14ac:dyDescent="0.25">
      <c r="B35" t="s">
        <v>205</v>
      </c>
      <c r="C35" s="30">
        <v>0.25</v>
      </c>
    </row>
    <row r="37" spans="2:27" x14ac:dyDescent="0.25">
      <c r="B37" t="s">
        <v>206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25">
      <c r="B38" t="s">
        <v>207</v>
      </c>
      <c r="J38">
        <f>J37*J18*1000</f>
        <v>14801.636250000001</v>
      </c>
      <c r="K38">
        <f t="shared" ref="K38:S38" si="3">K37*K18*1000</f>
        <v>36256.607994375001</v>
      </c>
      <c r="L38">
        <f t="shared" si="3"/>
        <v>60438.189152362502</v>
      </c>
      <c r="M38">
        <f t="shared" si="3"/>
        <v>87610.191692112145</v>
      </c>
      <c r="N38">
        <f t="shared" si="3"/>
        <v>118059.20321286048</v>
      </c>
      <c r="O38">
        <f t="shared" si="3"/>
        <v>151168.14508162841</v>
      </c>
      <c r="P38">
        <f t="shared" si="3"/>
        <v>143214.43312815856</v>
      </c>
      <c r="Q38">
        <f t="shared" si="3"/>
        <v>135000.58413774273</v>
      </c>
      <c r="R38">
        <f t="shared" si="3"/>
        <v>126682.0978942557</v>
      </c>
      <c r="S38">
        <f t="shared" si="3"/>
        <v>118389.95205598649</v>
      </c>
      <c r="T38" t="str">
        <f t="shared" ref="T38:T40" ca="1" si="4">_xlfn.FORMULATEXT(S38)</f>
        <v>=S37*S18*1000</v>
      </c>
    </row>
    <row r="39" spans="2:27" x14ac:dyDescent="0.25">
      <c r="B39" s="3" t="s">
        <v>208</v>
      </c>
      <c r="J39">
        <f>J38*$C$25</f>
        <v>10361.145375</v>
      </c>
      <c r="K39">
        <f t="shared" ref="K39:S39" si="5">K38*$C$25</f>
        <v>25379.625596062499</v>
      </c>
      <c r="L39">
        <f t="shared" si="5"/>
        <v>42306.732406653748</v>
      </c>
      <c r="M39">
        <f t="shared" si="5"/>
        <v>61327.134184478498</v>
      </c>
      <c r="N39">
        <f t="shared" si="5"/>
        <v>82641.442249002328</v>
      </c>
      <c r="O39">
        <f t="shared" si="5"/>
        <v>105817.70155713988</v>
      </c>
      <c r="P39">
        <f t="shared" si="5"/>
        <v>100250.10318971099</v>
      </c>
      <c r="Q39">
        <f t="shared" si="5"/>
        <v>94500.408896419904</v>
      </c>
      <c r="R39">
        <f t="shared" si="5"/>
        <v>88677.468525978984</v>
      </c>
      <c r="S39">
        <f t="shared" si="5"/>
        <v>82872.966439190539</v>
      </c>
      <c r="T39" t="str">
        <f t="shared" ca="1" si="4"/>
        <v>=S38*$C$25</v>
      </c>
    </row>
    <row r="40" spans="2:27" x14ac:dyDescent="0.25">
      <c r="B40" s="3" t="s">
        <v>209</v>
      </c>
      <c r="J40">
        <f>J38-J39</f>
        <v>4440.4908750000013</v>
      </c>
      <c r="K40">
        <f t="shared" ref="K40:S40" si="6">K38-K39</f>
        <v>10876.982398312502</v>
      </c>
      <c r="L40">
        <f t="shared" si="6"/>
        <v>18131.456745708754</v>
      </c>
      <c r="M40">
        <f t="shared" si="6"/>
        <v>26283.057507633646</v>
      </c>
      <c r="N40">
        <f t="shared" si="6"/>
        <v>35417.760963858149</v>
      </c>
      <c r="O40">
        <f t="shared" si="6"/>
        <v>45350.443524488524</v>
      </c>
      <c r="P40">
        <f t="shared" si="6"/>
        <v>42964.329938447569</v>
      </c>
      <c r="Q40">
        <f t="shared" si="6"/>
        <v>40500.175241322824</v>
      </c>
      <c r="R40">
        <f t="shared" si="6"/>
        <v>38004.629368276714</v>
      </c>
      <c r="S40">
        <f t="shared" si="6"/>
        <v>35516.985616795952</v>
      </c>
      <c r="T40" t="str">
        <f t="shared" ca="1" si="4"/>
        <v>=S38-S39</v>
      </c>
    </row>
    <row r="42" spans="2:27" x14ac:dyDescent="0.25">
      <c r="B42" t="s">
        <v>210</v>
      </c>
    </row>
    <row r="43" spans="2:27" x14ac:dyDescent="0.25">
      <c r="B43" t="s">
        <v>211</v>
      </c>
      <c r="J43">
        <f>J39</f>
        <v>10361.145375</v>
      </c>
      <c r="K43">
        <f t="shared" ref="K43:S43" si="7">K39</f>
        <v>25379.625596062499</v>
      </c>
      <c r="L43">
        <f t="shared" si="7"/>
        <v>42306.732406653748</v>
      </c>
      <c r="M43">
        <f t="shared" si="7"/>
        <v>61327.134184478498</v>
      </c>
      <c r="N43">
        <f t="shared" si="7"/>
        <v>82641.442249002328</v>
      </c>
      <c r="O43">
        <f t="shared" si="7"/>
        <v>105817.70155713988</v>
      </c>
      <c r="P43">
        <f t="shared" si="7"/>
        <v>100250.10318971099</v>
      </c>
      <c r="Q43">
        <f t="shared" si="7"/>
        <v>94500.408896419904</v>
      </c>
      <c r="R43">
        <f t="shared" si="7"/>
        <v>88677.468525978984</v>
      </c>
      <c r="S43">
        <f t="shared" si="7"/>
        <v>82872.966439190539</v>
      </c>
      <c r="T43" t="str">
        <f t="shared" ref="T43:T45" ca="1" si="8">_xlfn.FORMULATEXT(S43)</f>
        <v>=S39</v>
      </c>
    </row>
    <row r="44" spans="2:27" x14ac:dyDescent="0.25">
      <c r="B44" t="s">
        <v>212</v>
      </c>
      <c r="J44">
        <f>J40*$C$27</f>
        <v>888.09817500000031</v>
      </c>
      <c r="K44">
        <f t="shared" ref="K44:S44" si="9">K40*$C$27</f>
        <v>2175.3964796625005</v>
      </c>
      <c r="L44">
        <f t="shared" si="9"/>
        <v>3626.2913491417512</v>
      </c>
      <c r="M44">
        <f t="shared" si="9"/>
        <v>5256.6115015267296</v>
      </c>
      <c r="N44">
        <f t="shared" si="9"/>
        <v>7083.55219277163</v>
      </c>
      <c r="O44">
        <f t="shared" si="9"/>
        <v>9070.0887048977056</v>
      </c>
      <c r="P44">
        <f t="shared" si="9"/>
        <v>8592.8659876895144</v>
      </c>
      <c r="Q44">
        <f t="shared" si="9"/>
        <v>8100.0350482645654</v>
      </c>
      <c r="R44">
        <f t="shared" si="9"/>
        <v>7600.9258736553429</v>
      </c>
      <c r="S44">
        <f t="shared" si="9"/>
        <v>7103.397123359191</v>
      </c>
      <c r="T44" t="str">
        <f t="shared" ca="1" si="8"/>
        <v>=S40*$C$27</v>
      </c>
    </row>
    <row r="45" spans="2:27" x14ac:dyDescent="0.25">
      <c r="B45" s="78" t="s">
        <v>46</v>
      </c>
      <c r="J45">
        <f>SUM(J43:J44)</f>
        <v>11249.243550000001</v>
      </c>
      <c r="K45">
        <f t="shared" ref="K45:S45" si="10">SUM(K43:K44)</f>
        <v>27555.022075724999</v>
      </c>
      <c r="L45">
        <f t="shared" si="10"/>
        <v>45933.023755795497</v>
      </c>
      <c r="M45">
        <f t="shared" si="10"/>
        <v>66583.745686005233</v>
      </c>
      <c r="N45">
        <f t="shared" si="10"/>
        <v>89724.994441773961</v>
      </c>
      <c r="O45">
        <f t="shared" si="10"/>
        <v>114887.79026203758</v>
      </c>
      <c r="P45">
        <f t="shared" si="10"/>
        <v>108842.9691774005</v>
      </c>
      <c r="Q45">
        <f t="shared" si="10"/>
        <v>102600.44394468446</v>
      </c>
      <c r="R45">
        <f t="shared" si="10"/>
        <v>96278.39439963433</v>
      </c>
      <c r="S45">
        <f t="shared" si="10"/>
        <v>89976.363562549726</v>
      </c>
      <c r="T45" t="str">
        <f t="shared" ca="1" si="8"/>
        <v>=SUM(S43:S44)</v>
      </c>
    </row>
    <row r="47" spans="2:27" x14ac:dyDescent="0.25">
      <c r="B47" t="s">
        <v>48</v>
      </c>
      <c r="J47">
        <f>$C$29*J43+$C$30*J44-IF(J3&gt;$C$22,$C$31*(YEAR(J3)-YEAR($C$22))*J45)</f>
        <v>9132.6095662500011</v>
      </c>
      <c r="K47">
        <f t="shared" ref="K47:S47" si="11">$C$29*K43+$C$30*K44-IF(K3&gt;$C$22,$C$31*(YEAR(K3)-YEAR($C$22))*K45)</f>
        <v>22370.327132529375</v>
      </c>
      <c r="L47">
        <f t="shared" si="11"/>
        <v>37290.362707007662</v>
      </c>
      <c r="M47">
        <f t="shared" si="11"/>
        <v>54055.488274033196</v>
      </c>
      <c r="N47">
        <f t="shared" si="11"/>
        <v>72842.528382334916</v>
      </c>
      <c r="O47">
        <f t="shared" si="11"/>
        <v>93270.745515364717</v>
      </c>
      <c r="P47">
        <f t="shared" si="11"/>
        <v>85098.016164751825</v>
      </c>
      <c r="Q47">
        <f t="shared" si="11"/>
        <v>77139.333776306186</v>
      </c>
      <c r="R47">
        <f t="shared" si="11"/>
        <v>69497.79890478868</v>
      </c>
      <c r="S47">
        <f t="shared" si="11"/>
        <v>62249.436791037711</v>
      </c>
      <c r="T47" t="str">
        <f t="shared" ref="T47:T48" ca="1" si="12">_xlfn.FORMULATEXT(S47)</f>
        <v>=$C$29*S43+$C$30*S44-IF(S3&gt;$C$22,$C$31*(YEAR(S3)-YEAR($C$22))*S45)</v>
      </c>
      <c r="AA47" s="33"/>
    </row>
    <row r="48" spans="2:27" x14ac:dyDescent="0.25">
      <c r="B48" t="s">
        <v>213</v>
      </c>
      <c r="J48" s="19">
        <f>J47/J45</f>
        <v>0.81184210526315792</v>
      </c>
      <c r="K48" s="19">
        <f t="shared" ref="K48:S48" si="13">K47/K45</f>
        <v>0.81184210526315792</v>
      </c>
      <c r="L48" s="19">
        <f t="shared" si="13"/>
        <v>0.81184210526315792</v>
      </c>
      <c r="M48" s="19">
        <f t="shared" si="13"/>
        <v>0.81184210526315792</v>
      </c>
      <c r="N48" s="19">
        <f t="shared" si="13"/>
        <v>0.81184210526315792</v>
      </c>
      <c r="O48" s="19">
        <f t="shared" si="13"/>
        <v>0.81184210526315781</v>
      </c>
      <c r="P48" s="19">
        <f t="shared" si="13"/>
        <v>0.781842105263158</v>
      </c>
      <c r="Q48" s="19">
        <f t="shared" si="13"/>
        <v>0.75184210526315787</v>
      </c>
      <c r="R48" s="19">
        <f t="shared" si="13"/>
        <v>0.72184210526315795</v>
      </c>
      <c r="S48" s="19">
        <f t="shared" si="13"/>
        <v>0.69184210526315815</v>
      </c>
      <c r="T48" t="str">
        <f t="shared" ca="1" si="12"/>
        <v>=S47/S45</v>
      </c>
    </row>
    <row r="50" spans="1:20" x14ac:dyDescent="0.25">
      <c r="B50" t="s">
        <v>214</v>
      </c>
      <c r="J50">
        <f>-C32*1000</f>
        <v>-20000</v>
      </c>
      <c r="K50">
        <f>J50*IF(K3&gt;$C$22,(1-$C$34),(1+$C$33))</f>
        <v>-20800</v>
      </c>
      <c r="L50">
        <f t="shared" ref="L50:S50" si="14">K50*IF(L3&gt;$C$22,(1-$C$34),(1+$C$33))</f>
        <v>-21632</v>
      </c>
      <c r="M50">
        <f t="shared" si="14"/>
        <v>-22497.280000000002</v>
      </c>
      <c r="N50">
        <f t="shared" si="14"/>
        <v>-23397.171200000004</v>
      </c>
      <c r="O50">
        <f t="shared" si="14"/>
        <v>-24333.058048000006</v>
      </c>
      <c r="P50">
        <f t="shared" si="14"/>
        <v>-19466.446438400006</v>
      </c>
      <c r="Q50">
        <f t="shared" si="14"/>
        <v>-15573.157150720006</v>
      </c>
      <c r="R50">
        <f t="shared" si="14"/>
        <v>-12458.525720576006</v>
      </c>
      <c r="S50">
        <f t="shared" si="14"/>
        <v>-9966.8205764608065</v>
      </c>
      <c r="T50" t="str">
        <f t="shared" ref="T50:T51" ca="1" si="15">_xlfn.FORMULATEXT(S50)</f>
        <v>=R50*IF(S3&gt;$C$22,(1-$C$34),(1+$C$33))</v>
      </c>
    </row>
    <row r="51" spans="1:20" x14ac:dyDescent="0.25">
      <c r="B51" t="s">
        <v>215</v>
      </c>
      <c r="J51">
        <f>-$C$35*J43</f>
        <v>-2590.28634375</v>
      </c>
      <c r="K51">
        <f t="shared" ref="K51:S51" si="16">-$C$35*K43</f>
        <v>-6344.9063990156246</v>
      </c>
      <c r="L51">
        <f t="shared" si="16"/>
        <v>-10576.683101663437</v>
      </c>
      <c r="M51">
        <f t="shared" si="16"/>
        <v>-15331.783546119625</v>
      </c>
      <c r="N51">
        <f t="shared" si="16"/>
        <v>-20660.360562250582</v>
      </c>
      <c r="O51">
        <f t="shared" si="16"/>
        <v>-26454.42538928497</v>
      </c>
      <c r="P51">
        <f t="shared" si="16"/>
        <v>-25062.525797427748</v>
      </c>
      <c r="Q51">
        <f t="shared" si="16"/>
        <v>-23625.102224104976</v>
      </c>
      <c r="R51">
        <f t="shared" si="16"/>
        <v>-22169.367131494746</v>
      </c>
      <c r="S51">
        <f t="shared" si="16"/>
        <v>-20718.241609797635</v>
      </c>
      <c r="T51" t="str">
        <f t="shared" ca="1" si="15"/>
        <v>=-$C$35*S43</v>
      </c>
    </row>
    <row r="53" spans="1:20" x14ac:dyDescent="0.25">
      <c r="B53" s="78" t="s">
        <v>52</v>
      </c>
      <c r="J53">
        <f>J47+J50+J51</f>
        <v>-13457.676777499999</v>
      </c>
      <c r="K53">
        <f t="shared" ref="K53:S53" si="17">K47+K50+K51</f>
        <v>-4774.5792664862493</v>
      </c>
      <c r="L53">
        <f t="shared" si="17"/>
        <v>5081.6796053442249</v>
      </c>
      <c r="M53">
        <f t="shared" si="17"/>
        <v>16226.424727913569</v>
      </c>
      <c r="N53">
        <f t="shared" si="17"/>
        <v>28784.99662008433</v>
      </c>
      <c r="O53">
        <f t="shared" si="17"/>
        <v>42483.262078079744</v>
      </c>
      <c r="P53">
        <f t="shared" si="17"/>
        <v>40569.043928924075</v>
      </c>
      <c r="Q53">
        <f t="shared" si="17"/>
        <v>37941.074401481208</v>
      </c>
      <c r="R53">
        <f t="shared" si="17"/>
        <v>34869.906052717924</v>
      </c>
      <c r="S53">
        <f t="shared" si="17"/>
        <v>31564.37460477927</v>
      </c>
      <c r="T53" t="str">
        <f t="shared" ref="T53:T54" ca="1" si="18">_xlfn.FORMULATEXT(S53)</f>
        <v>=S47+S50+S51</v>
      </c>
    </row>
    <row r="54" spans="1:20" x14ac:dyDescent="0.25">
      <c r="B54" t="s">
        <v>216</v>
      </c>
      <c r="J54" s="19">
        <f>J53/J45</f>
        <v>-1.1963183762253951</v>
      </c>
      <c r="K54" s="19">
        <f t="shared" ref="K54:S54" si="19">K53/K45</f>
        <v>-0.17327437638645496</v>
      </c>
      <c r="L54" s="19">
        <f t="shared" si="19"/>
        <v>0.11063237709673</v>
      </c>
      <c r="M54" s="19">
        <f t="shared" si="19"/>
        <v>0.24369948792658697</v>
      </c>
      <c r="N54" s="19">
        <f t="shared" si="19"/>
        <v>0.32081357930608773</v>
      </c>
      <c r="O54" s="19">
        <f t="shared" si="19"/>
        <v>0.36978047868431763</v>
      </c>
      <c r="P54" s="19">
        <f t="shared" si="19"/>
        <v>0.37273003700222085</v>
      </c>
      <c r="Q54" s="19">
        <f t="shared" si="19"/>
        <v>0.36979444671737077</v>
      </c>
      <c r="R54" s="19">
        <f t="shared" si="19"/>
        <v>0.36217789328703598</v>
      </c>
      <c r="S54" s="19">
        <f t="shared" si="19"/>
        <v>0.35080740491180623</v>
      </c>
      <c r="T54" t="str">
        <f t="shared" ca="1" si="18"/>
        <v>=S53/S45</v>
      </c>
    </row>
    <row r="56" spans="1:20" ht="15.75" x14ac:dyDescent="0.25">
      <c r="A56" s="28" t="s">
        <v>182</v>
      </c>
    </row>
    <row r="57" spans="1:20" x14ac:dyDescent="0.25">
      <c r="B57" t="s">
        <v>191</v>
      </c>
      <c r="H57">
        <f>C12/C16*1000</f>
        <v>3528.3333333333335</v>
      </c>
      <c r="I57">
        <f>H57*(1+I58)</f>
        <v>4057.583333333333</v>
      </c>
      <c r="J57">
        <f t="shared" ref="J57:S57" si="20">I57*(1+J58)</f>
        <v>4666.2208333333328</v>
      </c>
      <c r="K57">
        <f t="shared" si="20"/>
        <v>5366.1539583333324</v>
      </c>
      <c r="L57">
        <f t="shared" si="20"/>
        <v>6171.0770520833321</v>
      </c>
      <c r="M57">
        <f t="shared" si="20"/>
        <v>7096.7386098958314</v>
      </c>
      <c r="N57">
        <f t="shared" si="20"/>
        <v>8161.2494013802052</v>
      </c>
      <c r="O57">
        <f t="shared" si="20"/>
        <v>9263.0180705665334</v>
      </c>
      <c r="P57">
        <f t="shared" si="20"/>
        <v>10388.474766140367</v>
      </c>
      <c r="Q57">
        <f t="shared" si="20"/>
        <v>11524.454481817816</v>
      </c>
      <c r="R57">
        <f t="shared" si="20"/>
        <v>12658.633669645917</v>
      </c>
      <c r="S57">
        <f t="shared" si="20"/>
        <v>13779.853158984301</v>
      </c>
    </row>
    <row r="58" spans="1:20" x14ac:dyDescent="0.25">
      <c r="B58" t="s">
        <v>192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25">
      <c r="B60" t="s">
        <v>193</v>
      </c>
      <c r="C60" s="30">
        <v>0.9</v>
      </c>
    </row>
    <row r="61" spans="1:20" x14ac:dyDescent="0.2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1">_xlfn.FORMULATEXT(C61)</f>
        <v>=INDEX(I3:S3,MATCH(MAX(K72:S72),I72:S72,0))</v>
      </c>
    </row>
    <row r="63" spans="1:20" x14ac:dyDescent="0.25">
      <c r="B63" t="s">
        <v>196</v>
      </c>
      <c r="C63" s="30">
        <v>0</v>
      </c>
    </row>
    <row r="64" spans="1:20" x14ac:dyDescent="0.25">
      <c r="B64" t="s">
        <v>198</v>
      </c>
      <c r="C64" s="30">
        <v>0.3</v>
      </c>
    </row>
    <row r="66" spans="2:20" x14ac:dyDescent="0.25">
      <c r="B66" t="s">
        <v>199</v>
      </c>
      <c r="C66" s="30">
        <v>0.85</v>
      </c>
    </row>
    <row r="67" spans="2:20" x14ac:dyDescent="0.25">
      <c r="B67" t="s">
        <v>200</v>
      </c>
      <c r="C67" s="30">
        <v>0.95</v>
      </c>
    </row>
    <row r="68" spans="2:20" x14ac:dyDescent="0.25">
      <c r="B68" t="s">
        <v>203</v>
      </c>
      <c r="C68" s="23">
        <v>0.03</v>
      </c>
    </row>
    <row r="69" spans="2:20" x14ac:dyDescent="0.25">
      <c r="B69" t="s">
        <v>202</v>
      </c>
      <c r="C69" s="22">
        <v>0</v>
      </c>
    </row>
    <row r="70" spans="2:20" x14ac:dyDescent="0.25">
      <c r="B70" t="s">
        <v>205</v>
      </c>
      <c r="C70" s="23">
        <v>0.25</v>
      </c>
    </row>
    <row r="72" spans="2:20" x14ac:dyDescent="0.25">
      <c r="B72" t="s">
        <v>206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2">_xlfn.FORMULATEXT(S72)</f>
        <v>=R72*0.9</v>
      </c>
    </row>
    <row r="73" spans="2:20" x14ac:dyDescent="0.25">
      <c r="B73" t="s">
        <v>207</v>
      </c>
      <c r="K73">
        <f>K57*K72*1000</f>
        <v>21464.61583333333</v>
      </c>
      <c r="L73">
        <f t="shared" ref="L73:S73" si="23">L57*L72*1000</f>
        <v>50602.831827083326</v>
      </c>
      <c r="M73">
        <f t="shared" si="23"/>
        <v>87999.558762708315</v>
      </c>
      <c r="N73">
        <f t="shared" si="23"/>
        <v>135476.74006291141</v>
      </c>
      <c r="O73">
        <f t="shared" si="23"/>
        <v>192670.77586778387</v>
      </c>
      <c r="P73">
        <f t="shared" si="23"/>
        <v>259711.86915350921</v>
      </c>
      <c r="Q73">
        <f t="shared" si="23"/>
        <v>259300.22584090091</v>
      </c>
      <c r="R73">
        <f t="shared" si="23"/>
        <v>256337.3318103299</v>
      </c>
      <c r="S73">
        <f t="shared" si="23"/>
        <v>251137.82382248895</v>
      </c>
      <c r="T73" t="str">
        <f t="shared" ca="1" si="22"/>
        <v>=S57*S72*1000</v>
      </c>
    </row>
    <row r="74" spans="2:20" x14ac:dyDescent="0.25">
      <c r="B74" s="3" t="s">
        <v>208</v>
      </c>
      <c r="K74">
        <f>K73*$C$63</f>
        <v>0</v>
      </c>
      <c r="L74">
        <f t="shared" ref="L74:S74" si="24">L73*$C$63</f>
        <v>0</v>
      </c>
      <c r="M74">
        <f t="shared" si="24"/>
        <v>0</v>
      </c>
      <c r="N74">
        <f t="shared" si="24"/>
        <v>0</v>
      </c>
      <c r="O74">
        <f t="shared" si="24"/>
        <v>0</v>
      </c>
      <c r="P74">
        <f t="shared" si="24"/>
        <v>0</v>
      </c>
      <c r="Q74">
        <f t="shared" si="24"/>
        <v>0</v>
      </c>
      <c r="R74">
        <f t="shared" si="24"/>
        <v>0</v>
      </c>
      <c r="S74">
        <f t="shared" si="24"/>
        <v>0</v>
      </c>
      <c r="T74" t="str">
        <f t="shared" ca="1" si="22"/>
        <v>=S73*$C$63</v>
      </c>
    </row>
    <row r="75" spans="2:20" x14ac:dyDescent="0.25">
      <c r="B75" s="3" t="s">
        <v>209</v>
      </c>
      <c r="K75">
        <f>K73-K74</f>
        <v>21464.61583333333</v>
      </c>
      <c r="L75">
        <f t="shared" ref="L75:S75" si="25">L73-L74</f>
        <v>50602.831827083326</v>
      </c>
      <c r="M75">
        <f t="shared" si="25"/>
        <v>87999.558762708315</v>
      </c>
      <c r="N75">
        <f t="shared" si="25"/>
        <v>135476.74006291141</v>
      </c>
      <c r="O75">
        <f t="shared" si="25"/>
        <v>192670.77586778387</v>
      </c>
      <c r="P75">
        <f t="shared" si="25"/>
        <v>259711.86915350921</v>
      </c>
      <c r="Q75">
        <f t="shared" si="25"/>
        <v>259300.22584090091</v>
      </c>
      <c r="R75">
        <f t="shared" si="25"/>
        <v>256337.3318103299</v>
      </c>
      <c r="S75">
        <f t="shared" si="25"/>
        <v>251137.82382248895</v>
      </c>
      <c r="T75" t="str">
        <f t="shared" ca="1" si="22"/>
        <v>=S73-S74</v>
      </c>
    </row>
    <row r="77" spans="2:20" x14ac:dyDescent="0.25">
      <c r="B77" t="s">
        <v>210</v>
      </c>
    </row>
    <row r="78" spans="2:20" x14ac:dyDescent="0.25">
      <c r="B78" t="s">
        <v>211</v>
      </c>
      <c r="K78">
        <f>K74</f>
        <v>0</v>
      </c>
      <c r="L78">
        <f t="shared" ref="L78:S78" si="26">L74</f>
        <v>0</v>
      </c>
      <c r="M78">
        <f t="shared" si="26"/>
        <v>0</v>
      </c>
      <c r="N78">
        <f t="shared" si="26"/>
        <v>0</v>
      </c>
      <c r="O78">
        <f t="shared" si="26"/>
        <v>0</v>
      </c>
      <c r="P78">
        <f t="shared" si="26"/>
        <v>0</v>
      </c>
      <c r="Q78">
        <f t="shared" si="26"/>
        <v>0</v>
      </c>
      <c r="R78">
        <f t="shared" si="26"/>
        <v>0</v>
      </c>
      <c r="S78">
        <f t="shared" si="26"/>
        <v>0</v>
      </c>
      <c r="T78" t="str">
        <f t="shared" ref="T78:T80" ca="1" si="27">_xlfn.FORMULATEXT(S78)</f>
        <v>=S74</v>
      </c>
    </row>
    <row r="79" spans="2:20" x14ac:dyDescent="0.25">
      <c r="B79" t="s">
        <v>212</v>
      </c>
      <c r="K79">
        <f>K75*$C$64</f>
        <v>6439.3847499999983</v>
      </c>
      <c r="L79">
        <f t="shared" ref="L79:S79" si="28">L75*$C$64</f>
        <v>15180.849548124997</v>
      </c>
      <c r="M79">
        <f t="shared" si="28"/>
        <v>26399.867628812495</v>
      </c>
      <c r="N79">
        <f t="shared" si="28"/>
        <v>40643.022018873424</v>
      </c>
      <c r="O79">
        <f t="shared" si="28"/>
        <v>57801.232760335159</v>
      </c>
      <c r="P79">
        <f t="shared" si="28"/>
        <v>77913.560746052754</v>
      </c>
      <c r="Q79">
        <f t="shared" si="28"/>
        <v>77790.067752270275</v>
      </c>
      <c r="R79">
        <f t="shared" si="28"/>
        <v>76901.199543098963</v>
      </c>
      <c r="S79">
        <f t="shared" si="28"/>
        <v>75341.347146746688</v>
      </c>
      <c r="T79" t="str">
        <f t="shared" ca="1" si="27"/>
        <v>=S75*$C$64</v>
      </c>
    </row>
    <row r="80" spans="2:20" x14ac:dyDescent="0.25">
      <c r="B80" s="78" t="s">
        <v>46</v>
      </c>
      <c r="K80">
        <f>SUM(K78:K79)</f>
        <v>6439.3847499999983</v>
      </c>
      <c r="L80">
        <f t="shared" ref="L80:S80" si="29">SUM(L78:L79)</f>
        <v>15180.849548124997</v>
      </c>
      <c r="M80">
        <f t="shared" si="29"/>
        <v>26399.867628812495</v>
      </c>
      <c r="N80">
        <f t="shared" si="29"/>
        <v>40643.022018873424</v>
      </c>
      <c r="O80">
        <f t="shared" si="29"/>
        <v>57801.232760335159</v>
      </c>
      <c r="P80">
        <f t="shared" si="29"/>
        <v>77913.560746052754</v>
      </c>
      <c r="Q80">
        <f t="shared" si="29"/>
        <v>77790.067752270275</v>
      </c>
      <c r="R80">
        <f t="shared" si="29"/>
        <v>76901.199543098963</v>
      </c>
      <c r="S80">
        <f t="shared" si="29"/>
        <v>75341.347146746688</v>
      </c>
      <c r="T80" t="str">
        <f t="shared" ca="1" si="27"/>
        <v>=SUM(S78:S79)</v>
      </c>
    </row>
    <row r="82" spans="1:20" x14ac:dyDescent="0.25">
      <c r="B82" t="s">
        <v>48</v>
      </c>
      <c r="K82">
        <f>$C$66*K78+$C$67*K79</f>
        <v>6117.4155124999979</v>
      </c>
      <c r="L82">
        <f t="shared" ref="L82:S82" si="30">$C$66*L78+$C$67*L79</f>
        <v>14421.807070718747</v>
      </c>
      <c r="M82">
        <f t="shared" si="30"/>
        <v>25079.87424737187</v>
      </c>
      <c r="N82">
        <f t="shared" si="30"/>
        <v>38610.870917929751</v>
      </c>
      <c r="O82">
        <f t="shared" si="30"/>
        <v>54911.171122318396</v>
      </c>
      <c r="P82">
        <f t="shared" si="30"/>
        <v>74017.882708750112</v>
      </c>
      <c r="Q82">
        <f t="shared" si="30"/>
        <v>73900.564364656762</v>
      </c>
      <c r="R82">
        <f t="shared" si="30"/>
        <v>73056.139565944017</v>
      </c>
      <c r="S82">
        <f t="shared" si="30"/>
        <v>71574.279789409353</v>
      </c>
      <c r="T82" t="str">
        <f t="shared" ref="T82:T83" ca="1" si="31">_xlfn.FORMULATEXT(S82)</f>
        <v>=$C$66*S78+$C$67*S79</v>
      </c>
    </row>
    <row r="83" spans="1:20" x14ac:dyDescent="0.25">
      <c r="B83" t="s">
        <v>213</v>
      </c>
      <c r="K83" s="19">
        <f>K82/K80</f>
        <v>0.95</v>
      </c>
      <c r="L83" s="19">
        <f t="shared" ref="L83:S83" si="32">L82/L80</f>
        <v>0.95</v>
      </c>
      <c r="M83" s="19">
        <f t="shared" si="32"/>
        <v>0.95</v>
      </c>
      <c r="N83" s="19">
        <f t="shared" si="32"/>
        <v>0.95</v>
      </c>
      <c r="O83" s="19">
        <f t="shared" si="32"/>
        <v>0.95</v>
      </c>
      <c r="P83" s="19">
        <f t="shared" si="32"/>
        <v>0.95</v>
      </c>
      <c r="Q83" s="19">
        <f t="shared" si="32"/>
        <v>0.95</v>
      </c>
      <c r="R83" s="19">
        <f t="shared" si="32"/>
        <v>0.95000000000000007</v>
      </c>
      <c r="S83" s="19">
        <f t="shared" si="32"/>
        <v>0.95</v>
      </c>
      <c r="T83" t="str">
        <f t="shared" ca="1" si="31"/>
        <v>=S82/S80</v>
      </c>
    </row>
    <row r="85" spans="1:20" x14ac:dyDescent="0.25">
      <c r="B85" t="s">
        <v>214</v>
      </c>
      <c r="K85">
        <f>-C69*1000</f>
        <v>0</v>
      </c>
      <c r="L85">
        <f t="shared" ref="L85:S85" si="33">-D69*1000</f>
        <v>0</v>
      </c>
      <c r="M85">
        <f t="shared" si="33"/>
        <v>0</v>
      </c>
      <c r="N85">
        <f t="shared" si="33"/>
        <v>0</v>
      </c>
      <c r="O85">
        <f t="shared" si="33"/>
        <v>0</v>
      </c>
      <c r="P85">
        <f t="shared" si="33"/>
        <v>0</v>
      </c>
      <c r="Q85">
        <f t="shared" si="33"/>
        <v>0</v>
      </c>
      <c r="R85">
        <f t="shared" si="33"/>
        <v>0</v>
      </c>
      <c r="S85">
        <f t="shared" si="33"/>
        <v>0</v>
      </c>
      <c r="T85" t="str">
        <f t="shared" ref="T85:T86" ca="1" si="34">_xlfn.FORMULATEXT(S85)</f>
        <v>=-K69*1000</v>
      </c>
    </row>
    <row r="86" spans="1:20" x14ac:dyDescent="0.25">
      <c r="B86" t="s">
        <v>215</v>
      </c>
      <c r="K86">
        <f>-C70*K78</f>
        <v>0</v>
      </c>
      <c r="L86">
        <f t="shared" ref="L86:S86" si="35">-D70*L78</f>
        <v>0</v>
      </c>
      <c r="M86">
        <f t="shared" si="35"/>
        <v>0</v>
      </c>
      <c r="N86">
        <f t="shared" si="35"/>
        <v>0</v>
      </c>
      <c r="O86">
        <f t="shared" si="35"/>
        <v>0</v>
      </c>
      <c r="P86">
        <f t="shared" si="35"/>
        <v>0</v>
      </c>
      <c r="Q86">
        <f t="shared" si="35"/>
        <v>0</v>
      </c>
      <c r="R86">
        <f t="shared" si="35"/>
        <v>0</v>
      </c>
      <c r="S86">
        <f t="shared" si="35"/>
        <v>0</v>
      </c>
      <c r="T86" t="str">
        <f t="shared" ca="1" si="34"/>
        <v>=-K70*S78</v>
      </c>
    </row>
    <row r="88" spans="1:20" x14ac:dyDescent="0.25">
      <c r="B88" s="78" t="s">
        <v>52</v>
      </c>
      <c r="K88">
        <f>K82+K85+K86</f>
        <v>6117.4155124999979</v>
      </c>
      <c r="L88">
        <f t="shared" ref="L88:S88" si="36">L82+L85+L86</f>
        <v>14421.807070718747</v>
      </c>
      <c r="M88">
        <f t="shared" si="36"/>
        <v>25079.87424737187</v>
      </c>
      <c r="N88">
        <f t="shared" si="36"/>
        <v>38610.870917929751</v>
      </c>
      <c r="O88">
        <f t="shared" si="36"/>
        <v>54911.171122318396</v>
      </c>
      <c r="P88">
        <f t="shared" si="36"/>
        <v>74017.882708750112</v>
      </c>
      <c r="Q88">
        <f t="shared" si="36"/>
        <v>73900.564364656762</v>
      </c>
      <c r="R88">
        <f t="shared" si="36"/>
        <v>73056.139565944017</v>
      </c>
      <c r="S88">
        <f t="shared" si="36"/>
        <v>71574.279789409353</v>
      </c>
      <c r="T88" t="str">
        <f t="shared" ref="T88:T89" ca="1" si="37">_xlfn.FORMULATEXT(S88)</f>
        <v>=S82+S85+S86</v>
      </c>
    </row>
    <row r="89" spans="1:20" x14ac:dyDescent="0.25">
      <c r="B89" t="s">
        <v>216</v>
      </c>
      <c r="K89" s="19">
        <f>K88/K80</f>
        <v>0.95</v>
      </c>
      <c r="L89" s="19">
        <f t="shared" ref="L89:S89" si="38">L88/L80</f>
        <v>0.95</v>
      </c>
      <c r="M89" s="19">
        <f t="shared" si="38"/>
        <v>0.95</v>
      </c>
      <c r="N89" s="19">
        <f t="shared" si="38"/>
        <v>0.95</v>
      </c>
      <c r="O89" s="19">
        <f t="shared" si="38"/>
        <v>0.95</v>
      </c>
      <c r="P89" s="19">
        <f t="shared" si="38"/>
        <v>0.95</v>
      </c>
      <c r="Q89" s="19">
        <f t="shared" si="38"/>
        <v>0.95</v>
      </c>
      <c r="R89" s="19">
        <f t="shared" si="38"/>
        <v>0.95000000000000007</v>
      </c>
      <c r="S89" s="19">
        <f t="shared" si="38"/>
        <v>0.95</v>
      </c>
      <c r="T89" t="str">
        <f t="shared" ca="1" si="37"/>
        <v>=S88/S80</v>
      </c>
    </row>
    <row r="91" spans="1:20" ht="15.75" x14ac:dyDescent="0.25">
      <c r="A91" s="34" t="s">
        <v>217</v>
      </c>
      <c r="B91" s="35"/>
      <c r="H91" s="36"/>
    </row>
    <row r="92" spans="1:20" x14ac:dyDescent="0.25">
      <c r="B92" t="s">
        <v>44</v>
      </c>
      <c r="J92">
        <f>J45+J80</f>
        <v>11249.243550000001</v>
      </c>
      <c r="K92">
        <f t="shared" ref="K92:S92" si="39">K45+K80</f>
        <v>33994.406825724996</v>
      </c>
      <c r="L92">
        <f t="shared" si="39"/>
        <v>61113.873303920496</v>
      </c>
      <c r="M92">
        <f t="shared" si="39"/>
        <v>92983.613314817732</v>
      </c>
      <c r="N92">
        <f t="shared" si="39"/>
        <v>130368.01646064738</v>
      </c>
      <c r="O92">
        <f t="shared" si="39"/>
        <v>172689.02302237274</v>
      </c>
      <c r="P92">
        <f t="shared" si="39"/>
        <v>186756.52992345326</v>
      </c>
      <c r="Q92">
        <f t="shared" si="39"/>
        <v>180390.51169695472</v>
      </c>
      <c r="R92">
        <f t="shared" si="39"/>
        <v>173179.59394273331</v>
      </c>
      <c r="S92">
        <f t="shared" si="39"/>
        <v>165317.7107092964</v>
      </c>
      <c r="T92" t="str">
        <f t="shared" ref="T92:T97" ca="1" si="40">_xlfn.FORMULATEXT(S92)</f>
        <v>=S45+S80</v>
      </c>
    </row>
    <row r="93" spans="1:20" x14ac:dyDescent="0.25">
      <c r="B93" t="s">
        <v>48</v>
      </c>
      <c r="J93">
        <f>J47+J82</f>
        <v>9132.6095662500011</v>
      </c>
      <c r="K93">
        <f t="shared" ref="K93:S93" si="41">K47+K82</f>
        <v>28487.742645029371</v>
      </c>
      <c r="L93">
        <f t="shared" si="41"/>
        <v>51712.169777726405</v>
      </c>
      <c r="M93">
        <f t="shared" si="41"/>
        <v>79135.36252140507</v>
      </c>
      <c r="N93">
        <f t="shared" si="41"/>
        <v>111453.39930026466</v>
      </c>
      <c r="O93">
        <f t="shared" si="41"/>
        <v>148181.91663768311</v>
      </c>
      <c r="P93">
        <f t="shared" si="41"/>
        <v>159115.89887350192</v>
      </c>
      <c r="Q93">
        <f t="shared" si="41"/>
        <v>151039.89814096293</v>
      </c>
      <c r="R93">
        <f t="shared" si="41"/>
        <v>142553.93847073271</v>
      </c>
      <c r="S93">
        <f t="shared" si="41"/>
        <v>133823.71658044707</v>
      </c>
      <c r="T93" t="str">
        <f t="shared" ca="1" si="40"/>
        <v>=S47+S82</v>
      </c>
    </row>
    <row r="94" spans="1:20" x14ac:dyDescent="0.25">
      <c r="B94" t="s">
        <v>213</v>
      </c>
      <c r="J94" s="19">
        <f>J93/J92</f>
        <v>0.81184210526315792</v>
      </c>
      <c r="K94" s="19">
        <f t="shared" ref="K94:S94" si="42">K93/K92</f>
        <v>0.83801264105221862</v>
      </c>
      <c r="L94" s="19">
        <f t="shared" si="42"/>
        <v>0.84616089575211129</v>
      </c>
      <c r="M94" s="19">
        <f t="shared" si="42"/>
        <v>0.85106783550638998</v>
      </c>
      <c r="N94" s="19">
        <f t="shared" si="42"/>
        <v>0.85491366921201684</v>
      </c>
      <c r="O94" s="19">
        <f t="shared" si="42"/>
        <v>0.85808532612107835</v>
      </c>
      <c r="P94" s="19">
        <f t="shared" si="42"/>
        <v>0.85199644124207852</v>
      </c>
      <c r="Q94" s="19">
        <f t="shared" si="42"/>
        <v>0.83729402794034391</v>
      </c>
      <c r="R94" s="19">
        <f t="shared" si="42"/>
        <v>0.82315667351588884</v>
      </c>
      <c r="S94" s="19">
        <f t="shared" si="42"/>
        <v>0.80949413106602919</v>
      </c>
      <c r="T94" t="str">
        <f t="shared" ca="1" si="40"/>
        <v>=S93/S92</v>
      </c>
    </row>
    <row r="95" spans="1:20" x14ac:dyDescent="0.25">
      <c r="B95" t="s">
        <v>218</v>
      </c>
      <c r="J95">
        <f>J50+J51+J85+J86</f>
        <v>-22590.286343749998</v>
      </c>
      <c r="K95">
        <f t="shared" ref="K95:S95" si="43">K50+K51+K85+K86</f>
        <v>-27144.906399015625</v>
      </c>
      <c r="L95">
        <f t="shared" si="43"/>
        <v>-32208.683101663439</v>
      </c>
      <c r="M95">
        <f t="shared" si="43"/>
        <v>-37829.063546119629</v>
      </c>
      <c r="N95">
        <f t="shared" si="43"/>
        <v>-44057.531762250583</v>
      </c>
      <c r="O95">
        <f t="shared" si="43"/>
        <v>-50787.483437284973</v>
      </c>
      <c r="P95">
        <f t="shared" si="43"/>
        <v>-44528.97223582775</v>
      </c>
      <c r="Q95">
        <f t="shared" si="43"/>
        <v>-39198.259374824978</v>
      </c>
      <c r="R95">
        <f t="shared" si="43"/>
        <v>-34627.892852070756</v>
      </c>
      <c r="S95">
        <f t="shared" si="43"/>
        <v>-30685.062186258441</v>
      </c>
      <c r="T95" t="str">
        <f t="shared" ca="1" si="40"/>
        <v>=S50+S51+S85+S86</v>
      </c>
    </row>
    <row r="96" spans="1:20" x14ac:dyDescent="0.25">
      <c r="B96" t="s">
        <v>52</v>
      </c>
      <c r="J96">
        <f>J53+J88</f>
        <v>-13457.676777499999</v>
      </c>
      <c r="K96">
        <f t="shared" ref="K96:S96" si="44">K53+K88</f>
        <v>1342.8362460137487</v>
      </c>
      <c r="L96">
        <f t="shared" si="44"/>
        <v>19503.486676062974</v>
      </c>
      <c r="M96">
        <f t="shared" si="44"/>
        <v>41306.298975285441</v>
      </c>
      <c r="N96">
        <f t="shared" si="44"/>
        <v>67395.867538014078</v>
      </c>
      <c r="O96">
        <f t="shared" si="44"/>
        <v>97394.43320039814</v>
      </c>
      <c r="P96">
        <f t="shared" si="44"/>
        <v>114586.92663767419</v>
      </c>
      <c r="Q96">
        <f t="shared" si="44"/>
        <v>111841.63876613797</v>
      </c>
      <c r="R96">
        <f t="shared" si="44"/>
        <v>107926.04561866194</v>
      </c>
      <c r="S96">
        <f t="shared" si="44"/>
        <v>103138.65439418862</v>
      </c>
      <c r="T96" t="str">
        <f t="shared" ca="1" si="40"/>
        <v>=S53+S88</v>
      </c>
    </row>
    <row r="97" spans="1:22" x14ac:dyDescent="0.25">
      <c r="B97" t="s">
        <v>216</v>
      </c>
      <c r="J97" s="19">
        <f>J96/J92</f>
        <v>-1.1963183762253951</v>
      </c>
      <c r="K97" s="19">
        <f t="shared" ref="K97:S97" si="45">K96/K92</f>
        <v>3.9501681935440278E-2</v>
      </c>
      <c r="L97" s="19">
        <f t="shared" si="45"/>
        <v>0.31913353910775299</v>
      </c>
      <c r="M97" s="19">
        <f t="shared" si="45"/>
        <v>0.44423202651238475</v>
      </c>
      <c r="N97" s="19">
        <f t="shared" si="45"/>
        <v>0.51696627261609107</v>
      </c>
      <c r="O97" s="19">
        <f t="shared" si="45"/>
        <v>0.56398740056442498</v>
      </c>
      <c r="P97" s="19">
        <f t="shared" si="45"/>
        <v>0.6135631599314918</v>
      </c>
      <c r="Q97" s="19">
        <f t="shared" si="45"/>
        <v>0.61999734749921454</v>
      </c>
      <c r="R97" s="19">
        <f t="shared" si="45"/>
        <v>0.62320301810125922</v>
      </c>
      <c r="S97" s="19">
        <f t="shared" si="45"/>
        <v>0.62388145802208217</v>
      </c>
      <c r="T97" t="str">
        <f t="shared" ca="1" si="40"/>
        <v>=S96/S92</v>
      </c>
    </row>
    <row r="99" spans="1:22" ht="15.75" x14ac:dyDescent="0.25">
      <c r="A99" s="34" t="s">
        <v>219</v>
      </c>
      <c r="B99" s="35"/>
      <c r="H99" s="36"/>
    </row>
    <row r="100" spans="1:22" x14ac:dyDescent="0.25">
      <c r="B100" t="s">
        <v>44</v>
      </c>
      <c r="J100">
        <f>J92*$C$60</f>
        <v>10124.319195000002</v>
      </c>
      <c r="K100">
        <f t="shared" ref="K100:S100" si="46">K92*$C$60</f>
        <v>30594.966143152498</v>
      </c>
      <c r="L100">
        <f t="shared" si="46"/>
        <v>55002.485973528448</v>
      </c>
      <c r="M100">
        <f t="shared" si="46"/>
        <v>83685.251983335955</v>
      </c>
      <c r="N100">
        <f t="shared" si="46"/>
        <v>117331.21481458265</v>
      </c>
      <c r="O100">
        <f t="shared" si="46"/>
        <v>155420.12072013548</v>
      </c>
      <c r="P100">
        <f t="shared" si="46"/>
        <v>168080.87693110792</v>
      </c>
      <c r="Q100">
        <f t="shared" si="46"/>
        <v>162351.46052725925</v>
      </c>
      <c r="R100">
        <f t="shared" si="46"/>
        <v>155861.63454845999</v>
      </c>
      <c r="S100">
        <f t="shared" si="46"/>
        <v>148785.93963836678</v>
      </c>
      <c r="T100" t="str">
        <f t="shared" ref="T100:T105" ca="1" si="47">_xlfn.FORMULATEXT(S100)</f>
        <v>=S92*$C$60</v>
      </c>
      <c r="V100" s="33"/>
    </row>
    <row r="101" spans="1:22" x14ac:dyDescent="0.25">
      <c r="B101" t="s">
        <v>48</v>
      </c>
      <c r="J101">
        <f>J93*$C$60</f>
        <v>8219.3486096250017</v>
      </c>
      <c r="K101">
        <f t="shared" ref="K101:S101" si="48">K93*$C$60</f>
        <v>25638.968380526436</v>
      </c>
      <c r="L101">
        <f t="shared" si="48"/>
        <v>46540.952799953768</v>
      </c>
      <c r="M101">
        <f t="shared" si="48"/>
        <v>71221.826269264566</v>
      </c>
      <c r="N101">
        <f t="shared" si="48"/>
        <v>100308.0593702382</v>
      </c>
      <c r="O101">
        <f t="shared" si="48"/>
        <v>133363.7249739148</v>
      </c>
      <c r="P101">
        <f t="shared" si="48"/>
        <v>143204.30898615174</v>
      </c>
      <c r="Q101">
        <f t="shared" si="48"/>
        <v>135935.90832686666</v>
      </c>
      <c r="R101">
        <f t="shared" si="48"/>
        <v>128298.54462365944</v>
      </c>
      <c r="S101">
        <f t="shared" si="48"/>
        <v>120441.34492240236</v>
      </c>
      <c r="T101" t="str">
        <f t="shared" ca="1" si="47"/>
        <v>=S93*$C$60</v>
      </c>
      <c r="V101" s="33"/>
    </row>
    <row r="102" spans="1:22" x14ac:dyDescent="0.25">
      <c r="B102" t="s">
        <v>213</v>
      </c>
      <c r="J102" s="19">
        <f>J101/J100</f>
        <v>0.81184210526315792</v>
      </c>
      <c r="K102" s="19">
        <f t="shared" ref="K102:S102" si="49">K101/K100</f>
        <v>0.83801264105221862</v>
      </c>
      <c r="L102" s="19">
        <f t="shared" si="49"/>
        <v>0.84616089575211129</v>
      </c>
      <c r="M102" s="19">
        <f t="shared" si="49"/>
        <v>0.85106783550639009</v>
      </c>
      <c r="N102" s="19">
        <f t="shared" si="49"/>
        <v>0.85491366921201684</v>
      </c>
      <c r="O102" s="19">
        <f t="shared" si="49"/>
        <v>0.85808532612107813</v>
      </c>
      <c r="P102" s="19">
        <f t="shared" si="49"/>
        <v>0.85199644124207863</v>
      </c>
      <c r="Q102" s="19">
        <f t="shared" si="49"/>
        <v>0.83729402794034402</v>
      </c>
      <c r="R102" s="19">
        <f t="shared" si="49"/>
        <v>0.82315667351588873</v>
      </c>
      <c r="S102" s="19">
        <f t="shared" si="49"/>
        <v>0.80949413106602908</v>
      </c>
      <c r="T102" t="str">
        <f t="shared" ca="1" si="47"/>
        <v>=S101/S100</v>
      </c>
    </row>
    <row r="103" spans="1:22" x14ac:dyDescent="0.25">
      <c r="B103" t="s">
        <v>218</v>
      </c>
      <c r="J103">
        <f>J95*$C$60</f>
        <v>-20331.257709375001</v>
      </c>
      <c r="K103">
        <f t="shared" ref="K103:S103" si="50">K95*$C$60</f>
        <v>-24430.415759114061</v>
      </c>
      <c r="L103">
        <f t="shared" si="50"/>
        <v>-28987.814791497094</v>
      </c>
      <c r="M103">
        <f t="shared" si="50"/>
        <v>-34046.157191507664</v>
      </c>
      <c r="N103">
        <f t="shared" si="50"/>
        <v>-39651.778586025524</v>
      </c>
      <c r="O103">
        <f t="shared" si="50"/>
        <v>-45708.735093556475</v>
      </c>
      <c r="P103">
        <f t="shared" si="50"/>
        <v>-40076.075012244975</v>
      </c>
      <c r="Q103">
        <f t="shared" si="50"/>
        <v>-35278.433437342479</v>
      </c>
      <c r="R103">
        <f t="shared" si="50"/>
        <v>-31165.10356686368</v>
      </c>
      <c r="S103">
        <f t="shared" si="50"/>
        <v>-27616.555967632597</v>
      </c>
      <c r="T103" t="str">
        <f t="shared" ca="1" si="47"/>
        <v>=S95*$C$60</v>
      </c>
    </row>
    <row r="104" spans="1:22" x14ac:dyDescent="0.25">
      <c r="B104" t="s">
        <v>52</v>
      </c>
      <c r="J104">
        <f>J96*$C$60</f>
        <v>-12111.909099749999</v>
      </c>
      <c r="K104">
        <f t="shared" ref="K104:S104" si="51">K96*$C$60</f>
        <v>1208.5526214123738</v>
      </c>
      <c r="L104">
        <f t="shared" si="51"/>
        <v>17553.138008456677</v>
      </c>
      <c r="M104">
        <f t="shared" si="51"/>
        <v>37175.669077756895</v>
      </c>
      <c r="N104">
        <f t="shared" si="51"/>
        <v>60656.280784212671</v>
      </c>
      <c r="O104">
        <f t="shared" si="51"/>
        <v>87654.989880358335</v>
      </c>
      <c r="P104">
        <f t="shared" si="51"/>
        <v>103128.23397390677</v>
      </c>
      <c r="Q104">
        <f t="shared" si="51"/>
        <v>100657.47488952418</v>
      </c>
      <c r="R104">
        <f t="shared" si="51"/>
        <v>97133.441056795753</v>
      </c>
      <c r="S104">
        <f t="shared" si="51"/>
        <v>92824.788954769756</v>
      </c>
      <c r="T104" t="str">
        <f t="shared" ca="1" si="47"/>
        <v>=S96*$C$60</v>
      </c>
      <c r="V104" s="33"/>
    </row>
    <row r="105" spans="1:22" x14ac:dyDescent="0.25">
      <c r="B105" t="s">
        <v>216</v>
      </c>
      <c r="J105" s="19">
        <f>J104/J100</f>
        <v>-1.1963183762253948</v>
      </c>
      <c r="K105" s="19">
        <f t="shared" ref="K105:S105" si="52">K104/K100</f>
        <v>3.9501681935440271E-2</v>
      </c>
      <c r="L105" s="19">
        <f t="shared" si="52"/>
        <v>0.31913353910775299</v>
      </c>
      <c r="M105" s="19">
        <f t="shared" si="52"/>
        <v>0.44423202651238475</v>
      </c>
      <c r="N105" s="19">
        <f t="shared" si="52"/>
        <v>0.51696627261609096</v>
      </c>
      <c r="O105" s="19">
        <f t="shared" si="52"/>
        <v>0.56398740056442498</v>
      </c>
      <c r="P105" s="19">
        <f t="shared" si="52"/>
        <v>0.6135631599314918</v>
      </c>
      <c r="Q105" s="19">
        <f t="shared" si="52"/>
        <v>0.61999734749921465</v>
      </c>
      <c r="R105" s="19">
        <f t="shared" si="52"/>
        <v>0.62320301810125922</v>
      </c>
      <c r="S105" s="19">
        <f t="shared" si="52"/>
        <v>0.62388145802208206</v>
      </c>
      <c r="T105" t="str">
        <f t="shared" ca="1" si="47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5" x14ac:dyDescent="0.25"/>
  <sheetData>
    <row r="1" spans="2:2" x14ac:dyDescent="0.25">
      <c r="B1" t="s">
        <v>220</v>
      </c>
    </row>
    <row r="2" spans="2:2" x14ac:dyDescent="0.25">
      <c r="B2" t="s">
        <v>221</v>
      </c>
    </row>
    <row r="3" spans="2:2" x14ac:dyDescent="0.25">
      <c r="B3" t="s">
        <v>222</v>
      </c>
    </row>
    <row r="4" spans="2:2" x14ac:dyDescent="0.25">
      <c r="B4" t="s">
        <v>223</v>
      </c>
    </row>
    <row r="5" spans="2:2" x14ac:dyDescent="0.25">
      <c r="B5" t="s">
        <v>224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MediaLengthInSeconds xmlns="69eded41-6c5d-4718-b7b7-dbfd1652bccf" xsi:nil="true"/>
    <SharedWithUsers xmlns="6ea4884f-dd23-4a9e-9674-e0962577458b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44B122-7059-4389-964B-7B23F84A2CC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30D30033-BEDA-48F3-A966-68EE3D21B0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172B33-5DAE-4F9F-97AC-CD248D6B0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Andrew Jones</cp:lastModifiedBy>
  <cp:revision/>
  <dcterms:created xsi:type="dcterms:W3CDTF">2021-01-14T11:38:36Z</dcterms:created>
  <dcterms:modified xsi:type="dcterms:W3CDTF">2026-02-18T13:56:33Z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