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sporg.sharepoint.com/FE Materials/Materials Development/11000 Industry Specific/11550 Healthcare/Elearning/18. Cash flow statement - Final/"/>
    </mc:Choice>
  </mc:AlternateContent>
  <xr:revisionPtr revIDLastSave="6" documentId="13_ncr:1_{77481C62-D337-4D2C-9EB1-AB4354B9977E}" xr6:coauthVersionLast="47" xr6:coauthVersionMax="47" xr10:uidLastSave="{509F2EE6-407D-4AB1-978D-78A7A676B476}"/>
  <bookViews>
    <workbookView xWindow="-98" yWindow="-98" windowWidth="21795" windowHeight="13875" activeTab="4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4" i="7" l="1"/>
  <c r="H14" i="7"/>
  <c r="H32" i="7"/>
  <c r="E47" i="7"/>
  <c r="F47" i="7"/>
  <c r="G47" i="7"/>
  <c r="D47" i="7"/>
  <c r="D46" i="7"/>
  <c r="E44" i="7"/>
  <c r="F44" i="7"/>
  <c r="G44" i="7"/>
  <c r="D44" i="7"/>
  <c r="D42" i="7"/>
  <c r="D49" i="7" s="1"/>
  <c r="E42" i="7"/>
  <c r="E49" i="7" s="1"/>
  <c r="F42" i="7"/>
  <c r="F49" i="7" s="1"/>
  <c r="G42" i="7"/>
  <c r="D43" i="7"/>
  <c r="E43" i="7"/>
  <c r="F43" i="7"/>
  <c r="G43" i="7"/>
  <c r="C43" i="7"/>
  <c r="C42" i="7"/>
  <c r="D39" i="7"/>
  <c r="E39" i="7"/>
  <c r="E46" i="7" s="1"/>
  <c r="F39" i="7"/>
  <c r="F46" i="7" s="1"/>
  <c r="G39" i="7"/>
  <c r="H38" i="7" s="1"/>
  <c r="C39" i="7"/>
  <c r="C46" i="7" s="1"/>
  <c r="H30" i="7"/>
  <c r="H25" i="7"/>
  <c r="H19" i="7"/>
  <c r="H18" i="7"/>
  <c r="D41" i="6"/>
  <c r="E41" i="6"/>
  <c r="F41" i="6"/>
  <c r="G41" i="6"/>
  <c r="D42" i="6"/>
  <c r="D46" i="6" s="1"/>
  <c r="E42" i="6"/>
  <c r="E46" i="6" s="1"/>
  <c r="F42" i="6"/>
  <c r="F46" i="6" s="1"/>
  <c r="G42" i="6"/>
  <c r="D43" i="6"/>
  <c r="E43" i="6"/>
  <c r="F43" i="6"/>
  <c r="G43" i="6"/>
  <c r="G46" i="6" s="1"/>
  <c r="H43" i="6"/>
  <c r="D44" i="6"/>
  <c r="E44" i="6"/>
  <c r="F44" i="6"/>
  <c r="G44" i="6"/>
  <c r="D45" i="6"/>
  <c r="E45" i="6"/>
  <c r="F45" i="6"/>
  <c r="G45" i="6"/>
  <c r="H45" i="6"/>
  <c r="C46" i="6"/>
  <c r="C45" i="6"/>
  <c r="C44" i="6"/>
  <c r="C43" i="6"/>
  <c r="C42" i="6"/>
  <c r="C41" i="6"/>
  <c r="H15" i="7"/>
  <c r="D76" i="6"/>
  <c r="E76" i="6"/>
  <c r="F76" i="6"/>
  <c r="G76" i="6"/>
  <c r="C76" i="6"/>
  <c r="D74" i="6"/>
  <c r="E74" i="6"/>
  <c r="F74" i="6"/>
  <c r="G74" i="6"/>
  <c r="C74" i="6"/>
  <c r="D71" i="6"/>
  <c r="E71" i="6"/>
  <c r="F71" i="6"/>
  <c r="G71" i="6"/>
  <c r="C71" i="6"/>
  <c r="H69" i="6"/>
  <c r="H67" i="6"/>
  <c r="H43" i="7" s="1"/>
  <c r="H64" i="6"/>
  <c r="H63" i="6"/>
  <c r="H62" i="6"/>
  <c r="H42" i="7" s="1"/>
  <c r="D60" i="6"/>
  <c r="E60" i="6"/>
  <c r="F60" i="6"/>
  <c r="G60" i="6"/>
  <c r="C60" i="6"/>
  <c r="H57" i="6"/>
  <c r="H53" i="6"/>
  <c r="H52" i="6"/>
  <c r="H51" i="6"/>
  <c r="H35" i="6"/>
  <c r="G38" i="6"/>
  <c r="H32" i="6"/>
  <c r="H31" i="6"/>
  <c r="H30" i="6"/>
  <c r="H29" i="6"/>
  <c r="G32" i="6"/>
  <c r="H25" i="6"/>
  <c r="H23" i="6"/>
  <c r="H19" i="6"/>
  <c r="H17" i="6"/>
  <c r="D26" i="6"/>
  <c r="E26" i="6"/>
  <c r="F26" i="6"/>
  <c r="G26" i="6"/>
  <c r="C26" i="6"/>
  <c r="D20" i="6"/>
  <c r="E20" i="6"/>
  <c r="F20" i="6"/>
  <c r="G20" i="6"/>
  <c r="C20" i="6"/>
  <c r="H54" i="2"/>
  <c r="D47" i="2"/>
  <c r="E47" i="2"/>
  <c r="F47" i="2"/>
  <c r="G47" i="2"/>
  <c r="C47" i="2"/>
  <c r="H45" i="2"/>
  <c r="H44" i="2"/>
  <c r="H35" i="2"/>
  <c r="D41" i="2"/>
  <c r="E41" i="2"/>
  <c r="F41" i="2"/>
  <c r="G41" i="2"/>
  <c r="C41" i="2"/>
  <c r="D38" i="2"/>
  <c r="E38" i="2"/>
  <c r="F38" i="2"/>
  <c r="G38" i="2"/>
  <c r="C38" i="2"/>
  <c r="D36" i="2"/>
  <c r="E36" i="2"/>
  <c r="F36" i="2"/>
  <c r="G36" i="2"/>
  <c r="C36" i="2"/>
  <c r="D31" i="2"/>
  <c r="E31" i="2"/>
  <c r="F31" i="2"/>
  <c r="G31" i="2"/>
  <c r="C31" i="2"/>
  <c r="D28" i="2"/>
  <c r="E28" i="2"/>
  <c r="F28" i="2"/>
  <c r="G28" i="2"/>
  <c r="C28" i="2"/>
  <c r="H27" i="2"/>
  <c r="H26" i="2"/>
  <c r="H18" i="2"/>
  <c r="I21" i="2"/>
  <c r="I51" i="2"/>
  <c r="T97" i="4"/>
  <c r="I55" i="6"/>
  <c r="I26" i="2"/>
  <c r="I35" i="2"/>
  <c r="I18" i="7"/>
  <c r="I49" i="7"/>
  <c r="T83" i="4"/>
  <c r="T43" i="4"/>
  <c r="I56" i="6"/>
  <c r="I43" i="7"/>
  <c r="I58" i="6"/>
  <c r="I28" i="1"/>
  <c r="I24" i="7"/>
  <c r="I43" i="6"/>
  <c r="T104" i="4"/>
  <c r="I31" i="7"/>
  <c r="I52" i="6"/>
  <c r="I27" i="2"/>
  <c r="I55" i="2"/>
  <c r="T96" i="4"/>
  <c r="T75" i="4"/>
  <c r="T37" i="4"/>
  <c r="I68" i="6"/>
  <c r="I51" i="6"/>
  <c r="T72" i="4"/>
  <c r="T86" i="4"/>
  <c r="I42" i="7"/>
  <c r="T39" i="4"/>
  <c r="I41" i="1"/>
  <c r="I30" i="7"/>
  <c r="I60" i="6"/>
  <c r="I23" i="7"/>
  <c r="I54" i="2"/>
  <c r="I29" i="6"/>
  <c r="I42" i="1"/>
  <c r="I20" i="6"/>
  <c r="I44" i="1"/>
  <c r="I25" i="7"/>
  <c r="I22" i="2"/>
  <c r="I19" i="7"/>
  <c r="I26" i="7"/>
  <c r="T102" i="4"/>
  <c r="T88" i="4"/>
  <c r="T82" i="4"/>
  <c r="T44" i="4"/>
  <c r="I34" i="1"/>
  <c r="I76" i="6"/>
  <c r="I24" i="6"/>
  <c r="I36" i="2"/>
  <c r="I32" i="7"/>
  <c r="I46" i="7"/>
  <c r="I36" i="7"/>
  <c r="I64" i="6"/>
  <c r="I32" i="1"/>
  <c r="I19" i="2"/>
  <c r="I45" i="1"/>
  <c r="D61" i="4"/>
  <c r="I48" i="2"/>
  <c r="T45" i="4"/>
  <c r="I25" i="2"/>
  <c r="T38" i="4"/>
  <c r="I17" i="7"/>
  <c r="I34" i="7"/>
  <c r="I53" i="6"/>
  <c r="I40" i="2"/>
  <c r="I19" i="6"/>
  <c r="I35" i="6"/>
  <c r="T78" i="4"/>
  <c r="I26" i="6"/>
  <c r="T50" i="4"/>
  <c r="T85" i="4"/>
  <c r="I27" i="7"/>
  <c r="I36" i="1"/>
  <c r="T93" i="4"/>
  <c r="I17" i="6"/>
  <c r="I44" i="6"/>
  <c r="I26" i="1"/>
  <c r="T51" i="4"/>
  <c r="I56" i="2"/>
  <c r="I32" i="6"/>
  <c r="I38" i="2"/>
  <c r="I23" i="6"/>
  <c r="I20" i="7"/>
  <c r="I37" i="1"/>
  <c r="T40" i="4"/>
  <c r="I71" i="6"/>
  <c r="T103" i="4"/>
  <c r="I47" i="2"/>
  <c r="I37" i="6"/>
  <c r="I30" i="1"/>
  <c r="D23" i="4"/>
  <c r="I25" i="1"/>
  <c r="T101" i="4"/>
  <c r="I67" i="6"/>
  <c r="T18" i="4"/>
  <c r="I46" i="6"/>
  <c r="I18" i="2"/>
  <c r="I33" i="1"/>
  <c r="I36" i="6"/>
  <c r="T94" i="4"/>
  <c r="I14" i="7"/>
  <c r="I28" i="2"/>
  <c r="I43" i="1"/>
  <c r="T92" i="4"/>
  <c r="I50" i="6"/>
  <c r="I69" i="6"/>
  <c r="T100" i="4"/>
  <c r="I35" i="1"/>
  <c r="T105" i="4"/>
  <c r="I24" i="2"/>
  <c r="I57" i="6"/>
  <c r="T95" i="4"/>
  <c r="I52" i="2"/>
  <c r="I42" i="6"/>
  <c r="I38" i="1"/>
  <c r="I15" i="7"/>
  <c r="I41" i="2"/>
  <c r="D22" i="4"/>
  <c r="T48" i="4"/>
  <c r="T53" i="4"/>
  <c r="I31" i="2"/>
  <c r="I29" i="1"/>
  <c r="I33" i="7"/>
  <c r="T80" i="4"/>
  <c r="I30" i="6"/>
  <c r="I25" i="6"/>
  <c r="I74" i="6"/>
  <c r="T47" i="4"/>
  <c r="T74" i="4"/>
  <c r="T79" i="4"/>
  <c r="I41" i="6"/>
  <c r="I73" i="6"/>
  <c r="I62" i="6"/>
  <c r="I17" i="2"/>
  <c r="I16" i="7"/>
  <c r="I38" i="6"/>
  <c r="I31" i="1"/>
  <c r="I31" i="6"/>
  <c r="I39" i="1"/>
  <c r="I47" i="7"/>
  <c r="T54" i="4"/>
  <c r="I18" i="6"/>
  <c r="T73" i="4"/>
  <c r="I45" i="6"/>
  <c r="T89" i="4"/>
  <c r="I38" i="7"/>
  <c r="I27" i="1"/>
  <c r="I45" i="2"/>
  <c r="I44" i="2"/>
  <c r="I39" i="7"/>
  <c r="I40" i="1"/>
  <c r="I13" i="7"/>
  <c r="I49" i="6"/>
  <c r="I53" i="2"/>
  <c r="I44" i="7"/>
  <c r="I63" i="6"/>
  <c r="C49" i="7" l="1"/>
  <c r="H31" i="7"/>
  <c r="G46" i="7"/>
  <c r="G49" i="7" s="1"/>
  <c r="G44" i="2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E19" i="2" s="1"/>
  <c r="E21" i="2" s="1"/>
  <c r="F27" i="1"/>
  <c r="F39" i="1" s="1"/>
  <c r="F42" i="1" s="1"/>
  <c r="F45" i="1" s="1"/>
  <c r="F17" i="2" s="1"/>
  <c r="F19" i="2" s="1"/>
  <c r="F21" i="2" s="1"/>
  <c r="G27" i="1"/>
  <c r="G39" i="1" s="1"/>
  <c r="G42" i="1" s="1"/>
  <c r="G45" i="1" s="1"/>
  <c r="G17" i="2" s="1"/>
  <c r="G19" i="2" s="1"/>
  <c r="G21" i="2" s="1"/>
  <c r="C27" i="1"/>
  <c r="C39" i="1" s="1"/>
  <c r="C42" i="1" s="1"/>
  <c r="C45" i="1" s="1"/>
  <c r="C17" i="2" s="1"/>
  <c r="C19" i="2" s="1"/>
  <c r="C21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7" i="4"/>
  <c r="G13" i="4"/>
  <c r="G8" i="4"/>
  <c r="G12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H19" i="2" s="1"/>
  <c r="I9" i="6"/>
  <c r="J9" i="6" s="1"/>
  <c r="K8" i="6"/>
  <c r="G3" i="6"/>
  <c r="H25" i="2" l="1"/>
  <c r="H55" i="2"/>
  <c r="H22" i="2"/>
  <c r="H18" i="6"/>
  <c r="H24" i="2"/>
  <c r="H52" i="2" s="1"/>
  <c r="H24" i="6"/>
  <c r="H56" i="6"/>
  <c r="H42" i="6" s="1"/>
  <c r="N88" i="4"/>
  <c r="N89" i="4" s="1"/>
  <c r="N83" i="4"/>
  <c r="K9" i="6"/>
  <c r="H3" i="6"/>
  <c r="H20" i="6" l="1"/>
  <c r="H24" i="7"/>
  <c r="H26" i="6"/>
  <c r="H23" i="7"/>
  <c r="H21" i="2"/>
  <c r="H55" i="6" s="1"/>
  <c r="H41" i="6" s="1"/>
  <c r="H28" i="2"/>
  <c r="H51" i="2"/>
  <c r="I3" i="6"/>
  <c r="H31" i="2" l="1"/>
  <c r="H56" i="2" s="1"/>
  <c r="H53" i="2"/>
  <c r="H68" i="6"/>
  <c r="H50" i="6"/>
  <c r="H49" i="6"/>
  <c r="J3" i="6"/>
  <c r="H71" i="6" l="1"/>
  <c r="H44" i="6"/>
  <c r="H46" i="6" s="1"/>
  <c r="K3" i="6"/>
  <c r="H17" i="7" l="1"/>
  <c r="A1" i="7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D19" i="2" s="1"/>
  <c r="D21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  <c r="H26" i="7" l="1"/>
  <c r="H27" i="7" s="1"/>
  <c r="H36" i="2"/>
  <c r="H38" i="2" s="1"/>
  <c r="H40" i="2" l="1"/>
  <c r="H41" i="2" s="1"/>
  <c r="H16" i="7"/>
  <c r="H36" i="6" l="1"/>
  <c r="H13" i="7"/>
  <c r="H20" i="7" s="1"/>
  <c r="H47" i="2"/>
  <c r="H48" i="2" s="1"/>
  <c r="H37" i="6" s="1"/>
  <c r="H33" i="7" s="1"/>
  <c r="H34" i="7" s="1"/>
  <c r="H36" i="7" l="1"/>
  <c r="H39" i="7" s="1"/>
  <c r="H38" i="6"/>
  <c r="H73" i="6" s="1"/>
  <c r="H74" i="6" s="1"/>
  <c r="H58" i="6" l="1"/>
  <c r="H60" i="6" s="1"/>
  <c r="H76" i="6" s="1"/>
  <c r="H46" i="7"/>
  <c r="H47" i="7" l="1"/>
  <c r="H4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<sst xmlns="http://schemas.openxmlformats.org/spreadsheetml/2006/main" count="313" uniqueCount="225">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</sst>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90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19" fillId="12" borderId="0" xfId="0" applyFont="1" applyFill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 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zoomScaleNormal="100" workbookViewId="0">
      <selection sqref="A1:N1"/>
    </sheetView>
  </sheetViews>
  <sheetFormatPr defaultColWidth="9.140625" defaultRowHeight="15" x14ac:dyDescent="0.25"/>
  <cols>
    <col min="1" max="1" width="9.85546875" customWidth="1"/>
    <col min="2" max="13" width="9.140625" customWidth="1"/>
    <col min="14" max="14" width="9.85546875" customWidth="1"/>
    <col min="15" max="26" width="9.140625" customWidth="1"/>
  </cols>
  <sheetData>
    <row r="1" spans="1:21" s="67" customFormat="1" ht="189.75" customHeight="1" x14ac:dyDescent="0.4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/>
      <c r="P1"/>
      <c r="Q1"/>
      <c r="R1"/>
      <c r="S1"/>
      <c r="T1"/>
      <c r="U1"/>
    </row>
    <row r="2" spans="1:21" s="60" customFormat="1" ht="7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/>
      <c r="P2"/>
      <c r="Q2"/>
      <c r="R2"/>
      <c r="S2"/>
      <c r="T2"/>
      <c r="U2"/>
    </row>
    <row r="3" spans="1:21" s="65" customFormat="1" ht="7.5" customHeight="1" x14ac:dyDescent="0.2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25">
      <c r="A4" s="69"/>
      <c r="B4" s="53"/>
      <c r="C4" s="83"/>
      <c r="D4" s="83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25">
      <c r="A5" s="84" t="s">
        <v>209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/>
      <c r="P5"/>
      <c r="Q5"/>
      <c r="R5"/>
      <c r="S5"/>
      <c r="T5"/>
      <c r="U5"/>
    </row>
    <row r="6" spans="1:21" s="65" customFormat="1" ht="15" customHeight="1" x14ac:dyDescent="0.2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/>
      <c r="P6"/>
      <c r="Q6"/>
      <c r="R6"/>
      <c r="S6"/>
      <c r="T6"/>
      <c r="U6"/>
    </row>
    <row r="7" spans="1:21" s="65" customFormat="1" ht="15" customHeight="1" x14ac:dyDescent="0.25">
      <c r="A7" s="84" t="str">
        <f ca="1">"© "&amp;YEAR(TODAY())&amp;" Financial Edge Training"</f>
        <v>© 2026 Financial Edge Training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/>
      <c r="P7"/>
      <c r="Q7"/>
      <c r="R7"/>
      <c r="S7"/>
      <c r="T7"/>
      <c r="U7"/>
    </row>
    <row r="8" spans="1:21" s="65" customFormat="1" ht="15" customHeight="1" x14ac:dyDescent="0.25">
      <c r="A8" s="85" t="s">
        <v>210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/>
      <c r="P8"/>
      <c r="Q8"/>
      <c r="R8"/>
      <c r="S8"/>
      <c r="T8"/>
      <c r="U8"/>
    </row>
    <row r="9" spans="1:21" s="65" customFormat="1" ht="15" customHeight="1" thickBot="1" x14ac:dyDescent="0.3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25">
      <c r="A10"/>
      <c r="B10"/>
      <c r="C10"/>
      <c r="D10"/>
      <c r="E10"/>
      <c r="F10"/>
      <c r="G10" s="80"/>
      <c r="H10" s="80"/>
      <c r="I10" s="80"/>
      <c r="J10" s="80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25">
      <c r="A11"/>
      <c r="B11"/>
      <c r="C11"/>
      <c r="D11"/>
      <c r="E11"/>
      <c r="F11"/>
      <c r="G11" s="80"/>
      <c r="H11" s="80"/>
      <c r="I11" s="80"/>
      <c r="J11" s="80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25">
      <c r="A13"/>
      <c r="B13"/>
      <c r="C13"/>
      <c r="D13"/>
      <c r="E13"/>
      <c r="F13"/>
      <c r="G13" s="80"/>
      <c r="H13" s="80"/>
      <c r="I13" s="80"/>
      <c r="J13" s="80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25">
      <c r="A14"/>
      <c r="B14"/>
      <c r="C14"/>
      <c r="D14"/>
      <c r="E14"/>
      <c r="F14"/>
      <c r="G14" s="80"/>
      <c r="H14" s="80"/>
      <c r="I14" s="80"/>
      <c r="J14" s="80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25">
      <c r="A15"/>
      <c r="B15"/>
      <c r="C15"/>
      <c r="D15"/>
      <c r="E15"/>
      <c r="F15"/>
      <c r="G15" s="80"/>
      <c r="H15" s="80"/>
      <c r="I15" s="80"/>
      <c r="J15" s="80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25">
      <c r="A17"/>
      <c r="B17"/>
      <c r="C17"/>
      <c r="D17"/>
      <c r="E17"/>
      <c r="F17"/>
      <c r="G17" s="80"/>
      <c r="H17" s="80"/>
      <c r="I17" s="80"/>
      <c r="J17" s="80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2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140625" customWidth="1"/>
    <col min="4" max="4" width="2.85546875" customWidth="1"/>
    <col min="5" max="7" width="1.42578125" customWidth="1"/>
    <col min="8" max="8" width="2.85546875" customWidth="1"/>
    <col min="9" max="9" width="42.855468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9.140625" customWidth="1"/>
  </cols>
  <sheetData>
    <row r="1" spans="1:24" ht="45" customHeight="1" x14ac:dyDescent="0.4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3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25">
      <c r="S3"/>
      <c r="T3"/>
      <c r="U3"/>
      <c r="V3"/>
      <c r="W3"/>
      <c r="X3"/>
    </row>
    <row r="4" spans="1:24" s="43" customFormat="1" ht="22.5" customHeight="1" x14ac:dyDescent="0.2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2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2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2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2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2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2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9">
        <v>1</v>
      </c>
      <c r="O10" s="89"/>
      <c r="P10" s="89"/>
      <c r="Q10" s="89"/>
      <c r="R10" s="55"/>
      <c r="S10"/>
      <c r="T10"/>
      <c r="U10"/>
      <c r="V10"/>
      <c r="W10"/>
      <c r="X10"/>
    </row>
    <row r="11" spans="1:24" s="43" customFormat="1" ht="15" customHeight="1" x14ac:dyDescent="0.2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9">
        <v>1</v>
      </c>
      <c r="O11" s="89"/>
      <c r="P11" s="89"/>
      <c r="Q11" s="89"/>
      <c r="R11" s="55"/>
      <c r="S11"/>
      <c r="T11"/>
      <c r="U11"/>
      <c r="V11"/>
      <c r="W11"/>
      <c r="X11"/>
    </row>
    <row r="12" spans="1:24" s="43" customFormat="1" ht="15" customHeight="1" thickBot="1" x14ac:dyDescent="0.3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2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2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25">
      <c r="A15" s="49"/>
      <c r="B15" s="89" t="s">
        <v>192</v>
      </c>
      <c r="C15" s="89"/>
      <c r="D15" s="89" t="s">
        <v>2</v>
      </c>
      <c r="E15" s="89"/>
      <c r="F15" s="89"/>
      <c r="G15" s="89"/>
      <c r="H15" s="89"/>
      <c r="I15" s="89"/>
      <c r="J15" s="89"/>
      <c r="K15" s="89"/>
      <c r="L15" s="89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25">
      <c r="A16" s="49"/>
      <c r="B16" s="89" t="s">
        <v>193</v>
      </c>
      <c r="C16" s="89"/>
      <c r="D16" s="89" t="s">
        <v>33</v>
      </c>
      <c r="E16" s="89"/>
      <c r="F16" s="89"/>
      <c r="G16" s="89"/>
      <c r="H16" s="89"/>
      <c r="I16" s="89"/>
      <c r="J16" s="89"/>
      <c r="K16" s="89"/>
      <c r="L16" s="89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25">
      <c r="A17" s="49"/>
      <c r="B17" s="89" t="s">
        <v>195</v>
      </c>
      <c r="C17" s="89"/>
      <c r="D17" s="89" t="s">
        <v>196</v>
      </c>
      <c r="E17" s="89"/>
      <c r="F17" s="89"/>
      <c r="G17" s="89"/>
      <c r="H17" s="89"/>
      <c r="I17" s="89"/>
      <c r="J17" s="89"/>
      <c r="K17" s="89"/>
      <c r="L17" s="89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25">
      <c r="A18" s="49"/>
      <c r="B18" s="89" t="s">
        <v>201</v>
      </c>
      <c r="C18" s="89"/>
      <c r="D18" s="89" t="s">
        <v>204</v>
      </c>
      <c r="E18" s="89"/>
      <c r="F18" s="89"/>
      <c r="G18" s="89"/>
      <c r="H18" s="89"/>
      <c r="I18" s="89"/>
      <c r="J18" s="89"/>
      <c r="K18" s="89"/>
      <c r="L18" s="89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25">
      <c r="A19" s="54"/>
      <c r="B19" s="89" t="s">
        <v>202</v>
      </c>
      <c r="C19" s="89"/>
      <c r="D19" s="89" t="s">
        <v>212</v>
      </c>
      <c r="E19" s="89"/>
      <c r="F19" s="89"/>
      <c r="G19" s="89"/>
      <c r="H19" s="89"/>
      <c r="I19" s="89"/>
      <c r="J19" s="89"/>
      <c r="K19" s="89"/>
      <c r="L19" s="89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2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5.75" thickBot="1" x14ac:dyDescent="0.3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2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7" sqref="B27"/>
    </sheetView>
  </sheetViews>
  <sheetFormatPr defaultRowHeight="15" x14ac:dyDescent="0.25"/>
  <cols>
    <col min="1" max="1" width="1.7109375" customWidth="1"/>
    <col min="2" max="2" width="41.42578125" customWidth="1"/>
    <col min="3" max="11" width="10.7109375" customWidth="1"/>
  </cols>
  <sheetData>
    <row r="1" spans="1:13" ht="50.1" customHeight="1" x14ac:dyDescent="0.4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2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3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25">
      <c r="A5" s="11" t="s">
        <v>140</v>
      </c>
    </row>
    <row r="6" spans="1:13" x14ac:dyDescent="0.2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2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2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2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2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2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25">
      <c r="B12" s="17" t="s">
        <v>143</v>
      </c>
      <c r="C12" s="19">
        <f>-C40/C38</f>
        <v>5.211024978466839E-2</v>
      </c>
      <c r="D12" s="19">
        <f>-D40/D38</f>
        <v>6.4306721182124674E-2</v>
      </c>
      <c r="E12" s="19">
        <f>-E40/E38</f>
        <v>1.6036982079671271E-2</v>
      </c>
      <c r="F12" s="19">
        <f>-F40/F38</f>
        <v>-7.2841726618705041E-2</v>
      </c>
      <c r="G12" s="19">
        <f>-G40/G38</f>
        <v>6.224928366762178E-2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25">
      <c r="B13" s="17" t="s">
        <v>32</v>
      </c>
      <c r="C13" s="19">
        <f>C48/C47</f>
        <v>0.34760174668080168</v>
      </c>
      <c r="D13" s="19">
        <f>D48/D47</f>
        <v>0.34392552416727351</v>
      </c>
      <c r="E13" s="19">
        <f>E48/E47</f>
        <v>0.34519317904993907</v>
      </c>
      <c r="F13" s="19">
        <f>F48/F47</f>
        <v>0.2284210896898575</v>
      </c>
      <c r="G13" s="19">
        <f>G48/G47</f>
        <v>0.24602189799607874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25">
      <c r="H14" s="24"/>
      <c r="I14" s="24"/>
      <c r="J14" s="24"/>
      <c r="K14" s="24"/>
    </row>
    <row r="16" spans="1:13" ht="15.75" x14ac:dyDescent="0.25">
      <c r="A16" s="11" t="s">
        <v>2</v>
      </c>
    </row>
    <row r="17" spans="2:18" s="17" customFormat="1" x14ac:dyDescent="0.2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2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2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25">
      <c r="R20" s="33"/>
    </row>
    <row r="21" spans="2:18" x14ac:dyDescent="0.25">
      <c r="B21" t="s">
        <v>6</v>
      </c>
      <c r="C21">
        <f>C22-C19</f>
        <v>-97074</v>
      </c>
      <c r="D21">
        <f t="shared" ref="D21:H21" si="3">D22-D19</f>
        <v>-112025</v>
      </c>
      <c r="E21">
        <f t="shared" si="3"/>
        <v>-110194</v>
      </c>
      <c r="F21">
        <f t="shared" si="3"/>
        <v>-128611</v>
      </c>
      <c r="G21">
        <f t="shared" si="3"/>
        <v>-166605</v>
      </c>
      <c r="H21">
        <f t="shared" si="3"/>
        <v>-179935.38769999999</v>
      </c>
      <c r="I21" t="str">
        <f t="shared" ref="I21:I22" ca="1" si="4">_xlfn.FORMULATEXT(H21)</f>
        <v>=H22-H19</v>
      </c>
      <c r="R21" s="33"/>
    </row>
    <row r="22" spans="2:18" s="33" customFormat="1" x14ac:dyDescent="0.2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>
        <f>H6*(H19-Revenues!H37)+IF(Pipeline=1,'Pipeline Drug'!I101,0)</f>
        <v>238519.00229999996</v>
      </c>
      <c r="I22" t="str">
        <f t="shared" ca="1" si="4"/>
        <v>=H6*(H19-Revenues!H37)+IF(Pipeline=1,'Pipeline Drug'!I101,0)</v>
      </c>
      <c r="J22"/>
      <c r="K22"/>
      <c r="L22"/>
    </row>
    <row r="23" spans="2:18" x14ac:dyDescent="0.25">
      <c r="R23" s="33"/>
    </row>
    <row r="24" spans="2:18" x14ac:dyDescent="0.2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H24">
        <f>-H7*H19</f>
        <v>-25107.263399999996</v>
      </c>
      <c r="I24" t="str">
        <f t="shared" ref="I24:I28" ca="1" si="5">_xlfn.FORMULATEXT(H24)</f>
        <v>=-H7*H19</v>
      </c>
      <c r="R24" s="33"/>
    </row>
    <row r="25" spans="2:18" x14ac:dyDescent="0.2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H25">
        <f>-H8*(H19-Revenues!H37)+'Pipeline Drug'!I103</f>
        <v>-146459.03649999999</v>
      </c>
      <c r="I25" t="str">
        <f t="shared" ca="1" si="5"/>
        <v>=-H8*(H19-Revenues!H37)+'Pipeline Drug'!I103</v>
      </c>
      <c r="R25" s="33"/>
    </row>
    <row r="26" spans="2:18" x14ac:dyDescent="0.2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H26">
        <f>H9</f>
        <v>0</v>
      </c>
      <c r="I26" t="str">
        <f t="shared" ca="1" si="5"/>
        <v>=H9</v>
      </c>
      <c r="R26" s="33"/>
    </row>
    <row r="27" spans="2:18" x14ac:dyDescent="0.2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H27">
        <f>H10</f>
        <v>0</v>
      </c>
      <c r="I27" t="str">
        <f t="shared" ca="1" si="5"/>
        <v>=H10</v>
      </c>
      <c r="R27" s="33"/>
    </row>
    <row r="28" spans="2:18" s="17" customFormat="1" x14ac:dyDescent="0.25">
      <c r="B28" t="s">
        <v>15</v>
      </c>
      <c r="C28">
        <f>C22+SUM(C24:C27)</f>
        <v>31817</v>
      </c>
      <c r="D28">
        <f t="shared" ref="D28:H28" si="6">D22+SUM(D24:D27)</f>
        <v>39394</v>
      </c>
      <c r="E28">
        <f t="shared" si="6"/>
        <v>29921</v>
      </c>
      <c r="F28">
        <f t="shared" si="6"/>
        <v>29526</v>
      </c>
      <c r="G28">
        <f t="shared" si="6"/>
        <v>60864</v>
      </c>
      <c r="H28">
        <f t="shared" si="6"/>
        <v>66952.70239999998</v>
      </c>
      <c r="I28" t="str">
        <f t="shared" ca="1" si="5"/>
        <v>=H22+SUM(H24:H27)</v>
      </c>
      <c r="J28"/>
      <c r="K28"/>
      <c r="L28"/>
    </row>
    <row r="29" spans="2:18" x14ac:dyDescent="0.25">
      <c r="R29" s="33"/>
    </row>
    <row r="30" spans="2:18" x14ac:dyDescent="0.2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79"/>
      <c r="J30" s="17"/>
      <c r="K30" s="17"/>
      <c r="R30" s="33"/>
    </row>
    <row r="31" spans="2:18" s="17" customFormat="1" x14ac:dyDescent="0.25">
      <c r="B31" t="s">
        <v>19</v>
      </c>
      <c r="C31">
        <f>C28+C30</f>
        <v>21842</v>
      </c>
      <c r="D31">
        <f t="shared" ref="D31:H31" si="7">D28+D30</f>
        <v>28371</v>
      </c>
      <c r="E31">
        <f t="shared" si="7"/>
        <v>18442</v>
      </c>
      <c r="F31">
        <f t="shared" si="7"/>
        <v>17482</v>
      </c>
      <c r="G31">
        <f t="shared" si="7"/>
        <v>42648</v>
      </c>
      <c r="H31">
        <f t="shared" si="7"/>
        <v>66952.70239999998</v>
      </c>
      <c r="I31" t="str">
        <f t="shared" ref="I31" ca="1" si="8">_xlfn.FORMULATEXT(H31)</f>
        <v>=H28+H30</v>
      </c>
      <c r="J31"/>
      <c r="K31"/>
      <c r="L31"/>
    </row>
    <row r="33" spans="2:18" x14ac:dyDescent="0.2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79"/>
      <c r="J33" s="17"/>
      <c r="K33" s="17"/>
    </row>
    <row r="34" spans="2:18" x14ac:dyDescent="0.2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79"/>
      <c r="J34" s="17"/>
      <c r="K34" s="17"/>
    </row>
    <row r="35" spans="2:18" x14ac:dyDescent="0.2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  <c r="H35">
        <f>H11</f>
        <v>0</v>
      </c>
      <c r="I35" t="str">
        <f t="shared" ref="I35:I36" ca="1" si="9">_xlfn.FORMULATEXT(H35)</f>
        <v>=H11</v>
      </c>
    </row>
    <row r="36" spans="2:18" x14ac:dyDescent="0.25">
      <c r="B36" t="s">
        <v>23</v>
      </c>
      <c r="C36">
        <f>SUM(C33:C35)</f>
        <v>-944</v>
      </c>
      <c r="D36">
        <f t="shared" ref="D36:H36" si="10">SUM(D33:D35)</f>
        <v>-489</v>
      </c>
      <c r="E36">
        <f t="shared" si="10"/>
        <v>-920</v>
      </c>
      <c r="F36">
        <f t="shared" si="10"/>
        <v>-802</v>
      </c>
      <c r="G36">
        <f t="shared" si="10"/>
        <v>-768</v>
      </c>
      <c r="H36">
        <f t="shared" si="10"/>
        <v>0</v>
      </c>
      <c r="I36" t="str">
        <f t="shared" ca="1" si="9"/>
        <v>=SUM(H33:H35)</v>
      </c>
    </row>
    <row r="38" spans="2:18" x14ac:dyDescent="0.25">
      <c r="B38" t="s">
        <v>24</v>
      </c>
      <c r="C38">
        <f>C31+C36</f>
        <v>20898</v>
      </c>
      <c r="D38">
        <f t="shared" ref="D38:H38" si="11">D31+D36</f>
        <v>27882</v>
      </c>
      <c r="E38">
        <f t="shared" si="11"/>
        <v>17522</v>
      </c>
      <c r="F38">
        <f t="shared" si="11"/>
        <v>16680</v>
      </c>
      <c r="G38">
        <f t="shared" si="11"/>
        <v>41880</v>
      </c>
      <c r="H38">
        <f t="shared" si="11"/>
        <v>66952.70239999998</v>
      </c>
      <c r="I38" t="str">
        <f ca="1">_xlfn.FORMULATEXT(H38)</f>
        <v>=H31+H36</v>
      </c>
    </row>
    <row r="40" spans="2:18" x14ac:dyDescent="0.2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>
        <f>-H12*H38</f>
        <v>-6025.743215999998</v>
      </c>
      <c r="I40" t="str">
        <f t="shared" ref="I40:I41" ca="1" si="12">_xlfn.FORMULATEXT(H40)</f>
        <v>=-H12*H38</v>
      </c>
      <c r="J40" s="17"/>
      <c r="K40" s="17"/>
    </row>
    <row r="41" spans="2:18" x14ac:dyDescent="0.25">
      <c r="B41" t="s">
        <v>26</v>
      </c>
      <c r="C41">
        <f>C38+C40</f>
        <v>19809</v>
      </c>
      <c r="D41">
        <f t="shared" ref="D41:H41" si="13">D38+D40</f>
        <v>26089</v>
      </c>
      <c r="E41">
        <f t="shared" si="13"/>
        <v>17241</v>
      </c>
      <c r="F41">
        <f t="shared" si="13"/>
        <v>17895</v>
      </c>
      <c r="G41">
        <f t="shared" si="13"/>
        <v>39273</v>
      </c>
      <c r="H41">
        <f t="shared" si="13"/>
        <v>60926.959183999985</v>
      </c>
      <c r="I41" t="str">
        <f t="shared" ca="1" si="12"/>
        <v>=H38+H40</v>
      </c>
    </row>
    <row r="42" spans="2:18" x14ac:dyDescent="0.25">
      <c r="B42" s="17"/>
    </row>
    <row r="43" spans="2:18" s="33" customFormat="1" x14ac:dyDescent="0.25">
      <c r="B43" s="7" t="s">
        <v>27</v>
      </c>
      <c r="L43"/>
    </row>
    <row r="44" spans="2:18" x14ac:dyDescent="0.2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H44">
        <f>G44</f>
        <v>55382.008999999998</v>
      </c>
      <c r="I44" t="str">
        <f t="shared" ref="I44:I45" ca="1" si="14">_xlfn.FORMULATEXT(H44)</f>
        <v>=G44</v>
      </c>
      <c r="R44" s="33"/>
    </row>
    <row r="45" spans="2:18" x14ac:dyDescent="0.2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H45">
        <f>G45</f>
        <v>55180</v>
      </c>
      <c r="I45" t="str">
        <f t="shared" ca="1" si="14"/>
        <v>=G45</v>
      </c>
      <c r="R45" s="33"/>
    </row>
    <row r="47" spans="2:18" x14ac:dyDescent="0.25">
      <c r="B47" t="s">
        <v>30</v>
      </c>
      <c r="C47">
        <f>C41/C45</f>
        <v>0.39988291580031088</v>
      </c>
      <c r="D47">
        <f t="shared" ref="D47:H47" si="15">D41/D45</f>
        <v>0.53209194183271813</v>
      </c>
      <c r="E47">
        <f t="shared" si="15"/>
        <v>0.34965928449744466</v>
      </c>
      <c r="F47">
        <f t="shared" si="15"/>
        <v>0.34935478203150927</v>
      </c>
      <c r="G47">
        <f t="shared" si="15"/>
        <v>0.71172526277636827</v>
      </c>
      <c r="H47">
        <f t="shared" si="15"/>
        <v>1.1041493146792314</v>
      </c>
      <c r="I47" t="str">
        <f t="shared" ref="I47:I48" ca="1" si="16">_xlfn.FORMULATEXT(H47)</f>
        <v>=H41/H45</v>
      </c>
    </row>
    <row r="48" spans="2:18" x14ac:dyDescent="0.2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>
        <f>H13*H47</f>
        <v>0.27603732866980785</v>
      </c>
      <c r="I48" t="str">
        <f t="shared" ca="1" si="16"/>
        <v>=H13*H47</v>
      </c>
      <c r="J48" s="77"/>
      <c r="K48" s="77"/>
      <c r="R48" s="33"/>
    </row>
    <row r="51" spans="2:18" x14ac:dyDescent="0.25">
      <c r="B51" t="s">
        <v>219</v>
      </c>
      <c r="C51" s="19">
        <f t="shared" ref="C51:H51" si="17">C22/C19</f>
        <v>0.60702126539848844</v>
      </c>
      <c r="D51" s="19">
        <f t="shared" si="17"/>
        <v>0.58000914775879908</v>
      </c>
      <c r="E51" s="19">
        <f t="shared" si="17"/>
        <v>0.60279572062979414</v>
      </c>
      <c r="F51" s="19">
        <f t="shared" si="17"/>
        <v>0.57803267178277429</v>
      </c>
      <c r="G51" s="19">
        <f t="shared" si="17"/>
        <v>0.56438923503711469</v>
      </c>
      <c r="H51" s="19">
        <f t="shared" si="17"/>
        <v>0.56999999999999995</v>
      </c>
      <c r="I51" t="str">
        <f t="shared" ref="I51:I56" ca="1" si="18">_xlfn.FORMULATEXT(H51)</f>
        <v>=H22/H19</v>
      </c>
      <c r="J51" s="19"/>
      <c r="K51" s="19"/>
      <c r="R51" s="33"/>
    </row>
    <row r="52" spans="2:18" x14ac:dyDescent="0.2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>
        <f>H24/G24-1</f>
        <v>-0.1432137796887798</v>
      </c>
      <c r="I52" t="str">
        <f t="shared" ca="1" si="18"/>
        <v>=H24/G24-1</v>
      </c>
      <c r="J52" s="19"/>
      <c r="K52" s="19"/>
      <c r="R52" s="33"/>
    </row>
    <row r="53" spans="2:18" x14ac:dyDescent="0.25">
      <c r="B53" t="s">
        <v>220</v>
      </c>
      <c r="C53" s="19">
        <f t="shared" ref="C53:H53" si="19">C28/C19</f>
        <v>0.12880281433562329</v>
      </c>
      <c r="D53" s="19">
        <f t="shared" si="19"/>
        <v>0.14769131562767121</v>
      </c>
      <c r="E53" s="19">
        <f t="shared" si="19"/>
        <v>0.10785296153180692</v>
      </c>
      <c r="F53" s="19">
        <f t="shared" si="19"/>
        <v>9.6873574833737444E-2</v>
      </c>
      <c r="G53" s="19">
        <f t="shared" si="19"/>
        <v>0.15913696226824556</v>
      </c>
      <c r="H53" s="19">
        <f t="shared" si="19"/>
        <v>0.15999999999999998</v>
      </c>
      <c r="I53" t="str">
        <f t="shared" ca="1" si="18"/>
        <v>=H28/H19</v>
      </c>
      <c r="J53" s="19"/>
      <c r="K53" s="19"/>
      <c r="R53" s="33"/>
    </row>
    <row r="54" spans="2:18" x14ac:dyDescent="0.2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>
        <f>H30/G30-1</f>
        <v>-1</v>
      </c>
      <c r="I54" t="str">
        <f t="shared" ca="1" si="18"/>
        <v>=H30/G30-1</v>
      </c>
      <c r="J54" s="19"/>
      <c r="K54" s="19"/>
      <c r="R54" s="33"/>
    </row>
    <row r="55" spans="2:18" x14ac:dyDescent="0.25">
      <c r="B55" t="s">
        <v>18</v>
      </c>
      <c r="C55" s="19">
        <f t="shared" ref="C55:H55" si="20">-C30/C19</f>
        <v>4.0381182166698379E-2</v>
      </c>
      <c r="D55" s="19">
        <f t="shared" si="20"/>
        <v>4.1326125099350658E-2</v>
      </c>
      <c r="E55" s="19">
        <f t="shared" si="20"/>
        <v>4.1377097871849587E-2</v>
      </c>
      <c r="F55" s="19">
        <f t="shared" si="20"/>
        <v>3.9515861792912471E-2</v>
      </c>
      <c r="G55" s="19">
        <f t="shared" si="20"/>
        <v>4.762813657791734E-2</v>
      </c>
      <c r="H55" s="19">
        <f t="shared" si="20"/>
        <v>0</v>
      </c>
      <c r="I55" t="str">
        <f t="shared" ca="1" si="18"/>
        <v>=-H30/H19</v>
      </c>
      <c r="J55" s="19"/>
      <c r="K55" s="19"/>
      <c r="R55" s="33"/>
    </row>
    <row r="56" spans="2:18" x14ac:dyDescent="0.25">
      <c r="B56" t="s">
        <v>20</v>
      </c>
      <c r="C56" s="19">
        <f t="shared" ref="C56:H56" si="21">C31/C19</f>
        <v>8.8421632168924916E-2</v>
      </c>
      <c r="D56" s="19">
        <f t="shared" si="21"/>
        <v>0.10636519052832057</v>
      </c>
      <c r="E56" s="19">
        <f t="shared" si="21"/>
        <v>6.6475863659957321E-2</v>
      </c>
      <c r="F56" s="19">
        <f t="shared" si="21"/>
        <v>5.7357713040824966E-2</v>
      </c>
      <c r="G56" s="19">
        <f t="shared" si="21"/>
        <v>0.11150882569032822</v>
      </c>
      <c r="H56" s="19">
        <f t="shared" si="21"/>
        <v>0.15999999999999998</v>
      </c>
      <c r="I56" t="str">
        <f t="shared" ca="1" si="18"/>
        <v>=H31/H19</v>
      </c>
      <c r="J56" s="19"/>
      <c r="K56" s="19"/>
    </row>
    <row r="253" spans="2:2" x14ac:dyDescent="0.25">
      <c r="B253" s="17"/>
    </row>
    <row r="254" spans="2:2" x14ac:dyDescent="0.25">
      <c r="B254" s="17"/>
    </row>
    <row r="255" spans="2:2" x14ac:dyDescent="0.25">
      <c r="B255" s="17"/>
    </row>
    <row r="256" spans="2:2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6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5" x14ac:dyDescent="0.25"/>
  <cols>
    <col min="1" max="1" width="1.7109375" customWidth="1"/>
    <col min="2" max="2" width="55" customWidth="1"/>
    <col min="3" max="11" width="10.7109375" customWidth="1"/>
  </cols>
  <sheetData>
    <row r="1" spans="1:21" ht="50.1" customHeight="1" x14ac:dyDescent="0.4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2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3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25">
      <c r="A5" s="11" t="s">
        <v>48</v>
      </c>
      <c r="B5" s="17"/>
    </row>
    <row r="6" spans="1:21" x14ac:dyDescent="0.2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2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25">
      <c r="B8" t="s">
        <v>52</v>
      </c>
      <c r="D8" s="19">
        <f>-D19/C20</f>
        <v>0.10535065951126486</v>
      </c>
      <c r="E8" s="19">
        <f>-E19/D20</f>
        <v>0.10471855304146241</v>
      </c>
      <c r="F8" s="19">
        <f>-F19/E20</f>
        <v>0.10720220984549048</v>
      </c>
      <c r="G8" s="19">
        <f>-G19/F20</f>
        <v>0.14983774533843922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25">
      <c r="B9" t="s">
        <v>53</v>
      </c>
      <c r="D9" s="19">
        <f>-D25/C26</f>
        <v>0.1273767279275462</v>
      </c>
      <c r="E9" s="19">
        <f>-E25/D26</f>
        <v>0.11281762624638147</v>
      </c>
      <c r="F9" s="19">
        <f>-F25/E26</f>
        <v>9.2215082354679082E-2</v>
      </c>
      <c r="G9" s="19">
        <f>-G25/F26</f>
        <v>0.11128427128427129</v>
      </c>
      <c r="H9" s="23">
        <f>G9+1%</f>
        <v>0.12128427128427129</v>
      </c>
      <c r="I9" s="23">
        <f>H9+1%</f>
        <v>0.13128427128427128</v>
      </c>
      <c r="J9" s="23">
        <f>I9+1%</f>
        <v>0.14128427128427129</v>
      </c>
      <c r="K9" s="23">
        <f>J9+1%</f>
        <v>0.1512842712842713</v>
      </c>
    </row>
    <row r="10" spans="1:21" x14ac:dyDescent="0.2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25">
      <c r="B11" t="s">
        <v>151</v>
      </c>
      <c r="C11">
        <f>-C55/IS!C21*365</f>
        <v>240.11099779549622</v>
      </c>
      <c r="D11">
        <f>-D55/IS!D21*365</f>
        <v>219.55715242133451</v>
      </c>
      <c r="E11">
        <f>-E55/IS!E21*365</f>
        <v>250.05517541789933</v>
      </c>
      <c r="F11">
        <f>-F55/IS!F21*365</f>
        <v>269.21697988507981</v>
      </c>
      <c r="G11">
        <f>-G55/IS!G21*365</f>
        <v>347.92482218420815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2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25">
      <c r="B13" t="s">
        <v>153</v>
      </c>
      <c r="C13">
        <f>C68/(IS!C19-IS!C28)*365</f>
        <v>77.581411126187248</v>
      </c>
      <c r="D13">
        <f>D68/(IS!D19-IS!D28)*365</f>
        <v>96.094713598254586</v>
      </c>
      <c r="E13">
        <f>E68/(IS!E19-IS!E28)*365</f>
        <v>78.075134442814829</v>
      </c>
      <c r="F13">
        <f>F68/(IS!F19-IS!F28)*365</f>
        <v>90.387102516502395</v>
      </c>
      <c r="G13">
        <f>G68/(IS!G19-IS!G28)*365</f>
        <v>104.31814153650974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25">
      <c r="A15" s="11" t="s">
        <v>146</v>
      </c>
      <c r="B15" s="17"/>
    </row>
    <row r="16" spans="1:21" x14ac:dyDescent="0.25">
      <c r="B16" s="7" t="s">
        <v>34</v>
      </c>
    </row>
    <row r="17" spans="2:14" x14ac:dyDescent="0.25">
      <c r="B17" t="s">
        <v>147</v>
      </c>
      <c r="C17" s="6"/>
      <c r="D17" s="17"/>
      <c r="E17" s="17"/>
      <c r="F17" s="17"/>
      <c r="G17" s="17"/>
      <c r="H17" s="17">
        <f>G20</f>
        <v>131608</v>
      </c>
      <c r="I17" s="17" t="str">
        <f ca="1">_xlfn.FORMULATEXT(H17)</f>
        <v>=G20</v>
      </c>
      <c r="J17" s="17"/>
      <c r="K17" s="17"/>
    </row>
    <row r="18" spans="2:14" x14ac:dyDescent="0.2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>
        <f>H6*IS!H19</f>
        <v>25107.263399999996</v>
      </c>
      <c r="I18" s="17" t="str">
        <f t="shared" ref="I18:I20" ca="1" si="1">_xlfn.FORMULATEXT(H18)</f>
        <v>=H6*IS!H19</v>
      </c>
      <c r="J18" s="17"/>
      <c r="K18" s="17"/>
    </row>
    <row r="19" spans="2:14" x14ac:dyDescent="0.2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>
        <f>-H8*H17</f>
        <v>-15792.96</v>
      </c>
      <c r="I19" s="17" t="str">
        <f t="shared" ca="1" si="1"/>
        <v>=-H8*H17</v>
      </c>
      <c r="J19" s="17"/>
      <c r="K19" s="17"/>
      <c r="N19" s="33"/>
    </row>
    <row r="20" spans="2:14" x14ac:dyDescent="0.25">
      <c r="B20" t="s">
        <v>51</v>
      </c>
      <c r="C20">
        <f>C49</f>
        <v>81803</v>
      </c>
      <c r="D20">
        <f t="shared" ref="D20:G20" si="2">D49</f>
        <v>82822</v>
      </c>
      <c r="E20">
        <f t="shared" si="2"/>
        <v>89056</v>
      </c>
      <c r="F20">
        <f t="shared" si="2"/>
        <v>95837</v>
      </c>
      <c r="G20">
        <f t="shared" si="2"/>
        <v>131608</v>
      </c>
      <c r="H20">
        <f>SUM(H17:H19)</f>
        <v>140922.3034</v>
      </c>
      <c r="I20" s="17" t="str">
        <f t="shared" ca="1" si="1"/>
        <v>=SUM(H17:H19)</v>
      </c>
    </row>
    <row r="21" spans="2:14" x14ac:dyDescent="0.25">
      <c r="B21" s="17"/>
    </row>
    <row r="22" spans="2:14" x14ac:dyDescent="0.25">
      <c r="B22" s="7" t="s">
        <v>35</v>
      </c>
    </row>
    <row r="23" spans="2:14" x14ac:dyDescent="0.25">
      <c r="B23" t="s">
        <v>147</v>
      </c>
      <c r="C23" s="6"/>
      <c r="D23" s="17"/>
      <c r="E23" s="17"/>
      <c r="F23" s="17"/>
      <c r="G23" s="17"/>
      <c r="H23" s="17">
        <f>G26</f>
        <v>45079</v>
      </c>
      <c r="I23" s="17" t="str">
        <f t="shared" ref="I23:I26" ca="1" si="3">_xlfn.FORMULATEXT(H23)</f>
        <v>=G26</v>
      </c>
      <c r="J23" s="17"/>
      <c r="K23" s="17"/>
    </row>
    <row r="24" spans="2:14" x14ac:dyDescent="0.2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>
        <f>H7*IS!H19</f>
        <v>14645.90365</v>
      </c>
      <c r="I24" s="17" t="str">
        <f t="shared" ca="1" si="3"/>
        <v>=H7*IS!H19</v>
      </c>
      <c r="J24" s="17"/>
      <c r="K24" s="17"/>
    </row>
    <row r="25" spans="2:14" x14ac:dyDescent="0.2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>
        <f>-H9*H23</f>
        <v>-5467.3736652236657</v>
      </c>
      <c r="I25" s="17" t="str">
        <f t="shared" ca="1" si="3"/>
        <v>=-H9*H23</v>
      </c>
      <c r="J25" s="17"/>
      <c r="K25" s="17"/>
      <c r="N25" s="33"/>
    </row>
    <row r="26" spans="2:14" x14ac:dyDescent="0.25">
      <c r="B26" t="s">
        <v>51</v>
      </c>
      <c r="C26">
        <f>C50</f>
        <v>18881</v>
      </c>
      <c r="D26">
        <f t="shared" ref="D26:G26" si="4">D50</f>
        <v>24872</v>
      </c>
      <c r="E26">
        <f t="shared" si="4"/>
        <v>27078</v>
      </c>
      <c r="F26">
        <f t="shared" si="4"/>
        <v>34650</v>
      </c>
      <c r="G26">
        <f t="shared" si="4"/>
        <v>45079</v>
      </c>
      <c r="H26">
        <f>SUM(H23:H25)</f>
        <v>54257.529984776338</v>
      </c>
      <c r="I26" s="17" t="str">
        <f t="shared" ca="1" si="3"/>
        <v>=SUM(H23:H25)</v>
      </c>
    </row>
    <row r="27" spans="2:14" x14ac:dyDescent="0.25">
      <c r="B27" s="17"/>
    </row>
    <row r="28" spans="2:14" x14ac:dyDescent="0.25">
      <c r="B28" s="7" t="s">
        <v>175</v>
      </c>
    </row>
    <row r="29" spans="2:14" x14ac:dyDescent="0.25">
      <c r="B29" t="s">
        <v>147</v>
      </c>
      <c r="H29">
        <f>G32</f>
        <v>1843</v>
      </c>
      <c r="I29" s="17" t="str">
        <f t="shared" ref="I29:I32" ca="1" si="5">_xlfn.FORMULATEXT(H29)</f>
        <v>=G32</v>
      </c>
    </row>
    <row r="30" spans="2:14" x14ac:dyDescent="0.25">
      <c r="B30" t="s">
        <v>173</v>
      </c>
      <c r="H30">
        <f>IS!H27</f>
        <v>0</v>
      </c>
      <c r="I30" s="17" t="str">
        <f t="shared" ca="1" si="5"/>
        <v>=IS!H27</v>
      </c>
    </row>
    <row r="31" spans="2:14" x14ac:dyDescent="0.25">
      <c r="B31" t="s">
        <v>174</v>
      </c>
      <c r="H31">
        <f>-H10*H30</f>
        <v>0</v>
      </c>
      <c r="I31" s="17" t="str">
        <f t="shared" ca="1" si="5"/>
        <v>=-H10*H30</v>
      </c>
    </row>
    <row r="32" spans="2:14" x14ac:dyDescent="0.25">
      <c r="B32" t="s">
        <v>51</v>
      </c>
      <c r="G32">
        <f>G51</f>
        <v>1843</v>
      </c>
      <c r="H32">
        <f>SUM(H29:H31)</f>
        <v>1843</v>
      </c>
      <c r="I32" s="17" t="str">
        <f t="shared" ca="1" si="5"/>
        <v>=SUM(H29:H31)</v>
      </c>
    </row>
    <row r="33" spans="1:11" x14ac:dyDescent="0.25">
      <c r="B33" s="17"/>
    </row>
    <row r="34" spans="1:11" x14ac:dyDescent="0.25">
      <c r="B34" s="7" t="s">
        <v>58</v>
      </c>
    </row>
    <row r="35" spans="1:11" x14ac:dyDescent="0.25">
      <c r="B35" t="s">
        <v>49</v>
      </c>
      <c r="H35">
        <f>G38</f>
        <v>322386</v>
      </c>
      <c r="I35" s="17" t="str">
        <f t="shared" ref="I35:I38" ca="1" si="6">_xlfn.FORMULATEXT(H35)</f>
        <v>=G38</v>
      </c>
    </row>
    <row r="36" spans="1:11" x14ac:dyDescent="0.25">
      <c r="B36" t="s">
        <v>26</v>
      </c>
      <c r="H36">
        <f>IS!H41</f>
        <v>60926.959183999985</v>
      </c>
      <c r="I36" s="17" t="str">
        <f t="shared" ca="1" si="6"/>
        <v>=IS!H41</v>
      </c>
    </row>
    <row r="37" spans="1:11" x14ac:dyDescent="0.25">
      <c r="B37" t="s">
        <v>59</v>
      </c>
      <c r="H37">
        <f>-IS!H48*IS!H44</f>
        <v>-15287.501820727255</v>
      </c>
      <c r="I37" s="17" t="str">
        <f t="shared" ca="1" si="6"/>
        <v>=-IS!H48*IS!H44</v>
      </c>
    </row>
    <row r="38" spans="1:11" x14ac:dyDescent="0.25">
      <c r="B38" t="s">
        <v>51</v>
      </c>
      <c r="G38">
        <f>G73</f>
        <v>322386</v>
      </c>
      <c r="H38">
        <f>SUM(H35:H37)</f>
        <v>368025.45736327273</v>
      </c>
      <c r="I38" s="17" t="str">
        <f t="shared" ca="1" si="6"/>
        <v>=SUM(H35:H37)</v>
      </c>
    </row>
    <row r="39" spans="1:11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B41" t="s">
        <v>38</v>
      </c>
      <c r="C41" s="17">
        <f>C55</f>
        <v>63859</v>
      </c>
      <c r="D41" s="17">
        <f t="shared" ref="D41:H41" si="7">D55</f>
        <v>67386</v>
      </c>
      <c r="E41" s="17">
        <f t="shared" si="7"/>
        <v>75492</v>
      </c>
      <c r="F41" s="17">
        <f t="shared" si="7"/>
        <v>94861</v>
      </c>
      <c r="G41" s="17">
        <f t="shared" si="7"/>
        <v>158811</v>
      </c>
      <c r="H41" s="17">
        <f t="shared" si="7"/>
        <v>167611.04607671231</v>
      </c>
      <c r="I41" s="17" t="str">
        <f t="shared" ref="I41:I46" ca="1" si="8">_xlfn.FORMULATEXT(H41)</f>
        <v>=H55</v>
      </c>
      <c r="J41" s="17"/>
      <c r="K41" s="17"/>
    </row>
    <row r="42" spans="1:11" x14ac:dyDescent="0.25">
      <c r="B42" t="s">
        <v>39</v>
      </c>
      <c r="C42" s="17">
        <f>C56</f>
        <v>57028</v>
      </c>
      <c r="D42" s="17">
        <f t="shared" ref="D42:H42" si="9">D56</f>
        <v>53842</v>
      </c>
      <c r="E42" s="17">
        <f t="shared" si="9"/>
        <v>49747</v>
      </c>
      <c r="F42" s="17">
        <f t="shared" si="9"/>
        <v>60180</v>
      </c>
      <c r="G42" s="17">
        <f t="shared" si="9"/>
        <v>81541</v>
      </c>
      <c r="H42" s="17">
        <f t="shared" si="9"/>
        <v>85983.77876712328</v>
      </c>
      <c r="I42" s="17" t="str">
        <f t="shared" ca="1" si="8"/>
        <v>=H56</v>
      </c>
      <c r="J42" s="17"/>
      <c r="K42" s="17"/>
    </row>
    <row r="43" spans="1:11" x14ac:dyDescent="0.25">
      <c r="B43" t="s">
        <v>40</v>
      </c>
      <c r="C43" s="17">
        <f>C57</f>
        <v>3945</v>
      </c>
      <c r="D43" s="17">
        <f t="shared" ref="D43:H43" si="10">D57</f>
        <v>4466</v>
      </c>
      <c r="E43" s="17">
        <f t="shared" si="10"/>
        <v>2228</v>
      </c>
      <c r="F43" s="17">
        <f t="shared" si="10"/>
        <v>3452</v>
      </c>
      <c r="G43" s="17">
        <f t="shared" si="10"/>
        <v>10107</v>
      </c>
      <c r="H43" s="17">
        <f t="shared" si="10"/>
        <v>10107</v>
      </c>
      <c r="I43" s="17" t="str">
        <f t="shared" ca="1" si="8"/>
        <v>=H57</v>
      </c>
      <c r="J43" s="17"/>
      <c r="K43" s="17"/>
    </row>
    <row r="44" spans="1:11" x14ac:dyDescent="0.25">
      <c r="B44" t="s">
        <v>46</v>
      </c>
      <c r="C44" s="17">
        <f>C68</f>
        <v>45742</v>
      </c>
      <c r="D44" s="17">
        <f t="shared" ref="D44:H44" si="11">D68</f>
        <v>59852</v>
      </c>
      <c r="E44" s="17">
        <f t="shared" si="11"/>
        <v>52942</v>
      </c>
      <c r="F44" s="17">
        <f t="shared" si="11"/>
        <v>68165</v>
      </c>
      <c r="G44" s="17">
        <f t="shared" si="11"/>
        <v>91914</v>
      </c>
      <c r="H44" s="17">
        <f t="shared" si="11"/>
        <v>96301.832219178061</v>
      </c>
      <c r="I44" s="17" t="str">
        <f t="shared" ca="1" si="8"/>
        <v>=H68</v>
      </c>
      <c r="J44" s="17"/>
      <c r="K44" s="17"/>
    </row>
    <row r="45" spans="1:11" x14ac:dyDescent="0.25">
      <c r="B45" t="s">
        <v>159</v>
      </c>
      <c r="C45" s="17">
        <f>C69</f>
        <v>3337</v>
      </c>
      <c r="D45" s="17">
        <f t="shared" ref="D45:H45" si="12">D69</f>
        <v>3624</v>
      </c>
      <c r="E45" s="17">
        <f t="shared" si="12"/>
        <v>4073</v>
      </c>
      <c r="F45" s="17">
        <f t="shared" si="12"/>
        <v>1712</v>
      </c>
      <c r="G45" s="17">
        <f t="shared" si="12"/>
        <v>2094</v>
      </c>
      <c r="H45" s="17">
        <f t="shared" si="12"/>
        <v>2094</v>
      </c>
      <c r="I45" s="17" t="str">
        <f t="shared" ca="1" si="8"/>
        <v>=H69</v>
      </c>
      <c r="J45" s="17"/>
      <c r="K45" s="17"/>
    </row>
    <row r="46" spans="1:11" x14ac:dyDescent="0.25">
      <c r="B46" t="s">
        <v>165</v>
      </c>
      <c r="C46" s="17">
        <f>SUM(C41:C43)-SUM(C44:C45)</f>
        <v>75753</v>
      </c>
      <c r="D46" s="17">
        <f t="shared" ref="D46:H46" si="13">SUM(D41:D43)-SUM(D44:D45)</f>
        <v>62218</v>
      </c>
      <c r="E46" s="17">
        <f t="shared" si="13"/>
        <v>70452</v>
      </c>
      <c r="F46" s="17">
        <f t="shared" si="13"/>
        <v>88616</v>
      </c>
      <c r="G46" s="17">
        <f t="shared" si="13"/>
        <v>156451</v>
      </c>
      <c r="H46" s="17">
        <f t="shared" si="13"/>
        <v>165305.99262465755</v>
      </c>
      <c r="I46" s="17" t="str">
        <f t="shared" ca="1" si="8"/>
        <v>=SUM(H41:H43)-SUM(H44:H45)</v>
      </c>
      <c r="J46" s="17"/>
      <c r="K46" s="17"/>
    </row>
    <row r="47" spans="1:11" x14ac:dyDescent="0.25">
      <c r="B47" s="17"/>
      <c r="C47" s="2"/>
    </row>
    <row r="48" spans="1:11" ht="15.75" x14ac:dyDescent="0.25">
      <c r="A48" s="11" t="s">
        <v>33</v>
      </c>
      <c r="B48" s="17"/>
    </row>
    <row r="49" spans="2:16" x14ac:dyDescent="0.2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H49">
        <f>H20</f>
        <v>140922.3034</v>
      </c>
      <c r="I49" s="17" t="str">
        <f t="shared" ref="I49:I53" ca="1" si="14">_xlfn.FORMULATEXT(H49)</f>
        <v>=H20</v>
      </c>
    </row>
    <row r="50" spans="2:16" x14ac:dyDescent="0.2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H50">
        <f>H26</f>
        <v>54257.529984776338</v>
      </c>
      <c r="I50" s="17" t="str">
        <f t="shared" ca="1" si="14"/>
        <v>=H26</v>
      </c>
    </row>
    <row r="51" spans="2:16" x14ac:dyDescent="0.2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H51">
        <f>H32</f>
        <v>1843</v>
      </c>
      <c r="I51" s="17" t="str">
        <f t="shared" ca="1" si="14"/>
        <v>=H32</v>
      </c>
    </row>
    <row r="52" spans="2:16" x14ac:dyDescent="0.2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H52">
        <f>G52</f>
        <v>14660</v>
      </c>
      <c r="I52" s="17" t="str">
        <f t="shared" ca="1" si="14"/>
        <v>=G52</v>
      </c>
    </row>
    <row r="53" spans="2:16" x14ac:dyDescent="0.2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H53">
        <f>G53</f>
        <v>136</v>
      </c>
      <c r="I53" s="17" t="str">
        <f t="shared" ca="1" si="14"/>
        <v>=G53</v>
      </c>
    </row>
    <row r="54" spans="2:16" x14ac:dyDescent="0.25">
      <c r="B54" s="17"/>
      <c r="C54" s="6"/>
      <c r="D54" s="6"/>
      <c r="E54" s="6"/>
      <c r="F54" s="6"/>
      <c r="G54" s="6"/>
    </row>
    <row r="55" spans="2:16" x14ac:dyDescent="0.2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H55">
        <f>-H11/365*IS!H21</f>
        <v>167611.04607671231</v>
      </c>
      <c r="I55" s="17" t="str">
        <f t="shared" ref="I55:I58" ca="1" si="15">_xlfn.FORMULATEXT(H55)</f>
        <v>=-H11/365*IS!H21</v>
      </c>
    </row>
    <row r="56" spans="2:16" x14ac:dyDescent="0.2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H56">
        <f>H12/365*IS!H19</f>
        <v>85983.77876712328</v>
      </c>
      <c r="I56" s="17" t="str">
        <f t="shared" ca="1" si="15"/>
        <v>=H12/365*IS!H19</v>
      </c>
    </row>
    <row r="57" spans="2:16" x14ac:dyDescent="0.2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H57">
        <f>G57</f>
        <v>10107</v>
      </c>
      <c r="I57" s="17" t="str">
        <f t="shared" ca="1" si="15"/>
        <v>=G57</v>
      </c>
    </row>
    <row r="58" spans="2:16" x14ac:dyDescent="0.2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H58">
        <f>'CFS and Debt Schedule'!H39</f>
        <v>85717.631353838849</v>
      </c>
      <c r="I58" s="17" t="str">
        <f t="shared" ca="1" si="15"/>
        <v>='CFS and Debt Schedule'!H39</v>
      </c>
    </row>
    <row r="59" spans="2:16" x14ac:dyDescent="0.25">
      <c r="B59" s="17"/>
      <c r="C59" s="6"/>
      <c r="D59" s="6"/>
      <c r="E59" s="6"/>
      <c r="F59" s="6"/>
      <c r="G59" s="6"/>
    </row>
    <row r="60" spans="2:16" x14ac:dyDescent="0.25">
      <c r="B60" t="s">
        <v>42</v>
      </c>
      <c r="C60">
        <f>SUM(C49:C53,C55:C58)</f>
        <v>263847</v>
      </c>
      <c r="D60">
        <f t="shared" ref="D60:H60" si="16">SUM(D49:D53,D55:D58)</f>
        <v>287848</v>
      </c>
      <c r="E60">
        <f t="shared" si="16"/>
        <v>298382</v>
      </c>
      <c r="F60">
        <f t="shared" si="16"/>
        <v>402700</v>
      </c>
      <c r="G60">
        <f t="shared" si="16"/>
        <v>511211</v>
      </c>
      <c r="H60">
        <f t="shared" si="16"/>
        <v>561238.28958245087</v>
      </c>
      <c r="I60" s="17" t="str">
        <f ca="1">_xlfn.FORMULATEXT(H60)</f>
        <v>=SUM(H49:H53,H55:H58)</v>
      </c>
    </row>
    <row r="61" spans="2:16" x14ac:dyDescent="0.25">
      <c r="C61" s="6"/>
      <c r="D61" s="6"/>
      <c r="E61" s="6"/>
      <c r="F61" s="6"/>
      <c r="G61" s="6"/>
    </row>
    <row r="62" spans="2:16" x14ac:dyDescent="0.2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H62">
        <f>G62+'CFS and Debt Schedule'!H6</f>
        <v>72104</v>
      </c>
      <c r="I62" s="17" t="str">
        <f t="shared" ref="I62:I64" ca="1" si="17">_xlfn.FORMULATEXT(H62)</f>
        <v>=G62+'CFS and Debt Schedule'!H6</v>
      </c>
      <c r="P62" s="33"/>
    </row>
    <row r="63" spans="2:16" x14ac:dyDescent="0.2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H63">
        <f>G63</f>
        <v>1078</v>
      </c>
      <c r="I63" s="17" t="str">
        <f t="shared" ca="1" si="17"/>
        <v>=G63</v>
      </c>
    </row>
    <row r="64" spans="2:16" x14ac:dyDescent="0.2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H64">
        <f>G64</f>
        <v>8934</v>
      </c>
      <c r="I64" s="17" t="str">
        <f t="shared" ca="1" si="17"/>
        <v>=G64</v>
      </c>
    </row>
    <row r="65" spans="2:16" x14ac:dyDescent="0.25">
      <c r="C65" s="6"/>
      <c r="D65" s="6"/>
      <c r="E65" s="6"/>
      <c r="F65" s="6"/>
      <c r="G65" s="6"/>
    </row>
    <row r="66" spans="2:16" x14ac:dyDescent="0.25">
      <c r="B66" t="s">
        <v>45</v>
      </c>
      <c r="C66" s="6"/>
      <c r="D66" s="6"/>
      <c r="E66" s="6"/>
      <c r="F66" s="6"/>
      <c r="G66" s="6"/>
    </row>
    <row r="67" spans="2:16" x14ac:dyDescent="0.2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H67">
        <f>G67+'CFS and Debt Schedule'!H7</f>
        <v>12701</v>
      </c>
      <c r="I67" s="17" t="str">
        <f t="shared" ref="I67:I69" ca="1" si="18">_xlfn.FORMULATEXT(H67)</f>
        <v>=G67+'CFS and Debt Schedule'!H7</v>
      </c>
      <c r="P67" s="33"/>
    </row>
    <row r="68" spans="2:16" x14ac:dyDescent="0.2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H68">
        <f>H13/365*(IS!H19-IS!H28)</f>
        <v>96301.832219178061</v>
      </c>
      <c r="I68" s="17" t="str">
        <f t="shared" ca="1" si="18"/>
        <v>=H13/365*(IS!H19-IS!H28)</v>
      </c>
      <c r="P68" s="33"/>
    </row>
    <row r="69" spans="2:16" x14ac:dyDescent="0.2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H69">
        <f>G69</f>
        <v>2094</v>
      </c>
      <c r="I69" s="17" t="str">
        <f t="shared" ca="1" si="18"/>
        <v>=G69</v>
      </c>
    </row>
    <row r="70" spans="2:16" x14ac:dyDescent="0.25">
      <c r="C70" s="6"/>
      <c r="D70" s="6"/>
      <c r="E70" s="6"/>
      <c r="F70" s="6"/>
      <c r="G70" s="6"/>
    </row>
    <row r="71" spans="2:16" x14ac:dyDescent="0.25">
      <c r="B71" t="s">
        <v>47</v>
      </c>
      <c r="C71">
        <f>SUM(C62:C64,C67:C69)</f>
        <v>99062</v>
      </c>
      <c r="D71">
        <f t="shared" ref="D71:H71" si="19">SUM(D62:D64,D67:D69)</f>
        <v>104442</v>
      </c>
      <c r="E71">
        <f t="shared" si="19"/>
        <v>106695</v>
      </c>
      <c r="F71">
        <f t="shared" si="19"/>
        <v>115228</v>
      </c>
      <c r="G71">
        <f t="shared" si="19"/>
        <v>188825</v>
      </c>
      <c r="H71">
        <f t="shared" si="19"/>
        <v>193212.83221917806</v>
      </c>
      <c r="I71" s="17" t="str">
        <f ca="1">_xlfn.FORMULATEXT(H71)</f>
        <v>=SUM(H62:H64,H67:H69)</v>
      </c>
    </row>
    <row r="72" spans="2:16" x14ac:dyDescent="0.25">
      <c r="C72" s="6"/>
      <c r="D72" s="6"/>
      <c r="E72" s="6"/>
      <c r="F72" s="6"/>
      <c r="G72" s="6"/>
    </row>
    <row r="73" spans="2:16" x14ac:dyDescent="0.2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H73">
        <f>H38</f>
        <v>368025.45736327273</v>
      </c>
      <c r="I73" s="17" t="str">
        <f t="shared" ref="I73:I74" ca="1" si="20">_xlfn.FORMULATEXT(H73)</f>
        <v>=H38</v>
      </c>
    </row>
    <row r="74" spans="2:16" x14ac:dyDescent="0.25">
      <c r="B74" t="s">
        <v>144</v>
      </c>
      <c r="C74">
        <f>C71+C73</f>
        <v>263847</v>
      </c>
      <c r="D74">
        <f t="shared" ref="D74:H74" si="21">D71+D73</f>
        <v>287848</v>
      </c>
      <c r="E74">
        <f t="shared" si="21"/>
        <v>298382</v>
      </c>
      <c r="F74">
        <f t="shared" si="21"/>
        <v>402700</v>
      </c>
      <c r="G74">
        <f t="shared" si="21"/>
        <v>511211</v>
      </c>
      <c r="H74">
        <f t="shared" si="21"/>
        <v>561238.28958245076</v>
      </c>
      <c r="I74" s="17" t="str">
        <f t="shared" ca="1" si="20"/>
        <v>=H71+H73</v>
      </c>
    </row>
    <row r="76" spans="2:16" x14ac:dyDescent="0.25">
      <c r="B76" t="s">
        <v>145</v>
      </c>
      <c r="C76">
        <f>C60-C74</f>
        <v>0</v>
      </c>
      <c r="D76">
        <f t="shared" ref="D76:H76" si="22">D60-D74</f>
        <v>0</v>
      </c>
      <c r="E76">
        <f t="shared" si="22"/>
        <v>0</v>
      </c>
      <c r="F76">
        <f t="shared" si="22"/>
        <v>0</v>
      </c>
      <c r="G76">
        <f t="shared" si="22"/>
        <v>0</v>
      </c>
      <c r="H76">
        <f t="shared" si="22"/>
        <v>0</v>
      </c>
      <c r="I76" s="17" t="str">
        <f ca="1">_xlfn.FORMULATEXT(H76)</f>
        <v>=H60-H74</v>
      </c>
    </row>
    <row r="77" spans="2:16" x14ac:dyDescent="0.25">
      <c r="B77" s="17"/>
    </row>
    <row r="78" spans="2:16" x14ac:dyDescent="0.25">
      <c r="B78" s="17"/>
      <c r="C78" s="2"/>
    </row>
    <row r="79" spans="2:16" x14ac:dyDescent="0.2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tabSelected="1" zoomScaleNormal="100" workbookViewId="0">
      <pane xSplit="2" ySplit="3" topLeftCell="C21" activePane="bottomRight" state="frozen"/>
      <selection pane="topRight" activeCell="C1" sqref="C1"/>
      <selection pane="bottomLeft" activeCell="A4" sqref="A4"/>
      <selection pane="bottomRight" activeCell="H47" sqref="H47"/>
    </sheetView>
  </sheetViews>
  <sheetFormatPr defaultColWidth="9" defaultRowHeight="15" x14ac:dyDescent="0.25"/>
  <cols>
    <col min="1" max="1" width="1.7109375" customWidth="1"/>
    <col min="2" max="2" width="55" customWidth="1"/>
    <col min="3" max="11" width="10.7109375" customWidth="1"/>
  </cols>
  <sheetData>
    <row r="1" spans="1:21" ht="50.1" customHeight="1" x14ac:dyDescent="0.4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2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3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25">
      <c r="A5" s="33" t="s">
        <v>176</v>
      </c>
    </row>
    <row r="6" spans="1:21" x14ac:dyDescent="0.2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2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25">
      <c r="B8" t="s">
        <v>156</v>
      </c>
      <c r="D8" s="19">
        <f>D44/AVERAGE(SUM(BS!C62,BS!C67),SUM(BS!D62,BS!D67))</f>
        <v>2.3899075380034478E-2</v>
      </c>
      <c r="E8" s="19">
        <f>E44/AVERAGE(SUM(BS!D62,BS!D67),SUM(BS!E62,BS!E67))</f>
        <v>2.630109955732108E-2</v>
      </c>
      <c r="F8" s="19">
        <f>F44/AVERAGE(SUM(BS!E62,BS!E67),SUM(BS!F62,BS!F67))</f>
        <v>1.8383444572107253E-2</v>
      </c>
      <c r="G8" s="19">
        <f>G44/AVERAGE(SUM(BS!F62,BS!F67),SUM(BS!G62,BS!G67))</f>
        <v>1.5576036092044795E-2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25">
      <c r="B9" t="s">
        <v>157</v>
      </c>
      <c r="D9" s="19">
        <f>'CFS and Debt Schedule'!D47/AVERAGE('CFS and Debt Schedule'!C46:D46)</f>
        <v>1.2063033598097099E-2</v>
      </c>
      <c r="E9" s="19">
        <f>'CFS and Debt Schedule'!E47/AVERAGE('CFS and Debt Schedule'!D46:E46)</f>
        <v>2.2661370891103585E-3</v>
      </c>
      <c r="F9" s="19">
        <f>'CFS and Debt Schedule'!F47/AVERAGE('CFS and Debt Schedule'!E46:F46)</f>
        <v>2.3492963123389446E-4</v>
      </c>
      <c r="G9" s="19">
        <f>'CFS and Debt Schedule'!G47/AVERAGE('CFS and Debt Schedule'!F46:G46)</f>
        <v>6.2600882549697118E-4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25">
      <c r="A10" s="11"/>
      <c r="B10" s="17"/>
    </row>
    <row r="11" spans="1:21" ht="15.75" x14ac:dyDescent="0.25">
      <c r="A11" s="11" t="s">
        <v>60</v>
      </c>
      <c r="B11" s="17"/>
    </row>
    <row r="12" spans="1:21" x14ac:dyDescent="0.25">
      <c r="B12" s="7" t="s">
        <v>61</v>
      </c>
    </row>
    <row r="13" spans="1:21" x14ac:dyDescent="0.25">
      <c r="B13" t="s">
        <v>26</v>
      </c>
      <c r="D13" s="17"/>
      <c r="E13" s="17"/>
      <c r="F13" s="17"/>
      <c r="G13" s="17"/>
      <c r="H13">
        <f>IS!H41</f>
        <v>60926.959183999985</v>
      </c>
      <c r="I13" t="str">
        <f ca="1">_xlfn.FORMULATEXT(H13)</f>
        <v>=IS!H41</v>
      </c>
    </row>
    <row r="14" spans="1:21" x14ac:dyDescent="0.25">
      <c r="B14" t="s">
        <v>14</v>
      </c>
      <c r="D14" s="17"/>
      <c r="E14" s="17"/>
      <c r="F14" s="17"/>
      <c r="G14" s="17"/>
      <c r="H14">
        <f>IS!H27*-1</f>
        <v>0</v>
      </c>
      <c r="I14" t="str">
        <f ca="1">IF(ISBLANK(H14),"",_xlfn.FORMULATEXT(H14))</f>
        <v>=IS!H27*-1</v>
      </c>
    </row>
    <row r="15" spans="1:21" x14ac:dyDescent="0.25">
      <c r="B15" t="s">
        <v>160</v>
      </c>
      <c r="D15" s="17"/>
      <c r="E15" s="17"/>
      <c r="F15" s="17"/>
      <c r="G15" s="17"/>
      <c r="H15">
        <f>-(BS!H19+BS!H25)</f>
        <v>21260.333665223665</v>
      </c>
      <c r="I15" t="str">
        <f t="shared" ref="I15:I20" ca="1" si="0">_xlfn.FORMULATEXT(H15)</f>
        <v>=-(BS!H19+BS!H25)</v>
      </c>
    </row>
    <row r="16" spans="1:21" x14ac:dyDescent="0.25">
      <c r="B16" t="s">
        <v>169</v>
      </c>
      <c r="D16" s="17"/>
      <c r="E16" s="17"/>
      <c r="F16" s="17"/>
      <c r="G16" s="17"/>
      <c r="H16">
        <f>-IS!H36</f>
        <v>0</v>
      </c>
      <c r="I16" t="str">
        <f t="shared" ca="1" si="0"/>
        <v>=-IS!H36</v>
      </c>
      <c r="N16" s="33"/>
    </row>
    <row r="17" spans="2:14" x14ac:dyDescent="0.25">
      <c r="B17" t="s">
        <v>166</v>
      </c>
      <c r="D17" s="14"/>
      <c r="E17" s="14"/>
      <c r="F17" s="14"/>
      <c r="G17" s="14"/>
      <c r="H17">
        <f>BS!G46-BS!H46</f>
        <v>-8854.9926246575487</v>
      </c>
      <c r="I17" t="str">
        <f t="shared" ca="1" si="0"/>
        <v>=BS!G46-BS!H46</v>
      </c>
    </row>
    <row r="18" spans="2:14" x14ac:dyDescent="0.25">
      <c r="B18" t="s">
        <v>167</v>
      </c>
      <c r="D18" s="14"/>
      <c r="E18" s="14"/>
      <c r="F18" s="14"/>
      <c r="G18" s="14"/>
      <c r="H18">
        <f>BS!G64-BS!H64</f>
        <v>0</v>
      </c>
      <c r="I18" t="str">
        <f t="shared" ca="1" si="0"/>
        <v>=BS!G64-BS!H64</v>
      </c>
    </row>
    <row r="19" spans="2:14" x14ac:dyDescent="0.25">
      <c r="B19" t="s">
        <v>168</v>
      </c>
      <c r="D19" s="14"/>
      <c r="E19" s="14"/>
      <c r="F19" s="14"/>
      <c r="G19" s="14"/>
      <c r="H19">
        <f>BS!H64-BS!G64</f>
        <v>0</v>
      </c>
      <c r="I19" t="str">
        <f t="shared" ca="1" si="0"/>
        <v>=BS!H64-BS!G64</v>
      </c>
    </row>
    <row r="20" spans="2:14" x14ac:dyDescent="0.25">
      <c r="B20" t="s">
        <v>62</v>
      </c>
      <c r="H20">
        <f>SUM(H13:H19)</f>
        <v>73332.300224566105</v>
      </c>
      <c r="I20" t="str">
        <f t="shared" ca="1" si="0"/>
        <v>=SUM(H13:H19)</v>
      </c>
    </row>
    <row r="21" spans="2:14" x14ac:dyDescent="0.25">
      <c r="B21" s="17"/>
      <c r="D21" s="6"/>
      <c r="E21" s="6"/>
      <c r="F21" s="6"/>
      <c r="G21" s="6"/>
    </row>
    <row r="22" spans="2:14" x14ac:dyDescent="0.25">
      <c r="B22" s="7" t="s">
        <v>63</v>
      </c>
      <c r="D22" s="6"/>
      <c r="E22" s="6"/>
      <c r="F22" s="6"/>
      <c r="G22" s="6"/>
    </row>
    <row r="23" spans="2:14" x14ac:dyDescent="0.25">
      <c r="B23" t="s">
        <v>64</v>
      </c>
      <c r="D23" s="14"/>
      <c r="E23" s="14"/>
      <c r="F23" s="14"/>
      <c r="G23" s="14"/>
      <c r="H23">
        <f>-BS!H24</f>
        <v>-14645.90365</v>
      </c>
      <c r="I23" t="str">
        <f t="shared" ref="I23:I27" ca="1" si="1">_xlfn.FORMULATEXT(H23)</f>
        <v>=-BS!H24</v>
      </c>
    </row>
    <row r="24" spans="2:14" x14ac:dyDescent="0.25">
      <c r="B24" t="s">
        <v>65</v>
      </c>
      <c r="D24" s="14"/>
      <c r="E24" s="14"/>
      <c r="F24" s="14"/>
      <c r="G24" s="14"/>
      <c r="H24">
        <f>-BS!H18</f>
        <v>-25107.263399999996</v>
      </c>
      <c r="I24" t="str">
        <f t="shared" ca="1" si="1"/>
        <v>=-BS!H18</v>
      </c>
    </row>
    <row r="25" spans="2:14" x14ac:dyDescent="0.25">
      <c r="B25" t="s">
        <v>171</v>
      </c>
      <c r="D25" s="14"/>
      <c r="E25" s="14"/>
      <c r="F25" s="14"/>
      <c r="G25" s="14"/>
      <c r="H25">
        <f>-BS!H31</f>
        <v>0</v>
      </c>
      <c r="I25" t="str">
        <f t="shared" ca="1" si="1"/>
        <v>=-BS!H31</v>
      </c>
    </row>
    <row r="26" spans="2:14" x14ac:dyDescent="0.25">
      <c r="B26" t="s">
        <v>66</v>
      </c>
      <c r="D26" s="14"/>
      <c r="E26" s="14"/>
      <c r="F26" s="14"/>
      <c r="G26" s="14"/>
      <c r="H26">
        <f>IS!H33</f>
        <v>0</v>
      </c>
      <c r="I26" t="str">
        <f t="shared" ca="1" si="1"/>
        <v>=IS!H33</v>
      </c>
      <c r="N26" s="33"/>
    </row>
    <row r="27" spans="2:14" x14ac:dyDescent="0.25">
      <c r="B27" t="s">
        <v>67</v>
      </c>
      <c r="H27">
        <f>SUM(H23:H26)</f>
        <v>-39753.167049999996</v>
      </c>
      <c r="I27" t="str">
        <f t="shared" ca="1" si="1"/>
        <v>=SUM(H23:H26)</v>
      </c>
    </row>
    <row r="28" spans="2:14" x14ac:dyDescent="0.25">
      <c r="B28" s="17"/>
      <c r="D28" s="6"/>
      <c r="E28" s="6"/>
      <c r="F28" s="6"/>
      <c r="G28" s="6"/>
    </row>
    <row r="29" spans="2:14" x14ac:dyDescent="0.25">
      <c r="B29" s="7" t="s">
        <v>68</v>
      </c>
      <c r="D29" s="6"/>
      <c r="E29" s="6"/>
      <c r="F29" s="6"/>
      <c r="G29" s="6"/>
    </row>
    <row r="30" spans="2:14" x14ac:dyDescent="0.25">
      <c r="B30" t="s">
        <v>181</v>
      </c>
      <c r="D30" s="14"/>
      <c r="E30" s="14"/>
      <c r="F30" s="14"/>
      <c r="G30" s="14"/>
      <c r="H30">
        <f>BS!H67-BS!G67</f>
        <v>0</v>
      </c>
      <c r="I30" t="str">
        <f t="shared" ref="I30:I34" ca="1" si="2">_xlfn.FORMULATEXT(H30)</f>
        <v>=BS!H67-BS!G67</v>
      </c>
    </row>
    <row r="31" spans="2:14" x14ac:dyDescent="0.25">
      <c r="B31" t="s">
        <v>180</v>
      </c>
      <c r="D31" s="14"/>
      <c r="E31" s="14"/>
      <c r="F31" s="14"/>
      <c r="G31" s="14"/>
      <c r="H31">
        <f>BS!H62-BS!G62</f>
        <v>0</v>
      </c>
      <c r="I31" t="str">
        <f t="shared" ca="1" si="2"/>
        <v>=BS!H62-BS!G62</v>
      </c>
    </row>
    <row r="32" spans="2:14" x14ac:dyDescent="0.25">
      <c r="B32" t="s">
        <v>69</v>
      </c>
      <c r="D32" s="14"/>
      <c r="E32" s="14"/>
      <c r="F32" s="14"/>
      <c r="G32" s="14"/>
      <c r="H32">
        <f>IS!H34</f>
        <v>0</v>
      </c>
      <c r="I32" t="str">
        <f t="shared" ca="1" si="2"/>
        <v>=IS!H34</v>
      </c>
      <c r="N32" s="33"/>
    </row>
    <row r="33" spans="1:11" x14ac:dyDescent="0.25">
      <c r="B33" t="s">
        <v>70</v>
      </c>
      <c r="D33" s="14"/>
      <c r="E33" s="14"/>
      <c r="F33" s="14"/>
      <c r="G33" s="14"/>
      <c r="H33">
        <f>BS!H37</f>
        <v>-15287.501820727255</v>
      </c>
      <c r="I33" t="str">
        <f t="shared" ca="1" si="2"/>
        <v>=BS!H37</v>
      </c>
    </row>
    <row r="34" spans="1:11" x14ac:dyDescent="0.25">
      <c r="B34" t="s">
        <v>71</v>
      </c>
      <c r="H34">
        <f>SUM(H30:H33)</f>
        <v>-15287.501820727255</v>
      </c>
      <c r="I34" t="str">
        <f t="shared" ca="1" si="2"/>
        <v>=SUM(H30:H33)</v>
      </c>
    </row>
    <row r="35" spans="1:11" x14ac:dyDescent="0.2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  <c r="H36">
        <f>H20+H27+H34</f>
        <v>18291.631353838853</v>
      </c>
      <c r="I36" t="str">
        <f ca="1">_xlfn.FORMULATEXT(H36)</f>
        <v>=H20+H27+H34</v>
      </c>
    </row>
    <row r="37" spans="1:11" x14ac:dyDescent="0.25">
      <c r="D37" s="2"/>
      <c r="E37" s="2"/>
      <c r="F37" s="2"/>
      <c r="G37" s="2"/>
      <c r="H37" s="2"/>
      <c r="I37" s="2"/>
      <c r="J37" s="2"/>
      <c r="K37" s="2"/>
    </row>
    <row r="38" spans="1:11" x14ac:dyDescent="0.25">
      <c r="B38" t="s">
        <v>161</v>
      </c>
      <c r="H38">
        <f>G39</f>
        <v>67426</v>
      </c>
      <c r="I38" t="str">
        <f t="shared" ref="I38:I39" ca="1" si="3">_xlfn.FORMULATEXT(H38)</f>
        <v>=G39</v>
      </c>
    </row>
    <row r="39" spans="1:11" x14ac:dyDescent="0.25">
      <c r="B39" t="s">
        <v>162</v>
      </c>
      <c r="C39">
        <f>BS!C58</f>
        <v>29251</v>
      </c>
      <c r="D39">
        <f>BS!D58</f>
        <v>41378</v>
      </c>
      <c r="E39">
        <f>BS!E58</f>
        <v>40700</v>
      </c>
      <c r="F39">
        <f>BS!F58</f>
        <v>95511</v>
      </c>
      <c r="G39">
        <f>BS!G58</f>
        <v>67426</v>
      </c>
      <c r="H39">
        <f>H36+H38</f>
        <v>85717.631353838849</v>
      </c>
      <c r="I39" t="str">
        <f t="shared" ca="1" si="3"/>
        <v>=H36+H38</v>
      </c>
    </row>
    <row r="40" spans="1:11" ht="13.5" customHeight="1" x14ac:dyDescent="0.25">
      <c r="B40" s="17"/>
    </row>
    <row r="41" spans="1:11" ht="15.75" x14ac:dyDescent="0.25">
      <c r="A41" s="28" t="s">
        <v>177</v>
      </c>
      <c r="B41" s="7"/>
    </row>
    <row r="42" spans="1:11" ht="15.75" x14ac:dyDescent="0.25">
      <c r="A42" s="28"/>
      <c r="B42" t="s">
        <v>179</v>
      </c>
      <c r="C42">
        <f>BS!C62</f>
        <v>32631</v>
      </c>
      <c r="D42">
        <f>BS!D62</f>
        <v>20828</v>
      </c>
      <c r="E42">
        <f>BS!E62</f>
        <v>27029</v>
      </c>
      <c r="F42">
        <f>BS!F62</f>
        <v>16589</v>
      </c>
      <c r="G42">
        <f>BS!G62</f>
        <v>72104</v>
      </c>
      <c r="H42">
        <f>BS!H62</f>
        <v>72104</v>
      </c>
      <c r="I42" t="str">
        <f t="shared" ref="I42:I44" ca="1" si="4">_xlfn.FORMULATEXT(H42)</f>
        <v>=BS!H62</v>
      </c>
    </row>
    <row r="43" spans="1:11" ht="15.75" x14ac:dyDescent="0.25">
      <c r="A43" s="28"/>
      <c r="B43" t="s">
        <v>178</v>
      </c>
      <c r="C43">
        <f>BS!C67</f>
        <v>10147</v>
      </c>
      <c r="D43">
        <f>BS!D67</f>
        <v>12966</v>
      </c>
      <c r="E43">
        <f>BS!E67</f>
        <v>16208</v>
      </c>
      <c r="F43">
        <f>BS!F67</f>
        <v>17635</v>
      </c>
      <c r="G43">
        <f>BS!G67</f>
        <v>12701</v>
      </c>
      <c r="H43">
        <f>BS!H67</f>
        <v>12701</v>
      </c>
      <c r="I43" t="str">
        <f t="shared" ca="1" si="4"/>
        <v>=BS!H67</v>
      </c>
    </row>
    <row r="44" spans="1:11" x14ac:dyDescent="0.25">
      <c r="B44" t="s">
        <v>54</v>
      </c>
      <c r="D44">
        <f>-IS!D34</f>
        <v>915</v>
      </c>
      <c r="E44">
        <f>-IS!E34</f>
        <v>1013</v>
      </c>
      <c r="F44">
        <f>-IS!F34</f>
        <v>712</v>
      </c>
      <c r="G44">
        <f>-IS!G34</f>
        <v>927</v>
      </c>
      <c r="H44">
        <f>H8*AVERAGE(SUM(G42:G43),SUM(H42:H43))</f>
        <v>1356.88</v>
      </c>
      <c r="I44" t="str">
        <f t="shared" ca="1" si="4"/>
        <v>=H8*AVERAGE(SUM(G42:G43),SUM(H42:H43))</v>
      </c>
    </row>
    <row r="46" spans="1:11" x14ac:dyDescent="0.25">
      <c r="B46" t="s">
        <v>55</v>
      </c>
      <c r="C46">
        <f>C39</f>
        <v>29251</v>
      </c>
      <c r="D46">
        <f t="shared" ref="D46:H46" si="5">D39</f>
        <v>41378</v>
      </c>
      <c r="E46">
        <f t="shared" si="5"/>
        <v>40700</v>
      </c>
      <c r="F46">
        <f t="shared" si="5"/>
        <v>95511</v>
      </c>
      <c r="G46">
        <f t="shared" si="5"/>
        <v>67426</v>
      </c>
      <c r="H46">
        <f t="shared" si="5"/>
        <v>85717.631353838849</v>
      </c>
      <c r="I46" t="str">
        <f t="shared" ref="I46:I47" ca="1" si="6">_xlfn.FORMULATEXT(H46)</f>
        <v>=H39</v>
      </c>
    </row>
    <row r="47" spans="1:11" x14ac:dyDescent="0.25">
      <c r="B47" t="s">
        <v>56</v>
      </c>
      <c r="D47">
        <f>IS!D33</f>
        <v>426</v>
      </c>
      <c r="E47">
        <f>IS!E33</f>
        <v>93</v>
      </c>
      <c r="F47">
        <f>IS!F33</f>
        <v>16</v>
      </c>
      <c r="G47">
        <f>IS!G33</f>
        <v>51</v>
      </c>
      <c r="H47">
        <f>H9*AVERAGE(G46:H46)</f>
        <v>76.571815676919414</v>
      </c>
      <c r="I47" t="str">
        <f t="shared" ca="1" si="6"/>
        <v>=H9*AVERAGE(G46:H46)</v>
      </c>
    </row>
    <row r="49" spans="2:9" x14ac:dyDescent="0.25">
      <c r="B49" t="s">
        <v>57</v>
      </c>
      <c r="C49">
        <f>C42+C43-C46</f>
        <v>13527</v>
      </c>
      <c r="D49">
        <f t="shared" ref="D49:H49" si="7">D42+D43-D46</f>
        <v>-7584</v>
      </c>
      <c r="E49">
        <f t="shared" si="7"/>
        <v>2537</v>
      </c>
      <c r="F49">
        <f t="shared" si="7"/>
        <v>-61287</v>
      </c>
      <c r="G49">
        <f t="shared" si="7"/>
        <v>17379</v>
      </c>
      <c r="H49">
        <f t="shared" si="7"/>
        <v>-912.63135383884946</v>
      </c>
      <c r="I49" t="str">
        <f ca="1">_xlfn.FORMULATEXT(H49)</f>
        <v>=H42+H43-H46</v>
      </c>
    </row>
    <row r="50" spans="2:9" x14ac:dyDescent="0.25">
      <c r="B50" s="17"/>
      <c r="C50" s="2"/>
    </row>
    <row r="53" spans="2:9" x14ac:dyDescent="0.25">
      <c r="B53" s="17"/>
    </row>
    <row r="54" spans="2:9" x14ac:dyDescent="0.25">
      <c r="B54" s="17"/>
    </row>
    <row r="55" spans="2:9" x14ac:dyDescent="0.25">
      <c r="B55" s="17"/>
    </row>
    <row r="56" spans="2:9" x14ac:dyDescent="0.25">
      <c r="B56" s="17"/>
    </row>
    <row r="57" spans="2:9" x14ac:dyDescent="0.25">
      <c r="B57" s="17"/>
    </row>
    <row r="58" spans="2:9" x14ac:dyDescent="0.25">
      <c r="B58" s="17"/>
    </row>
    <row r="59" spans="2:9" x14ac:dyDescent="0.25">
      <c r="B59" s="17"/>
    </row>
    <row r="60" spans="2:9" x14ac:dyDescent="0.25">
      <c r="B60" s="17"/>
    </row>
    <row r="61" spans="2:9" x14ac:dyDescent="0.25">
      <c r="B61" s="17"/>
    </row>
    <row r="62" spans="2:9" x14ac:dyDescent="0.25">
      <c r="B62" s="17"/>
    </row>
    <row r="63" spans="2:9" x14ac:dyDescent="0.25">
      <c r="B63" s="17"/>
    </row>
    <row r="64" spans="2:9" x14ac:dyDescent="0.25">
      <c r="B64" s="17"/>
    </row>
    <row r="65" spans="2:2" x14ac:dyDescent="0.25">
      <c r="B65" s="17"/>
    </row>
    <row r="66" spans="2:2" x14ac:dyDescent="0.25">
      <c r="B66" s="17"/>
    </row>
    <row r="67" spans="2:2" x14ac:dyDescent="0.25">
      <c r="B67" s="17"/>
    </row>
    <row r="68" spans="2:2" x14ac:dyDescent="0.25">
      <c r="B68" s="17"/>
    </row>
    <row r="69" spans="2:2" x14ac:dyDescent="0.25">
      <c r="B69" s="17"/>
    </row>
    <row r="70" spans="2:2" x14ac:dyDescent="0.25">
      <c r="B70" s="17"/>
    </row>
    <row r="71" spans="2:2" x14ac:dyDescent="0.25">
      <c r="B71" s="17"/>
    </row>
    <row r="72" spans="2:2" x14ac:dyDescent="0.25">
      <c r="B72" s="17"/>
    </row>
    <row r="73" spans="2:2" x14ac:dyDescent="0.25">
      <c r="B73" s="17"/>
    </row>
    <row r="74" spans="2:2" x14ac:dyDescent="0.25">
      <c r="B74" s="17"/>
    </row>
    <row r="75" spans="2:2" x14ac:dyDescent="0.25">
      <c r="B75" s="17"/>
    </row>
    <row r="76" spans="2:2" x14ac:dyDescent="0.25">
      <c r="B76" s="17"/>
    </row>
    <row r="77" spans="2:2" x14ac:dyDescent="0.25">
      <c r="B77" s="17"/>
    </row>
    <row r="78" spans="2:2" x14ac:dyDescent="0.25">
      <c r="B78" s="17"/>
    </row>
    <row r="79" spans="2:2" x14ac:dyDescent="0.25">
      <c r="B79" s="17"/>
    </row>
    <row r="80" spans="2:2" x14ac:dyDescent="0.25">
      <c r="B80" s="17"/>
    </row>
    <row r="81" spans="2:2" x14ac:dyDescent="0.25">
      <c r="B81" s="17"/>
    </row>
    <row r="82" spans="2:2" x14ac:dyDescent="0.25">
      <c r="B82" s="17"/>
    </row>
    <row r="83" spans="2:2" x14ac:dyDescent="0.25">
      <c r="B83" s="17"/>
    </row>
    <row r="84" spans="2:2" x14ac:dyDescent="0.25">
      <c r="B84" s="17"/>
    </row>
    <row r="85" spans="2:2" x14ac:dyDescent="0.25">
      <c r="B85" s="17"/>
    </row>
    <row r="86" spans="2:2" x14ac:dyDescent="0.25">
      <c r="B86" s="17"/>
    </row>
    <row r="87" spans="2:2" x14ac:dyDescent="0.25">
      <c r="B87" s="17"/>
    </row>
    <row r="88" spans="2:2" x14ac:dyDescent="0.25">
      <c r="B88" s="17"/>
    </row>
    <row r="89" spans="2:2" x14ac:dyDescent="0.25">
      <c r="B89" s="17"/>
    </row>
    <row r="90" spans="2:2" x14ac:dyDescent="0.25">
      <c r="B90" s="17"/>
    </row>
    <row r="91" spans="2:2" x14ac:dyDescent="0.25">
      <c r="B91" s="17"/>
    </row>
    <row r="92" spans="2:2" x14ac:dyDescent="0.25">
      <c r="B92" s="17"/>
    </row>
    <row r="93" spans="2:2" x14ac:dyDescent="0.25">
      <c r="B93" s="17"/>
    </row>
    <row r="94" spans="2:2" x14ac:dyDescent="0.25">
      <c r="B94" s="17"/>
    </row>
    <row r="95" spans="2:2" x14ac:dyDescent="0.25">
      <c r="B95" s="17"/>
    </row>
    <row r="96" spans="2:2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7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5" outlineLevelRow="1" x14ac:dyDescent="0.25"/>
  <cols>
    <col min="1" max="1" width="1.7109375" customWidth="1"/>
    <col min="2" max="2" width="55" customWidth="1"/>
    <col min="3" max="11" width="10.7109375" customWidth="1"/>
  </cols>
  <sheetData>
    <row r="1" spans="1:21" ht="50.1" customHeight="1" x14ac:dyDescent="0.4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2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3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25">
      <c r="A5" s="7" t="s">
        <v>135</v>
      </c>
    </row>
    <row r="6" spans="1:21" x14ac:dyDescent="0.2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2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2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2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2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2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2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2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2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2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2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2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2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2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2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2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25">
      <c r="A24" s="33" t="s">
        <v>138</v>
      </c>
    </row>
    <row r="25" spans="1:11" outlineLevel="1" x14ac:dyDescent="0.2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2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2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2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2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2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2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2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2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2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2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2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2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2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2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2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2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2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2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2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2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outlineLevelCol="1" x14ac:dyDescent="0.25"/>
  <cols>
    <col min="1" max="1" width="1.7109375" customWidth="1"/>
    <col min="2" max="2" width="55" customWidth="1"/>
    <col min="3" max="5" width="10.7109375" customWidth="1"/>
    <col min="6" max="6" width="10.7109375" hidden="1" customWidth="1" outlineLevel="1"/>
    <col min="7" max="7" width="10.85546875" hidden="1" customWidth="1" outlineLevel="1"/>
    <col min="8" max="8" width="10.7109375" customWidth="1" collapsed="1"/>
    <col min="9" max="19" width="10.7109375" customWidth="1"/>
  </cols>
  <sheetData>
    <row r="1" spans="1:19" ht="50.1" customHeight="1" x14ac:dyDescent="0.4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2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3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25">
      <c r="A5" s="28" t="s">
        <v>129</v>
      </c>
      <c r="B5" s="11"/>
    </row>
    <row r="6" spans="1:19" x14ac:dyDescent="0.2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2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2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25">
      <c r="B9" s="17" t="s">
        <v>96</v>
      </c>
      <c r="C9" s="26">
        <v>9.5</v>
      </c>
      <c r="F9" s="26"/>
    </row>
    <row r="10" spans="1:19" x14ac:dyDescent="0.25">
      <c r="B10" s="17"/>
    </row>
    <row r="11" spans="1:19" x14ac:dyDescent="0.2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2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2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25">
      <c r="B14" s="17" t="s">
        <v>96</v>
      </c>
      <c r="C14" s="26">
        <v>5.8</v>
      </c>
      <c r="E14" s="18"/>
      <c r="F14" s="26"/>
      <c r="G14" s="26"/>
    </row>
    <row r="16" spans="1:19" x14ac:dyDescent="0.25">
      <c r="B16" s="17" t="s">
        <v>125</v>
      </c>
      <c r="C16" s="27">
        <v>1.2</v>
      </c>
    </row>
    <row r="17" spans="1:20" ht="15.75" x14ac:dyDescent="0.25">
      <c r="A17" s="28" t="s">
        <v>97</v>
      </c>
    </row>
    <row r="18" spans="1:20" x14ac:dyDescent="0.2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2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25">
      <c r="B21" t="s">
        <v>100</v>
      </c>
      <c r="C21" s="30">
        <v>0.9</v>
      </c>
    </row>
    <row r="22" spans="1:20" x14ac:dyDescent="0.25">
      <c r="B22" t="s">
        <v>101</v>
      </c>
      <c r="C22" s="32">
        <f>INDEX(I3:S3,MATCH(C23,I37:S37,0))</f>
        <v>46387</v>
      </c>
      <c r="D22" s="17" t="str">
        <f ca="1">_xlfn.FORMULATEXT(C22)</f>
        <v>=INDEX(I3:S3,MATCH(C23,I37:S37,0))</v>
      </c>
    </row>
    <row r="23" spans="1:20" x14ac:dyDescent="0.25">
      <c r="B23" t="s">
        <v>102</v>
      </c>
      <c r="C23" s="15">
        <f>MAX(J37:S37)</f>
        <v>7.4999999999999997E-2</v>
      </c>
      <c r="D23" s="17" t="str">
        <f ca="1">_xlfn.FORMULATEXT(C23)</f>
        <v>=MAX(J37:S37)</v>
      </c>
    </row>
    <row r="25" spans="1:20" x14ac:dyDescent="0.25">
      <c r="B25" t="s">
        <v>103</v>
      </c>
      <c r="C25" s="30">
        <v>0.7</v>
      </c>
    </row>
    <row r="26" spans="1:20" x14ac:dyDescent="0.25">
      <c r="B26" t="s">
        <v>104</v>
      </c>
      <c r="C26" s="18">
        <f>1-C25</f>
        <v>0.30000000000000004</v>
      </c>
    </row>
    <row r="27" spans="1:20" x14ac:dyDescent="0.25">
      <c r="B27" t="s">
        <v>105</v>
      </c>
      <c r="C27" s="30">
        <v>0.2</v>
      </c>
    </row>
    <row r="29" spans="1:20" x14ac:dyDescent="0.25">
      <c r="B29" t="s">
        <v>106</v>
      </c>
      <c r="C29" s="30">
        <v>0.8</v>
      </c>
    </row>
    <row r="30" spans="1:20" x14ac:dyDescent="0.25">
      <c r="B30" t="s">
        <v>107</v>
      </c>
      <c r="C30" s="30">
        <v>0.95</v>
      </c>
    </row>
    <row r="31" spans="1:20" x14ac:dyDescent="0.25">
      <c r="B31" t="s">
        <v>108</v>
      </c>
      <c r="C31" s="30">
        <v>0.03</v>
      </c>
    </row>
    <row r="32" spans="1:20" x14ac:dyDescent="0.25">
      <c r="B32" t="s">
        <v>109</v>
      </c>
      <c r="C32" s="22">
        <v>20</v>
      </c>
    </row>
    <row r="33" spans="2:27" x14ac:dyDescent="0.25">
      <c r="B33" t="s">
        <v>214</v>
      </c>
      <c r="C33" s="30">
        <v>0.04</v>
      </c>
    </row>
    <row r="34" spans="2:27" x14ac:dyDescent="0.25">
      <c r="B34" t="s">
        <v>215</v>
      </c>
      <c r="C34" s="30">
        <v>0.2</v>
      </c>
    </row>
    <row r="35" spans="2:27" x14ac:dyDescent="0.25">
      <c r="B35" t="s">
        <v>110</v>
      </c>
      <c r="C35" s="30">
        <v>0.25</v>
      </c>
    </row>
    <row r="37" spans="2:27" x14ac:dyDescent="0.2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2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2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2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25">
      <c r="B42" t="s">
        <v>114</v>
      </c>
    </row>
    <row r="43" spans="2:27" x14ac:dyDescent="0.2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2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2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2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2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2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2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2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2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25">
      <c r="A56" s="28" t="s">
        <v>94</v>
      </c>
    </row>
    <row r="57" spans="1:20" x14ac:dyDescent="0.2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2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25">
      <c r="B60" t="s">
        <v>100</v>
      </c>
      <c r="C60" s="30">
        <v>0.9</v>
      </c>
    </row>
    <row r="61" spans="1:20" x14ac:dyDescent="0.2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25">
      <c r="B63" t="s">
        <v>103</v>
      </c>
      <c r="C63" s="30">
        <v>0</v>
      </c>
    </row>
    <row r="64" spans="1:20" x14ac:dyDescent="0.25">
      <c r="B64" t="s">
        <v>105</v>
      </c>
      <c r="C64" s="30">
        <v>0.3</v>
      </c>
    </row>
    <row r="66" spans="2:20" x14ac:dyDescent="0.25">
      <c r="B66" t="s">
        <v>106</v>
      </c>
      <c r="C66" s="30">
        <v>0.85</v>
      </c>
    </row>
    <row r="67" spans="2:20" x14ac:dyDescent="0.25">
      <c r="B67" t="s">
        <v>107</v>
      </c>
      <c r="C67" s="30">
        <v>0.95</v>
      </c>
    </row>
    <row r="68" spans="2:20" x14ac:dyDescent="0.25">
      <c r="B68" t="s">
        <v>214</v>
      </c>
      <c r="C68" s="23">
        <v>0.03</v>
      </c>
    </row>
    <row r="69" spans="2:20" x14ac:dyDescent="0.25">
      <c r="B69" t="s">
        <v>109</v>
      </c>
      <c r="C69" s="22">
        <v>0</v>
      </c>
    </row>
    <row r="70" spans="2:20" x14ac:dyDescent="0.25">
      <c r="B70" t="s">
        <v>110</v>
      </c>
      <c r="C70" s="23">
        <v>0.25</v>
      </c>
    </row>
    <row r="72" spans="2:20" x14ac:dyDescent="0.2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2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2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2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25">
      <c r="B77" t="s">
        <v>114</v>
      </c>
    </row>
    <row r="78" spans="2:20" x14ac:dyDescent="0.2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2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2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2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2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2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2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2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2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25">
      <c r="A91" s="34" t="s">
        <v>133</v>
      </c>
      <c r="B91" s="35"/>
      <c r="H91" s="36"/>
    </row>
    <row r="92" spans="1:20" x14ac:dyDescent="0.2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2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2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2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2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2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25">
      <c r="A99" s="34" t="s">
        <v>134</v>
      </c>
      <c r="B99" s="35"/>
      <c r="H99" s="36"/>
    </row>
    <row r="100" spans="1:22" x14ac:dyDescent="0.2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2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2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2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2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2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5" x14ac:dyDescent="0.25"/>
  <sheetData>
    <row r="1" spans="2:2" x14ac:dyDescent="0.25">
      <c r="B1" t="s">
        <v>120</v>
      </c>
    </row>
    <row r="2" spans="2:2" x14ac:dyDescent="0.25">
      <c r="B2" t="s">
        <v>121</v>
      </c>
    </row>
    <row r="3" spans="2:2" x14ac:dyDescent="0.25">
      <c r="B3" t="s">
        <v>122</v>
      </c>
    </row>
    <row r="4" spans="2:2" x14ac:dyDescent="0.25">
      <c r="B4" t="s">
        <v>123</v>
      </c>
    </row>
    <row r="5" spans="2:2" x14ac:dyDescent="0.2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MediaLengthInSeconds xmlns="69eded41-6c5d-4718-b7b7-dbfd1652bccf" xsi:nil="true"/>
    <SharedWithUsers xmlns="6ea4884f-dd23-4a9e-9674-e0962577458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E70D125-8929-419F-9F75-4FB8EBD38A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652452-2492-407B-8482-71FAF5E350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26669F-171B-42E0-B636-7C859E26CDAC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Andrew Jones</cp:lastModifiedBy>
  <cp:revision/>
  <dcterms:created xsi:type="dcterms:W3CDTF">2021-01-14T11:38:36Z</dcterms:created>
  <dcterms:modified xsi:type="dcterms:W3CDTF">2026-03-03T06:27:02Z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