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9. Finishing off the income statement - Final/"/>
    </mc:Choice>
  </mc:AlternateContent>
  <xr:revisionPtr revIDLastSave="7" documentId="13_ncr:1_{034B2CF3-530A-4068-BBD4-53BB17FB0029}" xr6:coauthVersionLast="47" xr6:coauthVersionMax="47" xr10:uidLastSave="{17DFF9A6-3F50-448D-B620-DF4F3978443B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  <c r="J14" i="7"/>
  <c r="K14" i="7"/>
  <c r="H14" i="7"/>
  <c r="I18" i="7"/>
  <c r="J18" i="7"/>
  <c r="K18" i="7"/>
  <c r="I19" i="7"/>
  <c r="J19" i="7"/>
  <c r="K19" i="7"/>
  <c r="I25" i="7"/>
  <c r="J25" i="7"/>
  <c r="K25" i="7"/>
  <c r="I29" i="6"/>
  <c r="I30" i="6"/>
  <c r="I31" i="6" s="1"/>
  <c r="J30" i="6"/>
  <c r="K30" i="6"/>
  <c r="J31" i="6"/>
  <c r="K31" i="6"/>
  <c r="I52" i="6"/>
  <c r="J52" i="6"/>
  <c r="K52" i="6"/>
  <c r="I53" i="6"/>
  <c r="J53" i="6"/>
  <c r="K53" i="6"/>
  <c r="I57" i="6"/>
  <c r="I43" i="6" s="1"/>
  <c r="J57" i="6"/>
  <c r="K57" i="6" s="1"/>
  <c r="K43" i="6" s="1"/>
  <c r="I63" i="6"/>
  <c r="J63" i="6"/>
  <c r="K63" i="6"/>
  <c r="I64" i="6"/>
  <c r="J64" i="6"/>
  <c r="K64" i="6"/>
  <c r="I67" i="6"/>
  <c r="I30" i="7" s="1"/>
  <c r="I69" i="6"/>
  <c r="I45" i="6" s="1"/>
  <c r="J69" i="6"/>
  <c r="K69" i="6" s="1"/>
  <c r="K45" i="6" s="1"/>
  <c r="I18" i="2"/>
  <c r="J18" i="2"/>
  <c r="K18" i="2"/>
  <c r="I26" i="2"/>
  <c r="J26" i="2"/>
  <c r="K26" i="2"/>
  <c r="I27" i="2"/>
  <c r="J27" i="2"/>
  <c r="K27" i="2"/>
  <c r="I35" i="2"/>
  <c r="J35" i="2"/>
  <c r="K35" i="2"/>
  <c r="I44" i="2"/>
  <c r="J44" i="2" s="1"/>
  <c r="K44" i="2" s="1"/>
  <c r="I45" i="2"/>
  <c r="J45" i="2"/>
  <c r="K45" i="2"/>
  <c r="H30" i="2"/>
  <c r="E47" i="7"/>
  <c r="F47" i="7"/>
  <c r="G47" i="7"/>
  <c r="D47" i="7"/>
  <c r="D46" i="7"/>
  <c r="E46" i="7"/>
  <c r="C46" i="7"/>
  <c r="E44" i="7"/>
  <c r="F44" i="7"/>
  <c r="G44" i="7"/>
  <c r="D44" i="7"/>
  <c r="D42" i="7"/>
  <c r="D49" i="7" s="1"/>
  <c r="E42" i="7"/>
  <c r="F42" i="7"/>
  <c r="G42" i="7"/>
  <c r="D43" i="7"/>
  <c r="E43" i="7"/>
  <c r="E49" i="7" s="1"/>
  <c r="F43" i="7"/>
  <c r="F49" i="7" s="1"/>
  <c r="G43" i="7"/>
  <c r="H43" i="7"/>
  <c r="C43" i="7"/>
  <c r="C42" i="7"/>
  <c r="C49" i="7" s="1"/>
  <c r="D39" i="7"/>
  <c r="E39" i="7"/>
  <c r="F39" i="7"/>
  <c r="F46" i="7" s="1"/>
  <c r="G39" i="7"/>
  <c r="H38" i="7" s="1"/>
  <c r="C39" i="7"/>
  <c r="H30" i="7"/>
  <c r="H25" i="7"/>
  <c r="H19" i="7"/>
  <c r="H18" i="7"/>
  <c r="D41" i="6"/>
  <c r="E41" i="6"/>
  <c r="F41" i="6"/>
  <c r="G41" i="6"/>
  <c r="D42" i="6"/>
  <c r="D46" i="6" s="1"/>
  <c r="E42" i="6"/>
  <c r="E46" i="6" s="1"/>
  <c r="F42" i="6"/>
  <c r="F46" i="6" s="1"/>
  <c r="G42" i="6"/>
  <c r="D43" i="6"/>
  <c r="E43" i="6"/>
  <c r="F43" i="6"/>
  <c r="G43" i="6"/>
  <c r="G46" i="6" s="1"/>
  <c r="H43" i="6"/>
  <c r="D44" i="6"/>
  <c r="E44" i="6"/>
  <c r="F44" i="6"/>
  <c r="G44" i="6"/>
  <c r="D45" i="6"/>
  <c r="E45" i="6"/>
  <c r="F45" i="6"/>
  <c r="G45" i="6"/>
  <c r="H45" i="6"/>
  <c r="C46" i="6"/>
  <c r="C45" i="6"/>
  <c r="C44" i="6"/>
  <c r="C43" i="6"/>
  <c r="C42" i="6"/>
  <c r="C41" i="6"/>
  <c r="H15" i="7"/>
  <c r="D76" i="6"/>
  <c r="E76" i="6"/>
  <c r="F76" i="6"/>
  <c r="G76" i="6"/>
  <c r="C76" i="6"/>
  <c r="D74" i="6"/>
  <c r="E74" i="6"/>
  <c r="F74" i="6"/>
  <c r="G74" i="6"/>
  <c r="C74" i="6"/>
  <c r="D71" i="6"/>
  <c r="E71" i="6"/>
  <c r="F71" i="6"/>
  <c r="G71" i="6"/>
  <c r="C71" i="6"/>
  <c r="H69" i="6"/>
  <c r="H67" i="6"/>
  <c r="H64" i="6"/>
  <c r="H63" i="6"/>
  <c r="H62" i="6"/>
  <c r="H42" i="7" s="1"/>
  <c r="D60" i="6"/>
  <c r="E60" i="6"/>
  <c r="F60" i="6"/>
  <c r="G60" i="6"/>
  <c r="C60" i="6"/>
  <c r="H57" i="6"/>
  <c r="H53" i="6"/>
  <c r="H52" i="6"/>
  <c r="H51" i="6"/>
  <c r="H35" i="6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D21" i="2"/>
  <c r="E21" i="2"/>
  <c r="F21" i="2"/>
  <c r="G21" i="2"/>
  <c r="C21" i="2"/>
  <c r="H18" i="2"/>
  <c r="D19" i="2"/>
  <c r="E19" i="2"/>
  <c r="F19" i="2"/>
  <c r="G19" i="2"/>
  <c r="C19" i="2"/>
  <c r="I75" i="6"/>
  <c r="I78" i="6"/>
  <c r="I79" i="6"/>
  <c r="I77" i="6"/>
  <c r="L14" i="7"/>
  <c r="T72" i="4"/>
  <c r="L50" i="6"/>
  <c r="L26" i="2"/>
  <c r="T94" i="4"/>
  <c r="L17" i="7"/>
  <c r="L31" i="2"/>
  <c r="L41" i="2"/>
  <c r="L32" i="1"/>
  <c r="L25" i="6"/>
  <c r="T53" i="4"/>
  <c r="L36" i="6"/>
  <c r="T78" i="4"/>
  <c r="L19" i="6"/>
  <c r="T88" i="4"/>
  <c r="L30" i="7"/>
  <c r="L53" i="2"/>
  <c r="T97" i="4"/>
  <c r="L26" i="7"/>
  <c r="L52" i="2"/>
  <c r="L32" i="6"/>
  <c r="L25" i="7"/>
  <c r="L51" i="2"/>
  <c r="L37" i="1"/>
  <c r="T38" i="4"/>
  <c r="L37" i="6"/>
  <c r="T50" i="4"/>
  <c r="L44" i="6"/>
  <c r="T75" i="4"/>
  <c r="L18" i="6"/>
  <c r="L25" i="2"/>
  <c r="T86" i="4"/>
  <c r="L18" i="7"/>
  <c r="L30" i="2"/>
  <c r="L21" i="2"/>
  <c r="L15" i="7"/>
  <c r="L40" i="1"/>
  <c r="T96" i="4"/>
  <c r="L36" i="7"/>
  <c r="T73" i="4"/>
  <c r="L23" i="7"/>
  <c r="T103" i="4"/>
  <c r="L32" i="7"/>
  <c r="L68" i="6"/>
  <c r="L36" i="1"/>
  <c r="T79" i="4"/>
  <c r="L44" i="2"/>
  <c r="T44" i="4"/>
  <c r="L67" i="6"/>
  <c r="T83" i="4"/>
  <c r="L13" i="7"/>
  <c r="L24" i="2"/>
  <c r="T102" i="4"/>
  <c r="D23" i="4"/>
  <c r="L34" i="1"/>
  <c r="L76" i="6"/>
  <c r="D61" i="4"/>
  <c r="L58" i="6"/>
  <c r="L34" i="2"/>
  <c r="T93" i="4"/>
  <c r="L33" i="7"/>
  <c r="L55" i="2"/>
  <c r="L39" i="7"/>
  <c r="L41" i="1"/>
  <c r="L71" i="6"/>
  <c r="T39" i="4"/>
  <c r="L45" i="6"/>
  <c r="T51" i="4"/>
  <c r="L35" i="6"/>
  <c r="T74" i="4"/>
  <c r="L26" i="6"/>
  <c r="L33" i="2"/>
  <c r="L29" i="6"/>
  <c r="L23" i="6"/>
  <c r="L44" i="1"/>
  <c r="L30" i="1"/>
  <c r="L27" i="1"/>
  <c r="T40" i="4"/>
  <c r="L43" i="6"/>
  <c r="L28" i="1"/>
  <c r="L20" i="6"/>
  <c r="L42" i="7"/>
  <c r="L36" i="2"/>
  <c r="L34" i="7"/>
  <c r="L43" i="1"/>
  <c r="L38" i="1"/>
  <c r="L39" i="1"/>
  <c r="T92" i="4"/>
  <c r="T100" i="4"/>
  <c r="L22" i="2"/>
  <c r="L51" i="6"/>
  <c r="L38" i="7"/>
  <c r="L35" i="2"/>
  <c r="T104" i="4"/>
  <c r="L18" i="2"/>
  <c r="D22" i="4"/>
  <c r="L33" i="1"/>
  <c r="L31" i="6"/>
  <c r="T43" i="4"/>
  <c r="L46" i="6"/>
  <c r="T80" i="4"/>
  <c r="L40" i="2"/>
  <c r="L41" i="6"/>
  <c r="L57" i="6"/>
  <c r="L52" i="6"/>
  <c r="T47" i="4"/>
  <c r="L55" i="6"/>
  <c r="L69" i="6"/>
  <c r="L38" i="2"/>
  <c r="L62" i="6"/>
  <c r="L48" i="2"/>
  <c r="L24" i="6"/>
  <c r="L47" i="2"/>
  <c r="L63" i="6"/>
  <c r="L43" i="7"/>
  <c r="L16" i="7"/>
  <c r="L54" i="2"/>
  <c r="T85" i="4"/>
  <c r="T18" i="4"/>
  <c r="L45" i="1"/>
  <c r="L56" i="6"/>
  <c r="T48" i="4"/>
  <c r="L42" i="1"/>
  <c r="L30" i="6"/>
  <c r="T54" i="4"/>
  <c r="L74" i="6"/>
  <c r="L17" i="2"/>
  <c r="L25" i="1"/>
  <c r="L28" i="2"/>
  <c r="L27" i="7"/>
  <c r="L31" i="1"/>
  <c r="L49" i="6"/>
  <c r="L26" i="1"/>
  <c r="L35" i="1"/>
  <c r="L53" i="6"/>
  <c r="T37" i="4"/>
  <c r="L60" i="6"/>
  <c r="T105" i="4"/>
  <c r="L24" i="7"/>
  <c r="L27" i="2"/>
  <c r="L42" i="6"/>
  <c r="T45" i="4"/>
  <c r="T101" i="4"/>
  <c r="L19" i="2"/>
  <c r="L73" i="6"/>
  <c r="T95" i="4"/>
  <c r="L64" i="6"/>
  <c r="L19" i="7"/>
  <c r="L20" i="7"/>
  <c r="L45" i="2"/>
  <c r="L17" i="6"/>
  <c r="L29" i="1"/>
  <c r="T82" i="4"/>
  <c r="L38" i="6"/>
  <c r="T89" i="4"/>
  <c r="L56" i="2"/>
  <c r="L31" i="7"/>
  <c r="G49" i="7" l="1"/>
  <c r="H31" i="7"/>
  <c r="G46" i="7"/>
  <c r="H44" i="7"/>
  <c r="H34" i="2" s="1"/>
  <c r="H32" i="7" s="1"/>
  <c r="J67" i="6"/>
  <c r="I62" i="6"/>
  <c r="I43" i="7"/>
  <c r="I32" i="6"/>
  <c r="J43" i="6"/>
  <c r="J45" i="6"/>
  <c r="G44" i="2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I25" i="1"/>
  <c r="J25" i="1" s="1"/>
  <c r="I27" i="1"/>
  <c r="I29" i="1"/>
  <c r="J29" i="1" s="1"/>
  <c r="K29" i="1" s="1"/>
  <c r="I36" i="1"/>
  <c r="J36" i="1" s="1"/>
  <c r="K36" i="1" s="1"/>
  <c r="I38" i="1"/>
  <c r="J38" i="1"/>
  <c r="K38" i="1"/>
  <c r="H44" i="1"/>
  <c r="I44" i="1" s="1"/>
  <c r="J44" i="1" s="1"/>
  <c r="K44" i="1" s="1"/>
  <c r="H43" i="1"/>
  <c r="I43" i="1" s="1"/>
  <c r="J43" i="1" s="1"/>
  <c r="K43" i="1" s="1"/>
  <c r="H41" i="1"/>
  <c r="I41" i="1" s="1"/>
  <c r="J41" i="1" s="1"/>
  <c r="K41" i="1" s="1"/>
  <c r="H40" i="1"/>
  <c r="I40" i="1" s="1"/>
  <c r="J40" i="1" s="1"/>
  <c r="K40" i="1" s="1"/>
  <c r="H38" i="1"/>
  <c r="H29" i="1"/>
  <c r="H31" i="1"/>
  <c r="I31" i="1" s="1"/>
  <c r="J31" i="1" s="1"/>
  <c r="K31" i="1" s="1"/>
  <c r="H32" i="1"/>
  <c r="I32" i="1" s="1"/>
  <c r="J32" i="1" s="1"/>
  <c r="K32" i="1" s="1"/>
  <c r="H33" i="1"/>
  <c r="I33" i="1" s="1"/>
  <c r="J33" i="1" s="1"/>
  <c r="K33" i="1" s="1"/>
  <c r="H35" i="1"/>
  <c r="I35" i="1" s="1"/>
  <c r="J35" i="1" s="1"/>
  <c r="K35" i="1" s="1"/>
  <c r="H36" i="1"/>
  <c r="H28" i="1"/>
  <c r="I28" i="1" s="1"/>
  <c r="J28" i="1" s="1"/>
  <c r="K28" i="1" s="1"/>
  <c r="H26" i="1"/>
  <c r="I26" i="1" s="1"/>
  <c r="J26" i="1" s="1"/>
  <c r="K26" i="1" s="1"/>
  <c r="H25" i="1"/>
  <c r="C42" i="1"/>
  <c r="C45" i="1" s="1"/>
  <c r="C17" i="2" s="1"/>
  <c r="C39" i="1"/>
  <c r="D27" i="1"/>
  <c r="E27" i="1"/>
  <c r="E39" i="1" s="1"/>
  <c r="E42" i="1" s="1"/>
  <c r="E45" i="1" s="1"/>
  <c r="E17" i="2" s="1"/>
  <c r="F27" i="1"/>
  <c r="F39" i="1" s="1"/>
  <c r="F42" i="1" s="1"/>
  <c r="F45" i="1" s="1"/>
  <c r="F17" i="2" s="1"/>
  <c r="G27" i="1"/>
  <c r="G39" i="1" s="1"/>
  <c r="G42" i="1" s="1"/>
  <c r="G45" i="1" s="1"/>
  <c r="G17" i="2" s="1"/>
  <c r="C27" i="1"/>
  <c r="C9" i="2"/>
  <c r="I44" i="7" l="1"/>
  <c r="I34" i="2" s="1"/>
  <c r="I32" i="7" s="1"/>
  <c r="K67" i="6"/>
  <c r="J30" i="7"/>
  <c r="J43" i="7"/>
  <c r="J62" i="6"/>
  <c r="I31" i="7"/>
  <c r="I42" i="7"/>
  <c r="I51" i="6"/>
  <c r="J29" i="6"/>
  <c r="J32" i="6" s="1"/>
  <c r="L57" i="4"/>
  <c r="K73" i="4"/>
  <c r="K18" i="4"/>
  <c r="L18" i="4" s="1"/>
  <c r="M18" i="4" s="1"/>
  <c r="N18" i="4" s="1"/>
  <c r="J38" i="4"/>
  <c r="J39" i="4" s="1"/>
  <c r="Q37" i="4"/>
  <c r="M37" i="4"/>
  <c r="J27" i="1"/>
  <c r="K25" i="1"/>
  <c r="K27" i="1" s="1"/>
  <c r="H27" i="1"/>
  <c r="D52" i="2"/>
  <c r="E52" i="2"/>
  <c r="F52" i="2"/>
  <c r="G52" i="2"/>
  <c r="J44" i="7" l="1"/>
  <c r="J34" i="2" s="1"/>
  <c r="J32" i="7" s="1"/>
  <c r="J42" i="7"/>
  <c r="J31" i="7"/>
  <c r="K62" i="6"/>
  <c r="K30" i="7"/>
  <c r="K43" i="7"/>
  <c r="J51" i="6"/>
  <c r="K29" i="6"/>
  <c r="K32" i="6" s="1"/>
  <c r="K51" i="6" s="1"/>
  <c r="J40" i="4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42" i="7" l="1"/>
  <c r="K44" i="7" s="1"/>
  <c r="K34" i="2" s="1"/>
  <c r="K32" i="7" s="1"/>
  <c r="K31" i="7"/>
  <c r="K75" i="4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I37" i="1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3" i="4"/>
  <c r="G12" i="4"/>
  <c r="G7" i="4"/>
  <c r="G8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K37" i="1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J37" i="1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I34" i="1" l="1"/>
  <c r="J34" i="1" s="1"/>
  <c r="K34" i="1" s="1"/>
  <c r="N82" i="4"/>
  <c r="I30" i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H56" i="6"/>
  <c r="H42" i="6" s="1"/>
  <c r="J30" i="1"/>
  <c r="I39" i="1"/>
  <c r="I42" i="1" s="1"/>
  <c r="I45" i="1" s="1"/>
  <c r="I17" i="2" s="1"/>
  <c r="I19" i="2" s="1"/>
  <c r="N88" i="4"/>
  <c r="N89" i="4" s="1"/>
  <c r="N83" i="4"/>
  <c r="K9" i="6"/>
  <c r="H3" i="6"/>
  <c r="H20" i="6" l="1"/>
  <c r="H24" i="7"/>
  <c r="H26" i="6"/>
  <c r="H23" i="7"/>
  <c r="I24" i="6"/>
  <c r="I23" i="7" s="1"/>
  <c r="I18" i="6"/>
  <c r="I24" i="7" s="1"/>
  <c r="I56" i="6"/>
  <c r="I42" i="6" s="1"/>
  <c r="I25" i="2"/>
  <c r="I22" i="2"/>
  <c r="I24" i="2"/>
  <c r="I52" i="2" s="1"/>
  <c r="H21" i="2"/>
  <c r="H55" i="6" s="1"/>
  <c r="H41" i="6" s="1"/>
  <c r="H28" i="2"/>
  <c r="H51" i="2"/>
  <c r="K30" i="1"/>
  <c r="K39" i="1" s="1"/>
  <c r="K42" i="1" s="1"/>
  <c r="K45" i="1" s="1"/>
  <c r="K17" i="2" s="1"/>
  <c r="K19" i="2" s="1"/>
  <c r="J39" i="1"/>
  <c r="J42" i="1" s="1"/>
  <c r="J45" i="1" s="1"/>
  <c r="J17" i="2" s="1"/>
  <c r="J19" i="2" s="1"/>
  <c r="I3" i="6"/>
  <c r="J24" i="2" l="1"/>
  <c r="J52" i="2" s="1"/>
  <c r="J24" i="6"/>
  <c r="J23" i="7" s="1"/>
  <c r="J18" i="6"/>
  <c r="J24" i="7" s="1"/>
  <c r="J56" i="6"/>
  <c r="J42" i="6" s="1"/>
  <c r="J22" i="2"/>
  <c r="J25" i="2"/>
  <c r="K24" i="6"/>
  <c r="K23" i="7" s="1"/>
  <c r="K18" i="6"/>
  <c r="K24" i="7" s="1"/>
  <c r="K56" i="6"/>
  <c r="K42" i="6" s="1"/>
  <c r="K22" i="2"/>
  <c r="K24" i="2"/>
  <c r="K52" i="2" s="1"/>
  <c r="K25" i="2"/>
  <c r="H31" i="2"/>
  <c r="H56" i="2" s="1"/>
  <c r="H53" i="2"/>
  <c r="H68" i="6"/>
  <c r="I21" i="2"/>
  <c r="I55" i="6" s="1"/>
  <c r="I41" i="6" s="1"/>
  <c r="I51" i="2"/>
  <c r="I28" i="2"/>
  <c r="H50" i="6"/>
  <c r="I23" i="6"/>
  <c r="I17" i="6"/>
  <c r="H49" i="6"/>
  <c r="J3" i="6"/>
  <c r="I25" i="6" l="1"/>
  <c r="I26" i="6"/>
  <c r="J51" i="2"/>
  <c r="J21" i="2"/>
  <c r="J55" i="6" s="1"/>
  <c r="J41" i="6" s="1"/>
  <c r="J28" i="2"/>
  <c r="I53" i="2"/>
  <c r="I68" i="6"/>
  <c r="I19" i="6"/>
  <c r="K28" i="2"/>
  <c r="K51" i="2"/>
  <c r="K21" i="2"/>
  <c r="K55" i="6" s="1"/>
  <c r="K41" i="6" s="1"/>
  <c r="H71" i="6"/>
  <c r="H44" i="6"/>
  <c r="H46" i="6" s="1"/>
  <c r="K3" i="6"/>
  <c r="I30" i="2" l="1"/>
  <c r="I15" i="7"/>
  <c r="J23" i="6"/>
  <c r="I50" i="6"/>
  <c r="H17" i="7"/>
  <c r="I44" i="6"/>
  <c r="I46" i="6" s="1"/>
  <c r="I17" i="7" s="1"/>
  <c r="I71" i="6"/>
  <c r="J53" i="2"/>
  <c r="J68" i="6"/>
  <c r="K53" i="2"/>
  <c r="K68" i="6"/>
  <c r="I20" i="6"/>
  <c r="A1" i="7"/>
  <c r="J44" i="6" l="1"/>
  <c r="J46" i="6" s="1"/>
  <c r="J71" i="6"/>
  <c r="I54" i="2"/>
  <c r="I55" i="2"/>
  <c r="I31" i="2"/>
  <c r="I56" i="2" s="1"/>
  <c r="K44" i="6"/>
  <c r="K46" i="6" s="1"/>
  <c r="K71" i="6"/>
  <c r="J25" i="6"/>
  <c r="J26" i="6" s="1"/>
  <c r="J17" i="6"/>
  <c r="I49" i="6"/>
  <c r="J17" i="7"/>
  <c r="A1" i="1"/>
  <c r="A1" i="6"/>
  <c r="K23" i="6" l="1"/>
  <c r="J50" i="6"/>
  <c r="J19" i="6"/>
  <c r="J20" i="6"/>
  <c r="K17" i="7"/>
  <c r="D54" i="2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J49" i="6" l="1"/>
  <c r="K17" i="6"/>
  <c r="J30" i="2"/>
  <c r="J15" i="7"/>
  <c r="K25" i="6"/>
  <c r="K26" i="6"/>
  <c r="K50" i="6" s="1"/>
  <c r="O73" i="4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J54" i="2" l="1"/>
  <c r="J55" i="2"/>
  <c r="J31" i="2"/>
  <c r="J56" i="2" s="1"/>
  <c r="K19" i="6"/>
  <c r="K20" i="6"/>
  <c r="K49" i="6" s="1"/>
  <c r="P18" i="4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K30" i="2" l="1"/>
  <c r="K15" i="7"/>
  <c r="O75" i="4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K55" i="2" l="1"/>
  <c r="K54" i="2"/>
  <c r="K31" i="2"/>
  <c r="K56" i="2" s="1"/>
  <c r="R57" i="4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I35" i="6" l="1"/>
  <c r="J35" i="6"/>
  <c r="K35" i="6"/>
  <c r="H36" i="6"/>
  <c r="I36" i="6"/>
  <c r="J36" i="6"/>
  <c r="K36" i="6"/>
  <c r="H37" i="6"/>
  <c r="I37" i="6"/>
  <c r="J37" i="6"/>
  <c r="K37" i="6"/>
  <c r="H38" i="6"/>
  <c r="I38" i="6"/>
  <c r="J38" i="6"/>
  <c r="K38" i="6"/>
  <c r="H58" i="6"/>
  <c r="I58" i="6"/>
  <c r="J58" i="6"/>
  <c r="K58" i="6"/>
  <c r="H60" i="6"/>
  <c r="I60" i="6"/>
  <c r="J60" i="6"/>
  <c r="K60" i="6"/>
  <c r="H73" i="6"/>
  <c r="I73" i="6"/>
  <c r="J73" i="6"/>
  <c r="K73" i="6"/>
  <c r="H74" i="6"/>
  <c r="I74" i="6"/>
  <c r="J74" i="6"/>
  <c r="K74" i="6"/>
  <c r="H76" i="6"/>
  <c r="I76" i="6"/>
  <c r="J76" i="6"/>
  <c r="K76" i="6"/>
  <c r="H13" i="7"/>
  <c r="I13" i="7"/>
  <c r="J13" i="7"/>
  <c r="K13" i="7"/>
  <c r="H16" i="7"/>
  <c r="I16" i="7"/>
  <c r="J16" i="7"/>
  <c r="K16" i="7"/>
  <c r="H20" i="7"/>
  <c r="I20" i="7"/>
  <c r="J20" i="7"/>
  <c r="K20" i="7"/>
  <c r="H26" i="7"/>
  <c r="I26" i="7"/>
  <c r="J26" i="7"/>
  <c r="K26" i="7"/>
  <c r="H27" i="7"/>
  <c r="I27" i="7"/>
  <c r="J27" i="7"/>
  <c r="K27" i="7"/>
  <c r="H33" i="7"/>
  <c r="I33" i="7"/>
  <c r="J33" i="7"/>
  <c r="K33" i="7"/>
  <c r="H34" i="7"/>
  <c r="I34" i="7"/>
  <c r="J34" i="7"/>
  <c r="K34" i="7"/>
  <c r="H36" i="7"/>
  <c r="I36" i="7"/>
  <c r="J36" i="7"/>
  <c r="K36" i="7"/>
  <c r="I38" i="7"/>
  <c r="J38" i="7"/>
  <c r="K38" i="7"/>
  <c r="H39" i="7"/>
  <c r="I39" i="7"/>
  <c r="J39" i="7"/>
  <c r="K39" i="7"/>
  <c r="H46" i="7"/>
  <c r="I46" i="7"/>
  <c r="J46" i="7"/>
  <c r="K46" i="7"/>
  <c r="H47" i="7"/>
  <c r="I47" i="7"/>
  <c r="J47" i="7"/>
  <c r="K47" i="7"/>
  <c r="H49" i="7"/>
  <c r="I49" i="7"/>
  <c r="J49" i="7"/>
  <c r="K49" i="7"/>
  <c r="H33" i="2"/>
  <c r="I33" i="2"/>
  <c r="J33" i="2"/>
  <c r="K33" i="2"/>
  <c r="H36" i="2"/>
  <c r="I36" i="2"/>
  <c r="J36" i="2"/>
  <c r="K36" i="2"/>
  <c r="H38" i="2"/>
  <c r="I38" i="2"/>
  <c r="J38" i="2"/>
  <c r="K38" i="2"/>
  <c r="H40" i="2"/>
  <c r="I40" i="2"/>
  <c r="J40" i="2"/>
  <c r="K40" i="2"/>
  <c r="H41" i="2"/>
  <c r="I41" i="2"/>
  <c r="J41" i="2"/>
  <c r="K41" i="2"/>
  <c r="H47" i="2"/>
  <c r="I47" i="2"/>
  <c r="J47" i="2"/>
  <c r="K47" i="2"/>
  <c r="H48" i="2"/>
  <c r="I48" i="2"/>
  <c r="J48" i="2"/>
  <c r="K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<sst xmlns="http://schemas.openxmlformats.org/spreadsheetml/2006/main" count="313" uniqueCount="225">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</sst>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5">
        <v>1</v>
      </c>
      <c r="O10" s="85"/>
      <c r="P10" s="85"/>
      <c r="Q10" s="85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5">
        <v>1</v>
      </c>
      <c r="O11" s="85"/>
      <c r="P11" s="85"/>
      <c r="Q11" s="85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5" t="s">
        <v>192</v>
      </c>
      <c r="C15" s="85"/>
      <c r="D15" s="85" t="s">
        <v>2</v>
      </c>
      <c r="E15" s="85"/>
      <c r="F15" s="85"/>
      <c r="G15" s="85"/>
      <c r="H15" s="85"/>
      <c r="I15" s="85"/>
      <c r="J15" s="85"/>
      <c r="K15" s="85"/>
      <c r="L15" s="85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5" t="s">
        <v>193</v>
      </c>
      <c r="C16" s="85"/>
      <c r="D16" s="85" t="s">
        <v>33</v>
      </c>
      <c r="E16" s="85"/>
      <c r="F16" s="85"/>
      <c r="G16" s="85"/>
      <c r="H16" s="85"/>
      <c r="I16" s="85"/>
      <c r="J16" s="85"/>
      <c r="K16" s="85"/>
      <c r="L16" s="85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5" t="s">
        <v>195</v>
      </c>
      <c r="C17" s="85"/>
      <c r="D17" s="85" t="s">
        <v>196</v>
      </c>
      <c r="E17" s="85"/>
      <c r="F17" s="85"/>
      <c r="G17" s="85"/>
      <c r="H17" s="85"/>
      <c r="I17" s="85"/>
      <c r="J17" s="85"/>
      <c r="K17" s="85"/>
      <c r="L17" s="85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5" t="s">
        <v>201</v>
      </c>
      <c r="C18" s="85"/>
      <c r="D18" s="85" t="s">
        <v>204</v>
      </c>
      <c r="E18" s="85"/>
      <c r="F18" s="85"/>
      <c r="G18" s="85"/>
      <c r="H18" s="85"/>
      <c r="I18" s="85"/>
      <c r="J18" s="85"/>
      <c r="K18" s="85"/>
      <c r="L18" s="85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5" t="s">
        <v>202</v>
      </c>
      <c r="C19" s="85"/>
      <c r="D19" s="85" t="s">
        <v>212</v>
      </c>
      <c r="E19" s="85"/>
      <c r="F19" s="85"/>
      <c r="G19" s="85"/>
      <c r="H19" s="85"/>
      <c r="I19" s="85"/>
      <c r="J19" s="85"/>
      <c r="K19" s="85"/>
      <c r="L19" s="85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>
        <f>Revenues!I45</f>
        <v>471393.29059499997</v>
      </c>
      <c r="J17">
        <f>Revenues!J45</f>
        <v>539423.94605315244</v>
      </c>
      <c r="K17">
        <f>Revenues!K45</f>
        <v>605418.11501933844</v>
      </c>
      <c r="L17" t="str">
        <f ca="1">_xlfn.FORMULATEXT(K17)</f>
        <v>=Revenues!K45</v>
      </c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>
        <f t="shared" ref="I18:K18" si="1">H18</f>
        <v>1151</v>
      </c>
      <c r="J18">
        <f t="shared" si="1"/>
        <v>1151</v>
      </c>
      <c r="K18">
        <f t="shared" si="1"/>
        <v>1151</v>
      </c>
      <c r="L18" t="str">
        <f t="shared" ref="L18:L56" ca="1" si="2">_xlfn.FORMULATEXT(K18)</f>
        <v>=J18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3">SUM(D17:D18)</f>
        <v>266732</v>
      </c>
      <c r="E19">
        <f t="shared" si="3"/>
        <v>277424</v>
      </c>
      <c r="F19">
        <f t="shared" si="3"/>
        <v>304789</v>
      </c>
      <c r="G19">
        <f t="shared" si="3"/>
        <v>382463</v>
      </c>
      <c r="H19">
        <f t="shared" si="3"/>
        <v>418454.38999999996</v>
      </c>
      <c r="I19">
        <f t="shared" ref="I19" si="4">SUM(I17:I18)</f>
        <v>472544.29059499997</v>
      </c>
      <c r="J19">
        <f t="shared" ref="J19" si="5">SUM(J17:J18)</f>
        <v>540574.94605315244</v>
      </c>
      <c r="K19">
        <f t="shared" ref="K19" si="6">SUM(K17:K18)</f>
        <v>606569.11501933844</v>
      </c>
      <c r="L19" t="str">
        <f t="shared" ca="1" si="2"/>
        <v>=SUM(K17:K18)</v>
      </c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7">D22-D19</f>
        <v>-112025</v>
      </c>
      <c r="E21">
        <f t="shared" si="7"/>
        <v>-110194</v>
      </c>
      <c r="F21">
        <f t="shared" si="7"/>
        <v>-128611</v>
      </c>
      <c r="G21">
        <f t="shared" si="7"/>
        <v>-166605</v>
      </c>
      <c r="H21">
        <f t="shared" si="7"/>
        <v>-179935.38769999999</v>
      </c>
      <c r="I21">
        <f t="shared" ref="I21" si="8">I22-I19</f>
        <v>-200745.55828737497</v>
      </c>
      <c r="J21">
        <f t="shared" ref="J21" si="9">J22-J19</f>
        <v>-224247.38912392606</v>
      </c>
      <c r="K21">
        <f t="shared" ref="K21" si="10">K22-K19</f>
        <v>-245635.18366327306</v>
      </c>
      <c r="L21" t="str">
        <f t="shared" ca="1" si="2"/>
        <v>=K22-K19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>
        <f>I6*(I19-Revenues!I37)+IF(Pipeline=1,'Pipeline Drug'!J101,0)</f>
        <v>271798.732307625</v>
      </c>
      <c r="J22">
        <f>J6*(J19-Revenues!J37)+IF(Pipeline=1,'Pipeline Drug'!K101,0)</f>
        <v>316327.55692922638</v>
      </c>
      <c r="K22">
        <f>K6*(K19-Revenues!K37)+IF(Pipeline=1,'Pipeline Drug'!L101,0)</f>
        <v>360933.93135606538</v>
      </c>
      <c r="L22" t="str">
        <f t="shared" ca="1" si="2"/>
        <v>=K6*(K19-Revenues!K37)+IF(Pipeline=1,'Pipeline Drug'!L101,0)</v>
      </c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>
        <f t="shared" ref="I24:K24" si="11">-I7*I19</f>
        <v>-28352.657435699995</v>
      </c>
      <c r="J24">
        <f t="shared" si="11"/>
        <v>-32434.496763189145</v>
      </c>
      <c r="K24">
        <f t="shared" si="11"/>
        <v>-36394.146901160304</v>
      </c>
      <c r="L24" t="str">
        <f t="shared" ca="1" si="2"/>
        <v>=-K7*K19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>
        <f>-I8*(I19-Revenues!I37)+'Pipeline Drug'!J103</f>
        <v>-182178.24769937497</v>
      </c>
      <c r="J25">
        <f>-J8*(J19-Revenues!J37)+'Pipeline Drug'!K103</f>
        <v>-202923.40872761403</v>
      </c>
      <c r="K25">
        <f>-K8*(K19-Revenues!K37)+'Pipeline Drug'!L103</f>
        <v>-222036.13495753059</v>
      </c>
      <c r="L25" t="str">
        <f t="shared" ca="1" si="2"/>
        <v>=-K8*(K19-Revenues!K37)+'Pipeline Drug'!L103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>
        <f t="shared" ref="I26:K26" si="12">I9</f>
        <v>0</v>
      </c>
      <c r="J26">
        <f t="shared" si="12"/>
        <v>0</v>
      </c>
      <c r="K26">
        <f t="shared" si="12"/>
        <v>0</v>
      </c>
      <c r="L26" t="str">
        <f t="shared" ca="1" si="2"/>
        <v>=K9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>
        <f t="shared" ref="I27:K27" si="13">I10</f>
        <v>0</v>
      </c>
      <c r="J27">
        <f t="shared" si="13"/>
        <v>0</v>
      </c>
      <c r="K27">
        <f t="shared" si="13"/>
        <v>0</v>
      </c>
      <c r="L27" t="str">
        <f t="shared" ca="1" si="2"/>
        <v>=K10</v>
      </c>
      <c r="R27" s="33"/>
    </row>
    <row r="28" spans="2:18" s="17" customFormat="1" x14ac:dyDescent="0.45">
      <c r="B28" t="s">
        <v>15</v>
      </c>
      <c r="C28">
        <f>C22+SUM(C24:C27)</f>
        <v>31817</v>
      </c>
      <c r="D28">
        <f t="shared" ref="D28:H28" si="14">D22+SUM(D24:D27)</f>
        <v>39394</v>
      </c>
      <c r="E28">
        <f t="shared" si="14"/>
        <v>29921</v>
      </c>
      <c r="F28">
        <f t="shared" si="14"/>
        <v>29526</v>
      </c>
      <c r="G28">
        <f t="shared" si="14"/>
        <v>60864</v>
      </c>
      <c r="H28">
        <f t="shared" si="14"/>
        <v>66952.70239999998</v>
      </c>
      <c r="I28">
        <f t="shared" ref="I28" si="15">I22+SUM(I24:I27)</f>
        <v>61267.827172550024</v>
      </c>
      <c r="J28">
        <f t="shared" ref="J28" si="16">J22+SUM(J24:J27)</f>
        <v>80969.6514384232</v>
      </c>
      <c r="K28">
        <f t="shared" ref="K28" si="17">K22+SUM(K24:K27)</f>
        <v>102503.64949737448</v>
      </c>
      <c r="L28" t="str">
        <f t="shared" ca="1" si="2"/>
        <v>=K22+SUM(K24:K27)</v>
      </c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>
        <f>BS!H19+BS!H25</f>
        <v>-21260.333665223665</v>
      </c>
      <c r="I30" s="17">
        <f>BS!I19+BS!I25</f>
        <v>-24033.836693735859</v>
      </c>
      <c r="J30" s="17">
        <f>BS!J19+BS!J25</f>
        <v>-27279.766857815383</v>
      </c>
      <c r="K30" s="17">
        <f>BS!K19+BS!K25</f>
        <v>-30467.260793498437</v>
      </c>
      <c r="L30" t="str">
        <f t="shared" ca="1" si="2"/>
        <v>=BS!K19+BS!K25</v>
      </c>
      <c r="R30" s="33"/>
    </row>
    <row r="31" spans="2:18" s="17" customFormat="1" x14ac:dyDescent="0.45">
      <c r="B31" t="s">
        <v>19</v>
      </c>
      <c r="C31">
        <f>C28+C30</f>
        <v>21842</v>
      </c>
      <c r="D31">
        <f t="shared" ref="D31:H31" si="18">D28+D30</f>
        <v>28371</v>
      </c>
      <c r="E31">
        <f t="shared" si="18"/>
        <v>18442</v>
      </c>
      <c r="F31">
        <f t="shared" si="18"/>
        <v>17482</v>
      </c>
      <c r="G31">
        <f t="shared" si="18"/>
        <v>42648</v>
      </c>
      <c r="H31">
        <f t="shared" si="18"/>
        <v>45692.368734776319</v>
      </c>
      <c r="I31">
        <f t="shared" ref="I31" si="19">I28+I30</f>
        <v>37233.990478814165</v>
      </c>
      <c r="J31">
        <f t="shared" ref="J31" si="20">J28+J30</f>
        <v>53689.884580607817</v>
      </c>
      <c r="K31">
        <f t="shared" ref="K31" si="21">K28+K30</f>
        <v>72036.388703876044</v>
      </c>
      <c r="L31" t="str">
        <f t="shared" ca="1" si="2"/>
        <v>=K28+K30</v>
      </c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>
        <f ca="1">IF(Switch=1,'CFS and Debt Schedule'!H47,0)</f>
        <v>68.886588827761656</v>
      </c>
      <c r="I33" s="17">
        <f ca="1">IF(Switch=1,'CFS and Debt Schedule'!I47,0)</f>
        <v>67.656449000029809</v>
      </c>
      <c r="J33" s="17">
        <f ca="1">IF(Switch=1,'CFS and Debt Schedule'!J47,0)</f>
        <v>65.287539530867733</v>
      </c>
      <c r="K33" s="17">
        <f ca="1">IF(Switch=1,'CFS and Debt Schedule'!K47,0)</f>
        <v>75.55588993546597</v>
      </c>
      <c r="L33" t="str">
        <f t="shared" ca="1" si="2"/>
        <v>=IF(Switch=1,'CFS and Debt Schedule'!K47,0)</v>
      </c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>
        <f>-IF(Switch=1,'CFS and Debt Schedule'!H44,0)</f>
        <v>-1356.88</v>
      </c>
      <c r="I34" s="17">
        <f>-IF(Switch=1,'CFS and Debt Schedule'!I44,0)</f>
        <v>-1356.88</v>
      </c>
      <c r="J34" s="17">
        <f>-IF(Switch=1,'CFS and Debt Schedule'!J44,0)</f>
        <v>-1356.88</v>
      </c>
      <c r="K34" s="17">
        <f>-IF(Switch=1,'CFS and Debt Schedule'!K44,0)</f>
        <v>-1356.88</v>
      </c>
      <c r="L34" t="str">
        <f t="shared" ca="1" si="2"/>
        <v>=-IF(Switch=1,'CFS and Debt Schedule'!K44,0)</v>
      </c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>
        <f t="shared" ref="I35:K35" si="22">I11</f>
        <v>0</v>
      </c>
      <c r="J35">
        <f t="shared" si="22"/>
        <v>0</v>
      </c>
      <c r="K35">
        <f t="shared" si="22"/>
        <v>0</v>
      </c>
      <c r="L35" t="str">
        <f t="shared" ca="1" si="2"/>
        <v>=K11</v>
      </c>
    </row>
    <row r="36" spans="2:18" x14ac:dyDescent="0.45">
      <c r="B36" t="s">
        <v>23</v>
      </c>
      <c r="C36">
        <f>SUM(C33:C35)</f>
        <v>-944</v>
      </c>
      <c r="D36">
        <f t="shared" ref="D36:H36" si="23">SUM(D33:D35)</f>
        <v>-489</v>
      </c>
      <c r="E36">
        <f t="shared" si="23"/>
        <v>-920</v>
      </c>
      <c r="F36">
        <f t="shared" si="23"/>
        <v>-802</v>
      </c>
      <c r="G36">
        <f t="shared" si="23"/>
        <v>-768</v>
      </c>
      <c r="H36">
        <f t="shared" ca="1" si="23"/>
        <v>-1287.9934111722384</v>
      </c>
      <c r="I36">
        <f t="shared" ref="I36" ca="1" si="24">SUM(I33:I35)</f>
        <v>-1289.2235509999703</v>
      </c>
      <c r="J36">
        <f t="shared" ref="J36" ca="1" si="25">SUM(J33:J35)</f>
        <v>-1291.5924604691324</v>
      </c>
      <c r="K36">
        <f t="shared" ref="K36" ca="1" si="26">SUM(K33:K35)</f>
        <v>-1281.3241100645341</v>
      </c>
      <c r="L36" t="str">
        <f t="shared" ca="1" si="2"/>
        <v>=SUM(K33:K35)</v>
      </c>
    </row>
    <row r="38" spans="2:18" x14ac:dyDescent="0.45">
      <c r="B38" t="s">
        <v>24</v>
      </c>
      <c r="C38">
        <f>C31+C36</f>
        <v>20898</v>
      </c>
      <c r="D38">
        <f t="shared" ref="D38:H38" si="27">D31+D36</f>
        <v>27882</v>
      </c>
      <c r="E38">
        <f t="shared" si="27"/>
        <v>17522</v>
      </c>
      <c r="F38">
        <f t="shared" si="27"/>
        <v>16680</v>
      </c>
      <c r="G38">
        <f t="shared" si="27"/>
        <v>41880</v>
      </c>
      <c r="H38">
        <f t="shared" ca="1" si="27"/>
        <v>44404.375323604079</v>
      </c>
      <c r="I38">
        <f t="shared" ref="I38:K38" ca="1" si="28">I31+I36</f>
        <v>35944.766927814191</v>
      </c>
      <c r="J38">
        <f t="shared" ca="1" si="28"/>
        <v>52398.292120138685</v>
      </c>
      <c r="K38">
        <f t="shared" ca="1" si="28"/>
        <v>70755.064593811505</v>
      </c>
      <c r="L38" t="str">
        <f t="shared" ca="1" si="2"/>
        <v>=K31+K36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 ca="1">-H12*H38</f>
        <v>-3996.393779124367</v>
      </c>
      <c r="I40" s="17">
        <f t="shared" ref="I40:K40" ca="1" si="29">-I12*I38</f>
        <v>-3594.4766927814194</v>
      </c>
      <c r="J40" s="17">
        <f t="shared" ca="1" si="29"/>
        <v>-5239.8292120138685</v>
      </c>
      <c r="K40" s="17">
        <f t="shared" ca="1" si="29"/>
        <v>-7075.5064593811512</v>
      </c>
      <c r="L40" t="str">
        <f t="shared" ca="1" si="2"/>
        <v>=-K12*K38</v>
      </c>
    </row>
    <row r="41" spans="2:18" x14ac:dyDescent="0.45">
      <c r="B41" t="s">
        <v>26</v>
      </c>
      <c r="C41">
        <f>C38+C40</f>
        <v>19809</v>
      </c>
      <c r="D41">
        <f t="shared" ref="D41:H41" si="30">D38+D40</f>
        <v>26089</v>
      </c>
      <c r="E41">
        <f t="shared" si="30"/>
        <v>17241</v>
      </c>
      <c r="F41">
        <f t="shared" si="30"/>
        <v>17895</v>
      </c>
      <c r="G41">
        <f t="shared" si="30"/>
        <v>39273</v>
      </c>
      <c r="H41">
        <f t="shared" ca="1" si="30"/>
        <v>40407.981544479713</v>
      </c>
      <c r="I41">
        <f t="shared" ref="I41" ca="1" si="31">I38+I40</f>
        <v>32350.290235032771</v>
      </c>
      <c r="J41">
        <f t="shared" ref="J41" ca="1" si="32">J38+J40</f>
        <v>47158.462908124813</v>
      </c>
      <c r="K41">
        <f t="shared" ref="K41" ca="1" si="33">K38+K40</f>
        <v>63679.55813443035</v>
      </c>
      <c r="L41" t="str">
        <f t="shared" ca="1" si="2"/>
        <v>=K38+K40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>
        <f t="shared" ref="I44:K44" si="34">H44</f>
        <v>55382.008999999998</v>
      </c>
      <c r="J44">
        <f t="shared" si="34"/>
        <v>55382.008999999998</v>
      </c>
      <c r="K44">
        <f t="shared" si="34"/>
        <v>55382.008999999998</v>
      </c>
      <c r="L44" t="str">
        <f t="shared" ca="1" si="2"/>
        <v>=J44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>
        <f t="shared" ref="I45:K45" si="35">H45</f>
        <v>55180</v>
      </c>
      <c r="J45">
        <f t="shared" si="35"/>
        <v>55180</v>
      </c>
      <c r="K45">
        <f t="shared" si="35"/>
        <v>55180</v>
      </c>
      <c r="L45" t="str">
        <f t="shared" ca="1" si="2"/>
        <v>=J45</v>
      </c>
      <c r="R45" s="33"/>
    </row>
    <row r="47" spans="2:18" x14ac:dyDescent="0.45">
      <c r="B47" t="s">
        <v>30</v>
      </c>
      <c r="C47">
        <f>C41/C45</f>
        <v>0.39988291580031088</v>
      </c>
      <c r="D47">
        <f t="shared" ref="D47:H47" si="36">D41/D45</f>
        <v>0.53209194183271813</v>
      </c>
      <c r="E47">
        <f t="shared" si="36"/>
        <v>0.34965928449744466</v>
      </c>
      <c r="F47">
        <f t="shared" si="36"/>
        <v>0.34935478203150927</v>
      </c>
      <c r="G47">
        <f t="shared" si="36"/>
        <v>0.71172526277636827</v>
      </c>
      <c r="H47">
        <f t="shared" ca="1" si="36"/>
        <v>0.73229397507212235</v>
      </c>
      <c r="I47">
        <f t="shared" ref="I47:K47" ca="1" si="37">I41/I45</f>
        <v>0.58626839860516078</v>
      </c>
      <c r="J47">
        <f t="shared" ca="1" si="37"/>
        <v>0.85462962863582481</v>
      </c>
      <c r="K47">
        <f t="shared" ca="1" si="37"/>
        <v>1.1540333116062043</v>
      </c>
      <c r="L47" t="str">
        <f t="shared" ca="1" si="2"/>
        <v>=K41/K45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 ca="1">H13*H47</f>
        <v>0.18307349376803059</v>
      </c>
      <c r="I48" s="77">
        <f t="shared" ref="I48:K48" ca="1" si="38">I13*I47</f>
        <v>0.14656709965129019</v>
      </c>
      <c r="J48" s="77">
        <f t="shared" ca="1" si="38"/>
        <v>0.2136574071589562</v>
      </c>
      <c r="K48" s="77">
        <f t="shared" ca="1" si="38"/>
        <v>0.28850832790155106</v>
      </c>
      <c r="L48" t="str">
        <f t="shared" ca="1" si="2"/>
        <v>=K13*K47</v>
      </c>
      <c r="R48" s="33"/>
    </row>
    <row r="51" spans="2:18" x14ac:dyDescent="0.45">
      <c r="B51" t="s">
        <v>219</v>
      </c>
      <c r="C51" s="19">
        <f t="shared" ref="C51:H51" si="39">C22/C19</f>
        <v>0.60702126539848844</v>
      </c>
      <c r="D51" s="19">
        <f t="shared" si="39"/>
        <v>0.58000914775879908</v>
      </c>
      <c r="E51" s="19">
        <f t="shared" si="39"/>
        <v>0.60279572062979414</v>
      </c>
      <c r="F51" s="19">
        <f t="shared" si="39"/>
        <v>0.57803267178277429</v>
      </c>
      <c r="G51" s="19">
        <f t="shared" si="39"/>
        <v>0.56438923503711469</v>
      </c>
      <c r="H51" s="19">
        <f t="shared" si="39"/>
        <v>0.56999999999999995</v>
      </c>
      <c r="I51" s="19">
        <f t="shared" ref="I51:K51" si="40">I22/I19</f>
        <v>0.57518149667069729</v>
      </c>
      <c r="J51" s="19">
        <f t="shared" si="40"/>
        <v>0.58516873421307847</v>
      </c>
      <c r="K51" s="19">
        <f t="shared" si="40"/>
        <v>0.59504172305996528</v>
      </c>
      <c r="L51" t="str">
        <f t="shared" ca="1" si="2"/>
        <v>=K22/K19</v>
      </c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s="19">
        <f t="shared" ref="I52:K52" si="41">I24/H24-1</f>
        <v>0.12926116176006652</v>
      </c>
      <c r="J52" s="19">
        <f t="shared" si="41"/>
        <v>0.1439667282245487</v>
      </c>
      <c r="K52" s="19">
        <f t="shared" si="41"/>
        <v>0.12208144207944316</v>
      </c>
      <c r="L52" t="str">
        <f t="shared" ca="1" si="2"/>
        <v>=K24/J24-1</v>
      </c>
      <c r="R52" s="33"/>
    </row>
    <row r="53" spans="2:18" x14ac:dyDescent="0.45">
      <c r="B53" t="s">
        <v>220</v>
      </c>
      <c r="C53" s="19">
        <f t="shared" ref="C53:H53" si="42">C28/C19</f>
        <v>0.12880281433562329</v>
      </c>
      <c r="D53" s="19">
        <f t="shared" si="42"/>
        <v>0.14769131562767121</v>
      </c>
      <c r="E53" s="19">
        <f t="shared" si="42"/>
        <v>0.10785296153180692</v>
      </c>
      <c r="F53" s="19">
        <f t="shared" si="42"/>
        <v>9.6873574833737444E-2</v>
      </c>
      <c r="G53" s="19">
        <f t="shared" si="42"/>
        <v>0.15913696226824556</v>
      </c>
      <c r="H53" s="19">
        <f t="shared" si="42"/>
        <v>0.15999999999999998</v>
      </c>
      <c r="I53" s="19">
        <f t="shared" ref="I53:K53" si="43">I28/I19</f>
        <v>0.12965520564306296</v>
      </c>
      <c r="J53" s="19">
        <f t="shared" si="43"/>
        <v>0.14978432135932138</v>
      </c>
      <c r="K53" s="19">
        <f t="shared" si="43"/>
        <v>0.16898923298148225</v>
      </c>
      <c r="L53" t="str">
        <f t="shared" ca="1" si="2"/>
        <v>=K28/K19</v>
      </c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0.16712415816994208</v>
      </c>
      <c r="I54" s="19">
        <f t="shared" ref="I54:K54" si="44">I30/H30-1</f>
        <v>0.13045435091401769</v>
      </c>
      <c r="J54" s="19">
        <f t="shared" si="44"/>
        <v>0.13505667885833383</v>
      </c>
      <c r="K54" s="19">
        <f t="shared" si="44"/>
        <v>0.11684461792861223</v>
      </c>
      <c r="L54" t="str">
        <f t="shared" ca="1" si="2"/>
        <v>=K30/J30-1</v>
      </c>
      <c r="R54" s="33"/>
    </row>
    <row r="55" spans="2:18" x14ac:dyDescent="0.45">
      <c r="B55" t="s">
        <v>18</v>
      </c>
      <c r="C55" s="19">
        <f t="shared" ref="C55:H55" si="45">-C30/C19</f>
        <v>4.0381182166698379E-2</v>
      </c>
      <c r="D55" s="19">
        <f t="shared" si="45"/>
        <v>4.1326125099350658E-2</v>
      </c>
      <c r="E55" s="19">
        <f t="shared" si="45"/>
        <v>4.1377097871849587E-2</v>
      </c>
      <c r="F55" s="19">
        <f t="shared" si="45"/>
        <v>3.9515861792912471E-2</v>
      </c>
      <c r="G55" s="19">
        <f t="shared" si="45"/>
        <v>4.762813657791734E-2</v>
      </c>
      <c r="H55" s="19">
        <f t="shared" si="45"/>
        <v>5.080681233915043E-2</v>
      </c>
      <c r="I55" s="19">
        <f t="shared" ref="I55:K55" si="46">-I30/I19</f>
        <v>5.0860495348433614E-2</v>
      </c>
      <c r="J55" s="19">
        <f t="shared" si="46"/>
        <v>5.0464356620650859E-2</v>
      </c>
      <c r="K55" s="19">
        <f t="shared" si="46"/>
        <v>5.0228836317403151E-2</v>
      </c>
      <c r="L55" t="str">
        <f t="shared" ca="1" si="2"/>
        <v>=-K30/K19</v>
      </c>
      <c r="R55" s="33"/>
    </row>
    <row r="56" spans="2:18" x14ac:dyDescent="0.45">
      <c r="B56" t="s">
        <v>20</v>
      </c>
      <c r="C56" s="19">
        <f t="shared" ref="C56:H56" si="47">C31/C19</f>
        <v>8.8421632168924916E-2</v>
      </c>
      <c r="D56" s="19">
        <f t="shared" si="47"/>
        <v>0.10636519052832057</v>
      </c>
      <c r="E56" s="19">
        <f t="shared" si="47"/>
        <v>6.6475863659957321E-2</v>
      </c>
      <c r="F56" s="19">
        <f t="shared" si="47"/>
        <v>5.7357713040824966E-2</v>
      </c>
      <c r="G56" s="19">
        <f t="shared" si="47"/>
        <v>0.11150882569032822</v>
      </c>
      <c r="H56" s="19">
        <f t="shared" si="47"/>
        <v>0.10919318766084955</v>
      </c>
      <c r="I56" s="19">
        <f t="shared" ref="I56:K56" si="48">I31/I19</f>
        <v>7.8794710294629339E-2</v>
      </c>
      <c r="J56" s="19">
        <f t="shared" si="48"/>
        <v>9.931996473867051E-2</v>
      </c>
      <c r="K56" s="19">
        <f t="shared" si="48"/>
        <v>0.11876039666407909</v>
      </c>
      <c r="L56" t="str">
        <f t="shared" ca="1" si="2"/>
        <v>=K31/K19</v>
      </c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>
        <f>G20</f>
        <v>131608</v>
      </c>
      <c r="I17" s="17">
        <f t="shared" ref="I17:K17" si="1">H20</f>
        <v>140922.3034</v>
      </c>
      <c r="J17" s="17">
        <f t="shared" si="1"/>
        <v>152364.28442770001</v>
      </c>
      <c r="K17" s="17">
        <f t="shared" si="1"/>
        <v>161109.31759903365</v>
      </c>
      <c r="L17" t="str">
        <f ca="1">_xlfn.FORMULATEXT(K17)</f>
        <v>=J20</v>
      </c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>
        <f>I6*IS!I19</f>
        <v>28352.657435699995</v>
      </c>
      <c r="J18" s="17">
        <f>J6*IS!J19</f>
        <v>27028.747302657623</v>
      </c>
      <c r="K18" s="17">
        <f>K6*IS!K19</f>
        <v>30328.455750966925</v>
      </c>
      <c r="L18" t="str">
        <f t="shared" ref="L18:L76" ca="1" si="2">_xlfn.FORMULATEXT(K18)</f>
        <v>=K6*IS!K19</v>
      </c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>
        <f t="shared" ref="I19:K19" si="3">-I8*I17</f>
        <v>-16910.676407999999</v>
      </c>
      <c r="J19" s="17">
        <f t="shared" si="3"/>
        <v>-18283.714131323999</v>
      </c>
      <c r="K19" s="17">
        <f t="shared" si="3"/>
        <v>-19333.118111884036</v>
      </c>
      <c r="L19" t="str">
        <f t="shared" ca="1" si="2"/>
        <v>=-K8*K17</v>
      </c>
      <c r="N19" s="33"/>
    </row>
    <row r="20" spans="2:14" x14ac:dyDescent="0.45">
      <c r="B20" t="s">
        <v>51</v>
      </c>
      <c r="C20">
        <f>C49</f>
        <v>81803</v>
      </c>
      <c r="D20">
        <f t="shared" ref="D20:G20" si="4">D49</f>
        <v>82822</v>
      </c>
      <c r="E20">
        <f t="shared" si="4"/>
        <v>89056</v>
      </c>
      <c r="F20">
        <f t="shared" si="4"/>
        <v>95837</v>
      </c>
      <c r="G20">
        <f t="shared" si="4"/>
        <v>131608</v>
      </c>
      <c r="H20">
        <f>SUM(H17:H19)</f>
        <v>140922.3034</v>
      </c>
      <c r="I20">
        <f t="shared" ref="I20:K20" si="5">SUM(I17:I19)</f>
        <v>152364.28442770001</v>
      </c>
      <c r="J20">
        <f t="shared" si="5"/>
        <v>161109.31759903365</v>
      </c>
      <c r="K20">
        <f t="shared" si="5"/>
        <v>172104.65523811651</v>
      </c>
      <c r="L20" t="str">
        <f t="shared" ca="1" si="2"/>
        <v>=SUM(K17:K19)</v>
      </c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>
        <f>G26</f>
        <v>45079</v>
      </c>
      <c r="I23" s="17">
        <f t="shared" ref="I23:K23" si="6">H26</f>
        <v>54257.529984776338</v>
      </c>
      <c r="J23" s="17">
        <f t="shared" si="6"/>
        <v>63673.419869865487</v>
      </c>
      <c r="K23" s="17">
        <f t="shared" si="6"/>
        <v>73597.490255234443</v>
      </c>
      <c r="L23" t="str">
        <f t="shared" ca="1" si="2"/>
        <v>=J26</v>
      </c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>
        <f>I7*IS!I19</f>
        <v>16539.050170825001</v>
      </c>
      <c r="J24" s="17">
        <f>J7*IS!J19</f>
        <v>18920.123111860335</v>
      </c>
      <c r="K24" s="17">
        <f>K7*IS!K19</f>
        <v>21229.919025676849</v>
      </c>
      <c r="L24" t="str">
        <f t="shared" ca="1" si="2"/>
        <v>=K7*IS!K19</v>
      </c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>
        <f t="shared" ref="I25:K25" si="7">-I9*I23</f>
        <v>-7123.1602857358603</v>
      </c>
      <c r="J25" s="17">
        <f t="shared" si="7"/>
        <v>-8996.0527264913853</v>
      </c>
      <c r="K25" s="17">
        <f t="shared" si="7"/>
        <v>-11134.142681614401</v>
      </c>
      <c r="L25" t="str">
        <f t="shared" ca="1" si="2"/>
        <v>=-K9*K23</v>
      </c>
      <c r="N25" s="33"/>
    </row>
    <row r="26" spans="2:14" x14ac:dyDescent="0.45">
      <c r="B26" t="s">
        <v>51</v>
      </c>
      <c r="C26">
        <f>C50</f>
        <v>18881</v>
      </c>
      <c r="D26">
        <f t="shared" ref="D26:G26" si="8">D50</f>
        <v>24872</v>
      </c>
      <c r="E26">
        <f t="shared" si="8"/>
        <v>27078</v>
      </c>
      <c r="F26">
        <f t="shared" si="8"/>
        <v>34650</v>
      </c>
      <c r="G26">
        <f t="shared" si="8"/>
        <v>45079</v>
      </c>
      <c r="H26">
        <f>SUM(H23:H25)</f>
        <v>54257.529984776338</v>
      </c>
      <c r="I26">
        <f t="shared" ref="I26:K26" si="9">SUM(I23:I25)</f>
        <v>63673.419869865487</v>
      </c>
      <c r="J26">
        <f t="shared" si="9"/>
        <v>73597.490255234443</v>
      </c>
      <c r="K26">
        <f t="shared" si="9"/>
        <v>83693.266599296883</v>
      </c>
      <c r="L26" t="str">
        <f t="shared" ca="1" si="2"/>
        <v>=SUM(K23:K25)</v>
      </c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H29">
        <f>G32</f>
        <v>1843</v>
      </c>
      <c r="I29">
        <f t="shared" ref="I29:K29" si="10">H32</f>
        <v>1843</v>
      </c>
      <c r="J29">
        <f t="shared" si="10"/>
        <v>1843</v>
      </c>
      <c r="K29">
        <f t="shared" si="10"/>
        <v>1843</v>
      </c>
      <c r="L29" t="str">
        <f t="shared" ca="1" si="2"/>
        <v>=J32</v>
      </c>
    </row>
    <row r="30" spans="2:14" x14ac:dyDescent="0.45">
      <c r="B30" t="s">
        <v>173</v>
      </c>
      <c r="H30">
        <f>IS!H27</f>
        <v>0</v>
      </c>
      <c r="I30">
        <f>IS!I27</f>
        <v>0</v>
      </c>
      <c r="J30">
        <f>IS!J27</f>
        <v>0</v>
      </c>
      <c r="K30">
        <f>IS!K27</f>
        <v>0</v>
      </c>
      <c r="L30" t="str">
        <f t="shared" ca="1" si="2"/>
        <v>=IS!K27</v>
      </c>
    </row>
    <row r="31" spans="2:14" x14ac:dyDescent="0.45">
      <c r="B31" t="s">
        <v>174</v>
      </c>
      <c r="H31">
        <f>-H10*H30</f>
        <v>0</v>
      </c>
      <c r="I31">
        <f t="shared" ref="I31:K31" si="11">-I10*I30</f>
        <v>0</v>
      </c>
      <c r="J31">
        <f t="shared" si="11"/>
        <v>0</v>
      </c>
      <c r="K31">
        <f t="shared" si="11"/>
        <v>0</v>
      </c>
      <c r="L31" t="str">
        <f t="shared" ca="1" si="2"/>
        <v>=-K10*K30</v>
      </c>
    </row>
    <row r="32" spans="2:14" x14ac:dyDescent="0.45">
      <c r="B32" t="s">
        <v>51</v>
      </c>
      <c r="G32">
        <f>G51</f>
        <v>1843</v>
      </c>
      <c r="H32">
        <f>SUM(H29:H31)</f>
        <v>1843</v>
      </c>
      <c r="I32">
        <f t="shared" ref="I32:K32" si="12">SUM(I29:I31)</f>
        <v>1843</v>
      </c>
      <c r="J32">
        <f t="shared" si="12"/>
        <v>1843</v>
      </c>
      <c r="K32">
        <f t="shared" si="12"/>
        <v>1843</v>
      </c>
      <c r="L32" t="str">
        <f t="shared" ca="1" si="2"/>
        <v>=SUM(K29:K31)</v>
      </c>
    </row>
    <row r="33" spans="1:12" x14ac:dyDescent="0.45">
      <c r="B33" s="17"/>
    </row>
    <row r="34" spans="1:12" x14ac:dyDescent="0.45">
      <c r="B34" s="7" t="s">
        <v>58</v>
      </c>
    </row>
    <row r="35" spans="1:12" x14ac:dyDescent="0.45">
      <c r="B35" t="s">
        <v>49</v>
      </c>
      <c r="H35">
        <f>G38</f>
        <v>322386</v>
      </c>
      <c r="I35">
        <f t="shared" ref="I35:K35" ca="1" si="13">H38</f>
        <v>352655.00366495724</v>
      </c>
      <c r="J35">
        <f t="shared" ca="1" si="13"/>
        <v>376888.1134679984</v>
      </c>
      <c r="K35">
        <f t="shared" ca="1" si="13"/>
        <v>412213.79992992926</v>
      </c>
      <c r="L35" t="str">
        <f t="shared" ca="1" si="2"/>
        <v>=J38</v>
      </c>
    </row>
    <row r="36" spans="1:12" x14ac:dyDescent="0.45">
      <c r="B36" t="s">
        <v>26</v>
      </c>
      <c r="H36">
        <f ca="1">IS!H41</f>
        <v>40407.981544479713</v>
      </c>
      <c r="I36">
        <f ca="1">IS!I41</f>
        <v>32350.290235032771</v>
      </c>
      <c r="J36">
        <f ca="1">IS!J41</f>
        <v>47158.462908124813</v>
      </c>
      <c r="K36">
        <f ca="1">IS!K41</f>
        <v>63679.55813443035</v>
      </c>
      <c r="L36" t="str">
        <f t="shared" ca="1" si="2"/>
        <v>=IS!K41</v>
      </c>
    </row>
    <row r="37" spans="1:12" x14ac:dyDescent="0.45">
      <c r="B37" t="s">
        <v>59</v>
      </c>
      <c r="H37">
        <f ca="1">-IS!H48*IS!H44</f>
        <v>-10138.977879522514</v>
      </c>
      <c r="I37">
        <f ca="1">-IS!I48*IS!I44</f>
        <v>-8117.18043199165</v>
      </c>
      <c r="J37">
        <f ca="1">-IS!J48*IS!J44</f>
        <v>-11832.776446193977</v>
      </c>
      <c r="K37">
        <f ca="1">-IS!K48*IS!K44</f>
        <v>-15978.170812418652</v>
      </c>
      <c r="L37" t="str">
        <f t="shared" ca="1" si="2"/>
        <v>=-IS!K48*IS!K44</v>
      </c>
    </row>
    <row r="38" spans="1:12" x14ac:dyDescent="0.45">
      <c r="B38" t="s">
        <v>51</v>
      </c>
      <c r="G38">
        <f>G73</f>
        <v>322386</v>
      </c>
      <c r="H38">
        <f ca="1">SUM(H35:H37)</f>
        <v>352655.00366495724</v>
      </c>
      <c r="I38">
        <f t="shared" ref="I38:K38" ca="1" si="14">SUM(I35:I37)</f>
        <v>376888.1134679984</v>
      </c>
      <c r="J38">
        <f t="shared" ca="1" si="14"/>
        <v>412213.79992992926</v>
      </c>
      <c r="K38">
        <f t="shared" ca="1" si="14"/>
        <v>459915.18725194101</v>
      </c>
      <c r="L38" t="str">
        <f t="shared" ca="1" si="2"/>
        <v>=SUM(K35:K37)</v>
      </c>
    </row>
    <row r="39" spans="1:12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2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2" x14ac:dyDescent="0.45">
      <c r="B41" t="s">
        <v>38</v>
      </c>
      <c r="C41" s="17">
        <f>C55</f>
        <v>63859</v>
      </c>
      <c r="D41" s="17">
        <f t="shared" ref="D41:H41" si="15">D55</f>
        <v>67386</v>
      </c>
      <c r="E41" s="17">
        <f t="shared" si="15"/>
        <v>75492</v>
      </c>
      <c r="F41" s="17">
        <f t="shared" si="15"/>
        <v>94861</v>
      </c>
      <c r="G41" s="17">
        <f t="shared" si="15"/>
        <v>158811</v>
      </c>
      <c r="H41" s="17">
        <f t="shared" si="15"/>
        <v>167611.04607671231</v>
      </c>
      <c r="I41" s="17">
        <f t="shared" ref="I41:K41" si="16">I55</f>
        <v>175996.10589578078</v>
      </c>
      <c r="J41" s="17">
        <f t="shared" si="16"/>
        <v>184312.92256761045</v>
      </c>
      <c r="K41" s="17">
        <f t="shared" si="16"/>
        <v>188432.46965949712</v>
      </c>
      <c r="L41" t="str">
        <f t="shared" ca="1" si="2"/>
        <v>=K55</v>
      </c>
    </row>
    <row r="42" spans="1:12" x14ac:dyDescent="0.45">
      <c r="B42" t="s">
        <v>39</v>
      </c>
      <c r="C42" s="17">
        <f>C56</f>
        <v>57028</v>
      </c>
      <c r="D42" s="17">
        <f t="shared" ref="D42:H42" si="17">D56</f>
        <v>53842</v>
      </c>
      <c r="E42" s="17">
        <f t="shared" si="17"/>
        <v>49747</v>
      </c>
      <c r="F42" s="17">
        <f t="shared" si="17"/>
        <v>60180</v>
      </c>
      <c r="G42" s="17">
        <f t="shared" si="17"/>
        <v>81541</v>
      </c>
      <c r="H42" s="17">
        <f t="shared" si="17"/>
        <v>85983.77876712328</v>
      </c>
      <c r="I42" s="17">
        <f t="shared" ref="I42:K42" si="18">I56</f>
        <v>97098.141903082185</v>
      </c>
      <c r="J42" s="17">
        <f t="shared" si="18"/>
        <v>111077.04370955187</v>
      </c>
      <c r="K42" s="17">
        <f t="shared" si="18"/>
        <v>124637.48938753529</v>
      </c>
      <c r="L42" t="str">
        <f t="shared" ca="1" si="2"/>
        <v>=K56</v>
      </c>
    </row>
    <row r="43" spans="1:12" x14ac:dyDescent="0.45">
      <c r="B43" t="s">
        <v>40</v>
      </c>
      <c r="C43" s="17">
        <f>C57</f>
        <v>3945</v>
      </c>
      <c r="D43" s="17">
        <f t="shared" ref="D43:H43" si="19">D57</f>
        <v>4466</v>
      </c>
      <c r="E43" s="17">
        <f t="shared" si="19"/>
        <v>2228</v>
      </c>
      <c r="F43" s="17">
        <f t="shared" si="19"/>
        <v>3452</v>
      </c>
      <c r="G43" s="17">
        <f t="shared" si="19"/>
        <v>10107</v>
      </c>
      <c r="H43" s="17">
        <f t="shared" si="19"/>
        <v>10107</v>
      </c>
      <c r="I43" s="17">
        <f t="shared" ref="I43:K43" si="20">I57</f>
        <v>10107</v>
      </c>
      <c r="J43" s="17">
        <f t="shared" si="20"/>
        <v>10107</v>
      </c>
      <c r="K43" s="17">
        <f t="shared" si="20"/>
        <v>10107</v>
      </c>
      <c r="L43" t="str">
        <f t="shared" ca="1" si="2"/>
        <v>=K57</v>
      </c>
    </row>
    <row r="44" spans="1:12" x14ac:dyDescent="0.45">
      <c r="B44" t="s">
        <v>46</v>
      </c>
      <c r="C44" s="17">
        <f>C68</f>
        <v>45742</v>
      </c>
      <c r="D44" s="17">
        <f t="shared" ref="D44:H44" si="21">D68</f>
        <v>59852</v>
      </c>
      <c r="E44" s="17">
        <f t="shared" si="21"/>
        <v>52942</v>
      </c>
      <c r="F44" s="17">
        <f t="shared" si="21"/>
        <v>68165</v>
      </c>
      <c r="G44" s="17">
        <f t="shared" si="21"/>
        <v>91914</v>
      </c>
      <c r="H44" s="17">
        <f t="shared" si="21"/>
        <v>96301.832219178061</v>
      </c>
      <c r="I44" s="17">
        <f t="shared" ref="I44:K44" si="22">I68</f>
        <v>107044.55897296642</v>
      </c>
      <c r="J44" s="17">
        <f t="shared" si="22"/>
        <v>113327.33291870035</v>
      </c>
      <c r="K44" s="17">
        <f t="shared" si="22"/>
        <v>124290.11478623768</v>
      </c>
      <c r="L44" t="str">
        <f t="shared" ca="1" si="2"/>
        <v>=K68</v>
      </c>
    </row>
    <row r="45" spans="1:12" x14ac:dyDescent="0.45">
      <c r="B45" t="s">
        <v>159</v>
      </c>
      <c r="C45" s="17">
        <f>C69</f>
        <v>3337</v>
      </c>
      <c r="D45" s="17">
        <f t="shared" ref="D45:H45" si="23">D69</f>
        <v>3624</v>
      </c>
      <c r="E45" s="17">
        <f t="shared" si="23"/>
        <v>4073</v>
      </c>
      <c r="F45" s="17">
        <f t="shared" si="23"/>
        <v>1712</v>
      </c>
      <c r="G45" s="17">
        <f t="shared" si="23"/>
        <v>2094</v>
      </c>
      <c r="H45" s="17">
        <f t="shared" si="23"/>
        <v>2094</v>
      </c>
      <c r="I45" s="17">
        <f t="shared" ref="I45:K45" si="24">I69</f>
        <v>2094</v>
      </c>
      <c r="J45" s="17">
        <f t="shared" si="24"/>
        <v>2094</v>
      </c>
      <c r="K45" s="17">
        <f t="shared" si="24"/>
        <v>2094</v>
      </c>
      <c r="L45" t="str">
        <f t="shared" ca="1" si="2"/>
        <v>=K69</v>
      </c>
    </row>
    <row r="46" spans="1:12" x14ac:dyDescent="0.45">
      <c r="B46" t="s">
        <v>165</v>
      </c>
      <c r="C46" s="17">
        <f>SUM(C41:C43)-SUM(C44:C45)</f>
        <v>75753</v>
      </c>
      <c r="D46" s="17">
        <f t="shared" ref="D46:H46" si="25">SUM(D41:D43)-SUM(D44:D45)</f>
        <v>62218</v>
      </c>
      <c r="E46" s="17">
        <f t="shared" si="25"/>
        <v>70452</v>
      </c>
      <c r="F46" s="17">
        <f t="shared" si="25"/>
        <v>88616</v>
      </c>
      <c r="G46" s="17">
        <f t="shared" si="25"/>
        <v>156451</v>
      </c>
      <c r="H46" s="17">
        <f t="shared" si="25"/>
        <v>165305.99262465755</v>
      </c>
      <c r="I46" s="17">
        <f t="shared" ref="I46" si="26">SUM(I41:I43)-SUM(I44:I45)</f>
        <v>174062.68882589656</v>
      </c>
      <c r="J46" s="17">
        <f t="shared" ref="J46" si="27">SUM(J41:J43)-SUM(J44:J45)</f>
        <v>190075.63335846196</v>
      </c>
      <c r="K46" s="17">
        <f t="shared" ref="K46" si="28">SUM(K41:K43)-SUM(K44:K45)</f>
        <v>196792.84426079472</v>
      </c>
      <c r="L46" t="str">
        <f t="shared" ca="1" si="2"/>
        <v>=SUM(K41:K43)-SUM(K44:K45)</v>
      </c>
    </row>
    <row r="47" spans="1:12" x14ac:dyDescent="0.45">
      <c r="B47" s="17"/>
      <c r="C47" s="2"/>
    </row>
    <row r="48" spans="1:12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H49">
        <f>H20</f>
        <v>140922.3034</v>
      </c>
      <c r="I49">
        <f t="shared" ref="I49:K49" si="29">I20</f>
        <v>152364.28442770001</v>
      </c>
      <c r="J49">
        <f t="shared" si="29"/>
        <v>161109.31759903365</v>
      </c>
      <c r="K49">
        <f t="shared" si="29"/>
        <v>172104.65523811651</v>
      </c>
      <c r="L49" t="str">
        <f t="shared" ca="1" si="2"/>
        <v>=K20</v>
      </c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H50">
        <f>H26</f>
        <v>54257.529984776338</v>
      </c>
      <c r="I50">
        <f t="shared" ref="I50:K50" si="30">I26</f>
        <v>63673.419869865487</v>
      </c>
      <c r="J50">
        <f t="shared" si="30"/>
        <v>73597.490255234443</v>
      </c>
      <c r="K50">
        <f t="shared" si="30"/>
        <v>83693.266599296883</v>
      </c>
      <c r="L50" t="str">
        <f t="shared" ca="1" si="2"/>
        <v>=K26</v>
      </c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H51">
        <f>H32</f>
        <v>1843</v>
      </c>
      <c r="I51">
        <f t="shared" ref="I51:K51" si="31">I32</f>
        <v>1843</v>
      </c>
      <c r="J51">
        <f t="shared" si="31"/>
        <v>1843</v>
      </c>
      <c r="K51">
        <f t="shared" si="31"/>
        <v>1843</v>
      </c>
      <c r="L51" t="str">
        <f t="shared" ca="1" si="2"/>
        <v>=K32</v>
      </c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H52">
        <f>G52</f>
        <v>14660</v>
      </c>
      <c r="I52">
        <f t="shared" ref="I52:K52" si="32">H52</f>
        <v>14660</v>
      </c>
      <c r="J52">
        <f t="shared" si="32"/>
        <v>14660</v>
      </c>
      <c r="K52">
        <f t="shared" si="32"/>
        <v>14660</v>
      </c>
      <c r="L52" t="str">
        <f t="shared" ca="1" si="2"/>
        <v>=J52</v>
      </c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H53">
        <f>G53</f>
        <v>136</v>
      </c>
      <c r="I53">
        <f t="shared" ref="I53:K53" si="33">H53</f>
        <v>136</v>
      </c>
      <c r="J53">
        <f t="shared" si="33"/>
        <v>136</v>
      </c>
      <c r="K53">
        <f t="shared" si="33"/>
        <v>136</v>
      </c>
      <c r="L53" t="str">
        <f t="shared" ca="1" si="2"/>
        <v>=J53</v>
      </c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H55">
        <f>-H11/365*IS!H21</f>
        <v>167611.04607671231</v>
      </c>
      <c r="I55">
        <f>-I11/365*IS!I21</f>
        <v>175996.10589578078</v>
      </c>
      <c r="J55">
        <f>-J11/365*IS!J21</f>
        <v>184312.92256761045</v>
      </c>
      <c r="K55">
        <f>-K11/365*IS!K21</f>
        <v>188432.46965949712</v>
      </c>
      <c r="L55" t="str">
        <f t="shared" ca="1" si="2"/>
        <v>=-K11/365*IS!K21</v>
      </c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H56">
        <f>H12/365*IS!H19</f>
        <v>85983.77876712328</v>
      </c>
      <c r="I56">
        <f>I12/365*IS!I19</f>
        <v>97098.141903082185</v>
      </c>
      <c r="J56">
        <f>J12/365*IS!J19</f>
        <v>111077.04370955187</v>
      </c>
      <c r="K56">
        <f>K12/365*IS!K19</f>
        <v>124637.48938753529</v>
      </c>
      <c r="L56" t="str">
        <f t="shared" ca="1" si="2"/>
        <v>=K12/365*IS!K19</v>
      </c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H57">
        <f>G57</f>
        <v>10107</v>
      </c>
      <c r="I57">
        <f t="shared" ref="I57:K57" si="34">H57</f>
        <v>10107</v>
      </c>
      <c r="J57">
        <f t="shared" si="34"/>
        <v>10107</v>
      </c>
      <c r="K57">
        <f t="shared" si="34"/>
        <v>10107</v>
      </c>
      <c r="L57" t="str">
        <f t="shared" ca="1" si="2"/>
        <v>=J57</v>
      </c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H58">
        <f ca="1">'CFS and Debt Schedule'!H39</f>
        <v>70347.177655523323</v>
      </c>
      <c r="I58">
        <f ca="1">'CFS and Debt Schedule'!I39</f>
        <v>64965.720344536297</v>
      </c>
      <c r="J58">
        <f ca="1">'CFS and Debt Schedule'!J39</f>
        <v>65609.358717199168</v>
      </c>
      <c r="K58">
        <f ca="1">'CFS and Debt Schedule'!K39</f>
        <v>85502.421153732779</v>
      </c>
      <c r="L58" t="str">
        <f t="shared" ca="1" si="2"/>
        <v>='CFS and Debt Schedule'!K39</v>
      </c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C60">
        <f>SUM(C49:C53,C55:C58)</f>
        <v>263847</v>
      </c>
      <c r="D60">
        <f t="shared" ref="D60:H60" si="35">SUM(D49:D53,D55:D58)</f>
        <v>287848</v>
      </c>
      <c r="E60">
        <f t="shared" si="35"/>
        <v>298382</v>
      </c>
      <c r="F60">
        <f t="shared" si="35"/>
        <v>402700</v>
      </c>
      <c r="G60">
        <f t="shared" si="35"/>
        <v>511211</v>
      </c>
      <c r="H60">
        <f t="shared" ca="1" si="35"/>
        <v>545867.83588413533</v>
      </c>
      <c r="I60">
        <f t="shared" ref="I60:K60" ca="1" si="36">SUM(I49:I53,I55:I58)</f>
        <v>580843.67244096473</v>
      </c>
      <c r="J60">
        <f t="shared" ca="1" si="36"/>
        <v>622452.13284862961</v>
      </c>
      <c r="K60">
        <f t="shared" ca="1" si="36"/>
        <v>681116.30203817855</v>
      </c>
      <c r="L60" t="str">
        <f t="shared" ca="1" si="2"/>
        <v>=SUM(K49:K53,K55:K58)</v>
      </c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H62">
        <f>G62+'CFS and Debt Schedule'!H6</f>
        <v>72104</v>
      </c>
      <c r="I62">
        <f>H62+'CFS and Debt Schedule'!I6</f>
        <v>72104</v>
      </c>
      <c r="J62">
        <f>I62+'CFS and Debt Schedule'!J6</f>
        <v>72104</v>
      </c>
      <c r="K62">
        <f>J62+'CFS and Debt Schedule'!K6</f>
        <v>72104</v>
      </c>
      <c r="L62" t="str">
        <f t="shared" ca="1" si="2"/>
        <v>=J62+'CFS and Debt Schedule'!K6</v>
      </c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H63">
        <f>G63</f>
        <v>1078</v>
      </c>
      <c r="I63">
        <f t="shared" ref="I63:K63" si="37">H63</f>
        <v>1078</v>
      </c>
      <c r="J63">
        <f t="shared" si="37"/>
        <v>1078</v>
      </c>
      <c r="K63">
        <f t="shared" si="37"/>
        <v>1078</v>
      </c>
      <c r="L63" t="str">
        <f t="shared" ca="1" si="2"/>
        <v>=J63</v>
      </c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H64">
        <f>G64</f>
        <v>8934</v>
      </c>
      <c r="I64">
        <f t="shared" ref="I64:K64" si="38">H64</f>
        <v>8934</v>
      </c>
      <c r="J64">
        <f t="shared" si="38"/>
        <v>8934</v>
      </c>
      <c r="K64">
        <f t="shared" si="38"/>
        <v>8934</v>
      </c>
      <c r="L64" t="str">
        <f t="shared" ca="1" si="2"/>
        <v>=J64</v>
      </c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H67">
        <f>G67+'CFS and Debt Schedule'!H7</f>
        <v>12701</v>
      </c>
      <c r="I67">
        <f>H67+'CFS and Debt Schedule'!I7</f>
        <v>12701</v>
      </c>
      <c r="J67">
        <f>I67+'CFS and Debt Schedule'!J7</f>
        <v>12701</v>
      </c>
      <c r="K67">
        <f>J67+'CFS and Debt Schedule'!K7</f>
        <v>12701</v>
      </c>
      <c r="L67" t="str">
        <f t="shared" ca="1" si="2"/>
        <v>=J67+'CFS and Debt Schedule'!K7</v>
      </c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H68">
        <f>H13/365*(IS!H19-IS!H28)</f>
        <v>96301.832219178061</v>
      </c>
      <c r="I68">
        <f>I13/365*(IS!I19-IS!I28)</f>
        <v>107044.55897296642</v>
      </c>
      <c r="J68">
        <f>J13/365*(IS!J19-IS!J28)</f>
        <v>113327.33291870035</v>
      </c>
      <c r="K68">
        <f>K13/365*(IS!K19-IS!K28)</f>
        <v>124290.11478623768</v>
      </c>
      <c r="L68" t="str">
        <f t="shared" ca="1" si="2"/>
        <v>=K13/365*(IS!K19-IS!K28)</v>
      </c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H69">
        <f>G69</f>
        <v>2094</v>
      </c>
      <c r="I69">
        <f t="shared" ref="I69:K69" si="39">H69</f>
        <v>2094</v>
      </c>
      <c r="J69">
        <f t="shared" si="39"/>
        <v>2094</v>
      </c>
      <c r="K69">
        <f t="shared" si="39"/>
        <v>2094</v>
      </c>
      <c r="L69" t="str">
        <f t="shared" ca="1" si="2"/>
        <v>=J69</v>
      </c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C71">
        <f>SUM(C62:C64,C67:C69)</f>
        <v>99062</v>
      </c>
      <c r="D71">
        <f t="shared" ref="D71:H71" si="40">SUM(D62:D64,D67:D69)</f>
        <v>104442</v>
      </c>
      <c r="E71">
        <f t="shared" si="40"/>
        <v>106695</v>
      </c>
      <c r="F71">
        <f t="shared" si="40"/>
        <v>115228</v>
      </c>
      <c r="G71">
        <f t="shared" si="40"/>
        <v>188825</v>
      </c>
      <c r="H71">
        <f t="shared" si="40"/>
        <v>193212.83221917806</v>
      </c>
      <c r="I71">
        <f t="shared" ref="I71:K71" si="41">SUM(I62:I64,I67:I69)</f>
        <v>203955.55897296642</v>
      </c>
      <c r="J71">
        <f t="shared" si="41"/>
        <v>210238.33291870035</v>
      </c>
      <c r="K71">
        <f t="shared" si="41"/>
        <v>221201.11478623768</v>
      </c>
      <c r="L71" t="str">
        <f t="shared" ca="1" si="2"/>
        <v>=SUM(K62:K64,K67:K69)</v>
      </c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H73">
        <f ca="1">H38</f>
        <v>352655.00366495724</v>
      </c>
      <c r="I73">
        <f t="shared" ref="I73:K73" ca="1" si="42">I38</f>
        <v>376888.1134679984</v>
      </c>
      <c r="J73">
        <f t="shared" ca="1" si="42"/>
        <v>412213.79992992926</v>
      </c>
      <c r="K73">
        <f t="shared" ca="1" si="42"/>
        <v>459915.18725194101</v>
      </c>
      <c r="L73" t="str">
        <f t="shared" ca="1" si="2"/>
        <v>=K38</v>
      </c>
    </row>
    <row r="74" spans="2:16" x14ac:dyDescent="0.45">
      <c r="B74" t="s">
        <v>144</v>
      </c>
      <c r="C74">
        <f>C71+C73</f>
        <v>263847</v>
      </c>
      <c r="D74">
        <f t="shared" ref="D74:H74" si="43">D71+D73</f>
        <v>287848</v>
      </c>
      <c r="E74">
        <f t="shared" si="43"/>
        <v>298382</v>
      </c>
      <c r="F74">
        <f t="shared" si="43"/>
        <v>402700</v>
      </c>
      <c r="G74">
        <f t="shared" si="43"/>
        <v>511211</v>
      </c>
      <c r="H74">
        <f t="shared" ca="1" si="43"/>
        <v>545867.83588413533</v>
      </c>
      <c r="I74">
        <f t="shared" ref="I74" ca="1" si="44">I71+I73</f>
        <v>580843.67244096485</v>
      </c>
      <c r="J74">
        <f t="shared" ref="J74" ca="1" si="45">J71+J73</f>
        <v>622452.13284862961</v>
      </c>
      <c r="K74">
        <f t="shared" ref="K74" ca="1" si="46">K71+K73</f>
        <v>681116.30203817866</v>
      </c>
      <c r="L74" t="str">
        <f t="shared" ca="1" si="2"/>
        <v>=K71+K73</v>
      </c>
    </row>
    <row r="75" spans="2:16" x14ac:dyDescent="0.45">
      <c r="I75" t="str">
        <f>[2]!FR(H75)</f>
        <v/>
      </c>
    </row>
    <row r="76" spans="2:16" x14ac:dyDescent="0.45">
      <c r="B76" t="s">
        <v>145</v>
      </c>
      <c r="C76">
        <f>C60-C74</f>
        <v>0</v>
      </c>
      <c r="D76">
        <f t="shared" ref="D76:K76" si="47">D60-D74</f>
        <v>0</v>
      </c>
      <c r="E76">
        <f t="shared" si="47"/>
        <v>0</v>
      </c>
      <c r="F76">
        <f t="shared" si="47"/>
        <v>0</v>
      </c>
      <c r="G76">
        <f t="shared" si="47"/>
        <v>0</v>
      </c>
      <c r="H76">
        <f t="shared" ca="1" si="47"/>
        <v>0</v>
      </c>
      <c r="I76">
        <f t="shared" ca="1" si="47"/>
        <v>0</v>
      </c>
      <c r="J76">
        <f t="shared" ca="1" si="47"/>
        <v>0</v>
      </c>
      <c r="K76">
        <f t="shared" ca="1" si="47"/>
        <v>0</v>
      </c>
      <c r="L76" t="str">
        <f t="shared" ca="1" si="2"/>
        <v>=K60-K74</v>
      </c>
    </row>
    <row r="77" spans="2:16" x14ac:dyDescent="0.45">
      <c r="B77" s="17"/>
      <c r="I77" t="str">
        <f>[2]!FR(H77)</f>
        <v/>
      </c>
    </row>
    <row r="78" spans="2:16" x14ac:dyDescent="0.45">
      <c r="B78" s="17"/>
      <c r="C78" s="2"/>
      <c r="I78" t="str">
        <f>[2]!FR(H78)</f>
        <v/>
      </c>
    </row>
    <row r="79" spans="2:16" x14ac:dyDescent="0.45">
      <c r="B79" s="17"/>
      <c r="C79" s="2"/>
      <c r="I79" t="str">
        <f>[2]!FR(H79)</f>
        <v/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2.3899075380034478E-2</v>
      </c>
      <c r="E8" s="19">
        <f>E44/AVERAGE(SUM(BS!D62,BS!D67),SUM(BS!E62,BS!E67))</f>
        <v>2.630109955732108E-2</v>
      </c>
      <c r="F8" s="19">
        <f>F44/AVERAGE(SUM(BS!E62,BS!E67),SUM(BS!F62,BS!F67))</f>
        <v>1.8383444572107253E-2</v>
      </c>
      <c r="G8" s="19">
        <f>G44/AVERAGE(SUM(BS!F62,BS!F67),SUM(BS!G62,BS!G67))</f>
        <v>1.5576036092044795E-2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>
        <f>'CFS and Debt Schedule'!D47/AVERAGE('CFS and Debt Schedule'!C46:D46)</f>
        <v>1.2063033598097099E-2</v>
      </c>
      <c r="E9" s="19">
        <f>'CFS and Debt Schedule'!E47/AVERAGE('CFS and Debt Schedule'!D46:E46)</f>
        <v>2.2661370891103585E-3</v>
      </c>
      <c r="F9" s="19">
        <f>'CFS and Debt Schedule'!F47/AVERAGE('CFS and Debt Schedule'!E46:F46)</f>
        <v>2.3492963123389446E-4</v>
      </c>
      <c r="G9" s="19">
        <f>'CFS and Debt Schedule'!G47/AVERAGE('CFS and Debt Schedule'!F46:G46)</f>
        <v>6.2600882549697118E-4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  <c r="H13">
        <f ca="1">IS!H41</f>
        <v>40407.981544479713</v>
      </c>
      <c r="I13">
        <f ca="1">IS!I41</f>
        <v>32350.290235032771</v>
      </c>
      <c r="J13">
        <f ca="1">IS!J41</f>
        <v>47158.462908124813</v>
      </c>
      <c r="K13">
        <f ca="1">IS!K41</f>
        <v>63679.55813443035</v>
      </c>
      <c r="L13" t="str">
        <f ca="1">_xlfn.FORMULATEXT(K13)</f>
        <v>=IS!K41</v>
      </c>
    </row>
    <row r="14" spans="1:21" x14ac:dyDescent="0.45">
      <c r="B14" t="s">
        <v>14</v>
      </c>
      <c r="D14" s="17"/>
      <c r="E14" s="17"/>
      <c r="F14" s="17"/>
      <c r="G14" s="17"/>
      <c r="H14">
        <f>IS!H27*-1</f>
        <v>0</v>
      </c>
      <c r="I14">
        <f>IS!I27*-1</f>
        <v>0</v>
      </c>
      <c r="J14">
        <f>IS!J27*-1</f>
        <v>0</v>
      </c>
      <c r="K14">
        <f>IS!K27*-1</f>
        <v>0</v>
      </c>
      <c r="L14" t="str">
        <f ca="1">IF(ISBLANK(K14),"",_xlfn.FORMULATEXT(K14))</f>
        <v>=IS!K27*-1</v>
      </c>
    </row>
    <row r="15" spans="1:21" x14ac:dyDescent="0.45">
      <c r="B15" t="s">
        <v>160</v>
      </c>
      <c r="D15" s="17"/>
      <c r="E15" s="17"/>
      <c r="F15" s="17"/>
      <c r="G15" s="17"/>
      <c r="H15">
        <f>-(BS!H19+BS!H25)</f>
        <v>21260.333665223665</v>
      </c>
      <c r="I15">
        <f>-(BS!I19+BS!I25)</f>
        <v>24033.836693735859</v>
      </c>
      <c r="J15">
        <f>-(BS!J19+BS!J25)</f>
        <v>27279.766857815383</v>
      </c>
      <c r="K15">
        <f>-(BS!K19+BS!K25)</f>
        <v>30467.260793498437</v>
      </c>
      <c r="L15" t="str">
        <f t="shared" ref="L15:L43" ca="1" si="0">_xlfn.FORMULATEXT(K15)</f>
        <v>=-(BS!K19+BS!K25)</v>
      </c>
    </row>
    <row r="16" spans="1:21" x14ac:dyDescent="0.45">
      <c r="B16" t="s">
        <v>169</v>
      </c>
      <c r="D16" s="17"/>
      <c r="E16" s="17"/>
      <c r="F16" s="17"/>
      <c r="G16" s="17"/>
      <c r="H16">
        <f ca="1">-IS!H36</f>
        <v>1287.9934111722384</v>
      </c>
      <c r="I16">
        <f ca="1">-IS!I36</f>
        <v>1289.2235509999703</v>
      </c>
      <c r="J16">
        <f ca="1">-IS!J36</f>
        <v>1291.5924604691324</v>
      </c>
      <c r="K16">
        <f ca="1">-IS!K36</f>
        <v>1281.3241100645341</v>
      </c>
      <c r="L16" t="str">
        <f t="shared" ca="1" si="0"/>
        <v>=-IS!K36</v>
      </c>
      <c r="N16" s="33"/>
    </row>
    <row r="17" spans="2:14" x14ac:dyDescent="0.45">
      <c r="B17" t="s">
        <v>166</v>
      </c>
      <c r="D17" s="14"/>
      <c r="E17" s="14"/>
      <c r="F17" s="14"/>
      <c r="G17" s="14"/>
      <c r="H17">
        <f>BS!G46-BS!H46</f>
        <v>-8854.9926246575487</v>
      </c>
      <c r="I17">
        <f>BS!H46-BS!I46</f>
        <v>-8756.696201239014</v>
      </c>
      <c r="J17">
        <f>BS!I46-BS!J46</f>
        <v>-16012.944532565394</v>
      </c>
      <c r="K17">
        <f>BS!J46-BS!K46</f>
        <v>-6717.2109023327648</v>
      </c>
      <c r="L17" t="str">
        <f t="shared" ca="1" si="0"/>
        <v>=BS!J46-BS!K46</v>
      </c>
    </row>
    <row r="18" spans="2:14" x14ac:dyDescent="0.45">
      <c r="B18" t="s">
        <v>167</v>
      </c>
      <c r="D18" s="14"/>
      <c r="E18" s="14"/>
      <c r="F18" s="14"/>
      <c r="G18" s="14"/>
      <c r="H18">
        <f>BS!G64-BS!H64</f>
        <v>0</v>
      </c>
      <c r="I18">
        <f>BS!H64-BS!I64</f>
        <v>0</v>
      </c>
      <c r="J18">
        <f>BS!I64-BS!J64</f>
        <v>0</v>
      </c>
      <c r="K18">
        <f>BS!J64-BS!K64</f>
        <v>0</v>
      </c>
      <c r="L18" t="str">
        <f t="shared" ca="1" si="0"/>
        <v>=BS!J64-BS!K64</v>
      </c>
    </row>
    <row r="19" spans="2:14" x14ac:dyDescent="0.45">
      <c r="B19" t="s">
        <v>168</v>
      </c>
      <c r="D19" s="14"/>
      <c r="E19" s="14"/>
      <c r="F19" s="14"/>
      <c r="G19" s="14"/>
      <c r="H19">
        <f>BS!H64-BS!G64</f>
        <v>0</v>
      </c>
      <c r="I19">
        <f>BS!I64-BS!H64</f>
        <v>0</v>
      </c>
      <c r="J19">
        <f>BS!J64-BS!I64</f>
        <v>0</v>
      </c>
      <c r="K19">
        <f>BS!K64-BS!J64</f>
        <v>0</v>
      </c>
      <c r="L19" t="str">
        <f t="shared" ca="1" si="0"/>
        <v>=BS!K64-BS!J64</v>
      </c>
    </row>
    <row r="20" spans="2:14" x14ac:dyDescent="0.45">
      <c r="B20" t="s">
        <v>62</v>
      </c>
      <c r="H20">
        <f ca="1">SUM(H13:H19)</f>
        <v>54101.315996218065</v>
      </c>
      <c r="I20">
        <f t="shared" ref="I20:K20" ca="1" si="1">SUM(I13:I19)</f>
        <v>48916.65427852959</v>
      </c>
      <c r="J20">
        <f t="shared" ca="1" si="1"/>
        <v>59716.877693843941</v>
      </c>
      <c r="K20">
        <f t="shared" ca="1" si="1"/>
        <v>88710.932135660565</v>
      </c>
      <c r="L20" t="str">
        <f t="shared" ca="1" si="0"/>
        <v>=SUM(K13:K19)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  <c r="H23">
        <f>-BS!H24</f>
        <v>-14645.90365</v>
      </c>
      <c r="I23">
        <f>-BS!I24</f>
        <v>-16539.050170825001</v>
      </c>
      <c r="J23">
        <f>-BS!J24</f>
        <v>-18920.123111860335</v>
      </c>
      <c r="K23">
        <f>-BS!K24</f>
        <v>-21229.919025676849</v>
      </c>
      <c r="L23" t="str">
        <f t="shared" ca="1" si="0"/>
        <v>=-BS!K24</v>
      </c>
    </row>
    <row r="24" spans="2:14" x14ac:dyDescent="0.45">
      <c r="B24" t="s">
        <v>65</v>
      </c>
      <c r="D24" s="14"/>
      <c r="E24" s="14"/>
      <c r="F24" s="14"/>
      <c r="G24" s="14"/>
      <c r="H24">
        <f>-BS!H18</f>
        <v>-25107.263399999996</v>
      </c>
      <c r="I24">
        <f>-BS!I18</f>
        <v>-28352.657435699995</v>
      </c>
      <c r="J24">
        <f>-BS!J18</f>
        <v>-27028.747302657623</v>
      </c>
      <c r="K24">
        <f>-BS!K18</f>
        <v>-30328.455750966925</v>
      </c>
      <c r="L24" t="str">
        <f t="shared" ca="1" si="0"/>
        <v>=-BS!K18</v>
      </c>
    </row>
    <row r="25" spans="2:14" x14ac:dyDescent="0.45">
      <c r="B25" t="s">
        <v>171</v>
      </c>
      <c r="D25" s="14"/>
      <c r="E25" s="14"/>
      <c r="F25" s="14"/>
      <c r="G25" s="14"/>
      <c r="H25">
        <f>-BS!H31</f>
        <v>0</v>
      </c>
      <c r="I25">
        <f>-BS!I31</f>
        <v>0</v>
      </c>
      <c r="J25">
        <f>-BS!J31</f>
        <v>0</v>
      </c>
      <c r="K25">
        <f>-BS!K31</f>
        <v>0</v>
      </c>
      <c r="L25" t="str">
        <f t="shared" ca="1" si="0"/>
        <v>=-BS!K31</v>
      </c>
    </row>
    <row r="26" spans="2:14" x14ac:dyDescent="0.45">
      <c r="B26" t="s">
        <v>66</v>
      </c>
      <c r="D26" s="14"/>
      <c r="E26" s="14"/>
      <c r="F26" s="14"/>
      <c r="G26" s="14"/>
      <c r="H26">
        <f ca="1">IS!H33</f>
        <v>68.886588827761656</v>
      </c>
      <c r="I26">
        <f ca="1">IS!I33</f>
        <v>67.656449000029809</v>
      </c>
      <c r="J26">
        <f ca="1">IS!J33</f>
        <v>65.287539530867733</v>
      </c>
      <c r="K26">
        <f ca="1">IS!K33</f>
        <v>75.55588993546597</v>
      </c>
      <c r="L26" t="str">
        <f t="shared" ca="1" si="0"/>
        <v>=IS!K33</v>
      </c>
      <c r="N26" s="33"/>
    </row>
    <row r="27" spans="2:14" x14ac:dyDescent="0.45">
      <c r="B27" t="s">
        <v>67</v>
      </c>
      <c r="H27">
        <f ca="1">SUM(H23:H26)</f>
        <v>-39684.280461172231</v>
      </c>
      <c r="I27">
        <f t="shared" ref="I27:K27" ca="1" si="2">SUM(I23:I26)</f>
        <v>-44824.051157524969</v>
      </c>
      <c r="J27">
        <f t="shared" ca="1" si="2"/>
        <v>-45883.582874987093</v>
      </c>
      <c r="K27">
        <f t="shared" ca="1" si="2"/>
        <v>-51482.818886708308</v>
      </c>
      <c r="L27" t="str">
        <f t="shared" ca="1" si="0"/>
        <v>=SUM(K23:K26)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  <c r="H30">
        <f>BS!H67-BS!G67</f>
        <v>0</v>
      </c>
      <c r="I30">
        <f>BS!I67-BS!H67</f>
        <v>0</v>
      </c>
      <c r="J30">
        <f>BS!J67-BS!I67</f>
        <v>0</v>
      </c>
      <c r="K30">
        <f>BS!K67-BS!J67</f>
        <v>0</v>
      </c>
      <c r="L30" t="str">
        <f t="shared" ca="1" si="0"/>
        <v>=BS!K67-BS!J67</v>
      </c>
    </row>
    <row r="31" spans="2:14" x14ac:dyDescent="0.45">
      <c r="B31" t="s">
        <v>180</v>
      </c>
      <c r="D31" s="14"/>
      <c r="E31" s="14"/>
      <c r="F31" s="14"/>
      <c r="G31" s="14"/>
      <c r="H31">
        <f>BS!H62-BS!G62</f>
        <v>0</v>
      </c>
      <c r="I31">
        <f>BS!I62-BS!H62</f>
        <v>0</v>
      </c>
      <c r="J31">
        <f>BS!J62-BS!I62</f>
        <v>0</v>
      </c>
      <c r="K31">
        <f>BS!K62-BS!J62</f>
        <v>0</v>
      </c>
      <c r="L31" t="str">
        <f t="shared" ca="1" si="0"/>
        <v>=BS!K62-BS!J62</v>
      </c>
    </row>
    <row r="32" spans="2:14" x14ac:dyDescent="0.45">
      <c r="B32" t="s">
        <v>69</v>
      </c>
      <c r="D32" s="14"/>
      <c r="E32" s="14"/>
      <c r="F32" s="14"/>
      <c r="G32" s="14"/>
      <c r="H32">
        <f>IS!H34</f>
        <v>-1356.88</v>
      </c>
      <c r="I32">
        <f>IS!I34</f>
        <v>-1356.88</v>
      </c>
      <c r="J32">
        <f>IS!J34</f>
        <v>-1356.88</v>
      </c>
      <c r="K32">
        <f>IS!K34</f>
        <v>-1356.88</v>
      </c>
      <c r="L32" t="str">
        <f t="shared" ca="1" si="0"/>
        <v>=IS!K34</v>
      </c>
      <c r="N32" s="33"/>
    </row>
    <row r="33" spans="1:12" x14ac:dyDescent="0.45">
      <c r="B33" t="s">
        <v>70</v>
      </c>
      <c r="D33" s="14"/>
      <c r="E33" s="14"/>
      <c r="F33" s="14"/>
      <c r="G33" s="14"/>
      <c r="H33">
        <f ca="1">BS!H37</f>
        <v>-10138.977879522514</v>
      </c>
      <c r="I33">
        <f ca="1">BS!I37</f>
        <v>-8117.18043199165</v>
      </c>
      <c r="J33">
        <f ca="1">BS!J37</f>
        <v>-11832.776446193977</v>
      </c>
      <c r="K33">
        <f ca="1">BS!K37</f>
        <v>-15978.170812418652</v>
      </c>
      <c r="L33" t="str">
        <f t="shared" ca="1" si="0"/>
        <v>=BS!K37</v>
      </c>
    </row>
    <row r="34" spans="1:12" x14ac:dyDescent="0.45">
      <c r="B34" t="s">
        <v>71</v>
      </c>
      <c r="H34">
        <f ca="1">SUM(H30:H33)</f>
        <v>-11495.857879522515</v>
      </c>
      <c r="I34">
        <f t="shared" ref="I34:K34" ca="1" si="3">SUM(I30:I33)</f>
        <v>-9474.0604319916492</v>
      </c>
      <c r="J34">
        <f t="shared" ca="1" si="3"/>
        <v>-13189.656446193978</v>
      </c>
      <c r="K34">
        <f t="shared" ca="1" si="3"/>
        <v>-17335.050812418653</v>
      </c>
      <c r="L34" t="str">
        <f t="shared" ca="1" si="0"/>
        <v>=SUM(K30:K33)</v>
      </c>
    </row>
    <row r="35" spans="1:12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2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  <c r="H36">
        <f ca="1">H20+H27+H34</f>
        <v>2921.1776555233191</v>
      </c>
      <c r="I36">
        <f t="shared" ref="I36:K36" ca="1" si="4">I20+I27+I34</f>
        <v>-5381.4573109870289</v>
      </c>
      <c r="J36">
        <f t="shared" ca="1" si="4"/>
        <v>643.6383726628701</v>
      </c>
      <c r="K36">
        <f t="shared" ca="1" si="4"/>
        <v>19893.062436533604</v>
      </c>
      <c r="L36" t="str">
        <f t="shared" ca="1" si="0"/>
        <v>=K20+K27+K34</v>
      </c>
    </row>
    <row r="37" spans="1:12" x14ac:dyDescent="0.45">
      <c r="D37" s="2"/>
      <c r="E37" s="2"/>
      <c r="F37" s="2"/>
      <c r="G37" s="2"/>
      <c r="H37" s="2"/>
      <c r="I37" s="2"/>
      <c r="J37" s="2"/>
      <c r="K37" s="2"/>
    </row>
    <row r="38" spans="1:12" x14ac:dyDescent="0.45">
      <c r="B38" t="s">
        <v>161</v>
      </c>
      <c r="H38">
        <f>G39</f>
        <v>67426</v>
      </c>
      <c r="I38">
        <f t="shared" ref="I38:K38" ca="1" si="5">H39</f>
        <v>70347.177655523323</v>
      </c>
      <c r="J38">
        <f t="shared" ca="1" si="5"/>
        <v>64965.720344536297</v>
      </c>
      <c r="K38">
        <f t="shared" ca="1" si="5"/>
        <v>65609.358717199168</v>
      </c>
      <c r="L38" t="str">
        <f t="shared" ca="1" si="0"/>
        <v>=J39</v>
      </c>
    </row>
    <row r="39" spans="1:12" x14ac:dyDescent="0.45">
      <c r="B39" t="s">
        <v>162</v>
      </c>
      <c r="C39">
        <f>BS!C58</f>
        <v>29251</v>
      </c>
      <c r="D39">
        <f>BS!D58</f>
        <v>41378</v>
      </c>
      <c r="E39">
        <f>BS!E58</f>
        <v>40700</v>
      </c>
      <c r="F39">
        <f>BS!F58</f>
        <v>95511</v>
      </c>
      <c r="G39">
        <f>BS!G58</f>
        <v>67426</v>
      </c>
      <c r="H39">
        <f ca="1">H36+H38</f>
        <v>70347.177655523323</v>
      </c>
      <c r="I39">
        <f t="shared" ref="I39:K39" ca="1" si="6">I36+I38</f>
        <v>64965.720344536297</v>
      </c>
      <c r="J39">
        <f t="shared" ca="1" si="6"/>
        <v>65609.358717199168</v>
      </c>
      <c r="K39">
        <f t="shared" ca="1" si="6"/>
        <v>85502.421153732779</v>
      </c>
      <c r="L39" t="str">
        <f t="shared" ca="1" si="0"/>
        <v>=K36+K38</v>
      </c>
    </row>
    <row r="40" spans="1:12" ht="13.5" customHeight="1" x14ac:dyDescent="0.45">
      <c r="B40" s="17"/>
    </row>
    <row r="41" spans="1:12" ht="15.75" x14ac:dyDescent="0.45">
      <c r="A41" s="28" t="s">
        <v>177</v>
      </c>
      <c r="B41" s="7"/>
    </row>
    <row r="42" spans="1:12" ht="15.75" x14ac:dyDescent="0.45">
      <c r="A42" s="28"/>
      <c r="B42" t="s">
        <v>179</v>
      </c>
      <c r="C42">
        <f>BS!C62</f>
        <v>32631</v>
      </c>
      <c r="D42">
        <f>BS!D62</f>
        <v>20828</v>
      </c>
      <c r="E42">
        <f>BS!E62</f>
        <v>27029</v>
      </c>
      <c r="F42">
        <f>BS!F62</f>
        <v>16589</v>
      </c>
      <c r="G42">
        <f>BS!G62</f>
        <v>72104</v>
      </c>
      <c r="H42">
        <f>BS!H62</f>
        <v>72104</v>
      </c>
      <c r="I42">
        <f>BS!I62</f>
        <v>72104</v>
      </c>
      <c r="J42">
        <f>BS!J62</f>
        <v>72104</v>
      </c>
      <c r="K42">
        <f>BS!K62</f>
        <v>72104</v>
      </c>
      <c r="L42" t="str">
        <f t="shared" ca="1" si="0"/>
        <v>=BS!K62</v>
      </c>
    </row>
    <row r="43" spans="1:12" ht="15.75" x14ac:dyDescent="0.45">
      <c r="A43" s="28"/>
      <c r="B43" t="s">
        <v>178</v>
      </c>
      <c r="C43">
        <f>BS!C67</f>
        <v>10147</v>
      </c>
      <c r="D43">
        <f>BS!D67</f>
        <v>12966</v>
      </c>
      <c r="E43">
        <f>BS!E67</f>
        <v>16208</v>
      </c>
      <c r="F43">
        <f>BS!F67</f>
        <v>17635</v>
      </c>
      <c r="G43">
        <f>BS!G67</f>
        <v>12701</v>
      </c>
      <c r="H43">
        <f>BS!H67</f>
        <v>12701</v>
      </c>
      <c r="I43">
        <f>BS!I67</f>
        <v>12701</v>
      </c>
      <c r="J43">
        <f>BS!J67</f>
        <v>12701</v>
      </c>
      <c r="K43">
        <f>BS!K67</f>
        <v>12701</v>
      </c>
      <c r="L43" t="str">
        <f t="shared" ca="1" si="0"/>
        <v>=BS!K67</v>
      </c>
    </row>
    <row r="44" spans="1:12" x14ac:dyDescent="0.45">
      <c r="B44" t="s">
        <v>54</v>
      </c>
      <c r="D44">
        <f>-IS!D34</f>
        <v>915</v>
      </c>
      <c r="E44">
        <f>-IS!E34</f>
        <v>1013</v>
      </c>
      <c r="F44">
        <f>-IS!F34</f>
        <v>712</v>
      </c>
      <c r="G44">
        <f>-IS!G34</f>
        <v>927</v>
      </c>
      <c r="H44">
        <f>H8*AVERAGE(SUM(G42:G43),SUM(H42:H43))</f>
        <v>1356.88</v>
      </c>
      <c r="I44">
        <f t="shared" ref="I44:K44" si="7">I8*AVERAGE(SUM(H42:H43),SUM(I42:I43))</f>
        <v>1356.88</v>
      </c>
      <c r="J44">
        <f t="shared" si="7"/>
        <v>1356.88</v>
      </c>
      <c r="K44">
        <f t="shared" si="7"/>
        <v>1356.88</v>
      </c>
    </row>
    <row r="46" spans="1:12" x14ac:dyDescent="0.45">
      <c r="B46" t="s">
        <v>55</v>
      </c>
      <c r="C46">
        <f>C39</f>
        <v>29251</v>
      </c>
      <c r="D46">
        <f t="shared" ref="D46:H46" si="8">D39</f>
        <v>41378</v>
      </c>
      <c r="E46">
        <f t="shared" si="8"/>
        <v>40700</v>
      </c>
      <c r="F46">
        <f t="shared" si="8"/>
        <v>95511</v>
      </c>
      <c r="G46">
        <f t="shared" si="8"/>
        <v>67426</v>
      </c>
      <c r="H46">
        <f t="shared" ca="1" si="8"/>
        <v>70347.177655523323</v>
      </c>
      <c r="I46">
        <f t="shared" ref="I46:K46" ca="1" si="9">I39</f>
        <v>64965.720344536297</v>
      </c>
      <c r="J46">
        <f t="shared" ca="1" si="9"/>
        <v>65609.358717199168</v>
      </c>
      <c r="K46">
        <f t="shared" ca="1" si="9"/>
        <v>85502.421153732779</v>
      </c>
    </row>
    <row r="47" spans="1:12" x14ac:dyDescent="0.45">
      <c r="B47" t="s">
        <v>56</v>
      </c>
      <c r="D47">
        <f>IS!D33</f>
        <v>426</v>
      </c>
      <c r="E47">
        <f>IS!E33</f>
        <v>93</v>
      </c>
      <c r="F47">
        <f>IS!F33</f>
        <v>16</v>
      </c>
      <c r="G47">
        <f>IS!G33</f>
        <v>51</v>
      </c>
      <c r="H47">
        <f ca="1">H9*AVERAGE(G46:H46)</f>
        <v>68.886588827761656</v>
      </c>
      <c r="I47">
        <f t="shared" ref="I47:K47" ca="1" si="10">I9*AVERAGE(H46:I46)</f>
        <v>67.656449000029809</v>
      </c>
      <c r="J47">
        <f t="shared" ca="1" si="10"/>
        <v>65.287539530867733</v>
      </c>
      <c r="K47">
        <f t="shared" ca="1" si="10"/>
        <v>75.55588993546597</v>
      </c>
    </row>
    <row r="49" spans="2:11" x14ac:dyDescent="0.45">
      <c r="B49" t="s">
        <v>57</v>
      </c>
      <c r="C49">
        <f>C42+C43-C46</f>
        <v>13527</v>
      </c>
      <c r="D49">
        <f t="shared" ref="D49:H49" si="11">D42+D43-D46</f>
        <v>-7584</v>
      </c>
      <c r="E49">
        <f t="shared" si="11"/>
        <v>2537</v>
      </c>
      <c r="F49">
        <f t="shared" si="11"/>
        <v>-61287</v>
      </c>
      <c r="G49">
        <f t="shared" si="11"/>
        <v>17379</v>
      </c>
      <c r="H49">
        <f t="shared" ca="1" si="11"/>
        <v>14457.822344476677</v>
      </c>
      <c r="I49">
        <f t="shared" ref="I49:K49" ca="1" si="12">I42+I43-I46</f>
        <v>19839.279655463703</v>
      </c>
      <c r="J49">
        <f t="shared" ca="1" si="12"/>
        <v>19195.641282800832</v>
      </c>
      <c r="K49">
        <f t="shared" ca="1" si="12"/>
        <v>-697.4211537327792</v>
      </c>
    </row>
    <row r="50" spans="2:11" x14ac:dyDescent="0.45">
      <c r="B50" s="17"/>
      <c r="C50" s="2"/>
    </row>
    <row r="53" spans="2:11" x14ac:dyDescent="0.45">
      <c r="B53" s="17"/>
    </row>
    <row r="54" spans="2:11" x14ac:dyDescent="0.45">
      <c r="B54" s="17"/>
    </row>
    <row r="55" spans="2:11" x14ac:dyDescent="0.45">
      <c r="B55" s="17"/>
    </row>
    <row r="56" spans="2:11" x14ac:dyDescent="0.45">
      <c r="B56" s="17"/>
    </row>
    <row r="57" spans="2:11" x14ac:dyDescent="0.45">
      <c r="B57" s="17"/>
    </row>
    <row r="58" spans="2:11" x14ac:dyDescent="0.45">
      <c r="B58" s="17"/>
    </row>
    <row r="59" spans="2:11" x14ac:dyDescent="0.45">
      <c r="B59" s="17"/>
    </row>
    <row r="60" spans="2:11" x14ac:dyDescent="0.45">
      <c r="B60" s="17"/>
    </row>
    <row r="61" spans="2:11" x14ac:dyDescent="0.45">
      <c r="B61" s="17"/>
    </row>
    <row r="62" spans="2:11" x14ac:dyDescent="0.45">
      <c r="B62" s="17"/>
    </row>
    <row r="63" spans="2:11" x14ac:dyDescent="0.45">
      <c r="B63" s="17"/>
    </row>
    <row r="64" spans="2:11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2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2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2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2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2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2" x14ac:dyDescent="0.45">
      <c r="A24" s="33" t="s">
        <v>138</v>
      </c>
    </row>
    <row r="25" spans="1:12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K26" si="5">G25*(1+H6)</f>
        <v>71715.81</v>
      </c>
      <c r="I25">
        <f t="shared" si="5"/>
        <v>73867.284299999999</v>
      </c>
      <c r="J25">
        <f t="shared" si="5"/>
        <v>76083.302829000007</v>
      </c>
      <c r="K25">
        <f t="shared" si="5"/>
        <v>78365.801913870004</v>
      </c>
      <c r="L25" t="str">
        <f ca="1">_xlfn.FORMULATEXT(K25)</f>
        <v>=J25*(1+K6)</v>
      </c>
    </row>
    <row r="26" spans="1:12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>
        <f t="shared" si="5"/>
        <v>31570.012499999997</v>
      </c>
      <c r="J26">
        <f t="shared" si="5"/>
        <v>30622.912124999995</v>
      </c>
      <c r="K26">
        <f t="shared" si="5"/>
        <v>29704.224761249996</v>
      </c>
      <c r="L26" t="str">
        <f t="shared" ref="L26:L45" ca="1" si="6">_xlfn.FORMULATEXT(K26)</f>
        <v>=J26*(1+K7)</v>
      </c>
    </row>
    <row r="27" spans="1:12" x14ac:dyDescent="0.45">
      <c r="B27" t="s">
        <v>76</v>
      </c>
      <c r="C27">
        <f t="shared" ref="C27:K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>
        <f t="shared" si="7"/>
        <v>105437.2968</v>
      </c>
      <c r="J27">
        <f t="shared" si="7"/>
        <v>106706.214954</v>
      </c>
      <c r="K27">
        <f t="shared" si="7"/>
        <v>108070.02667512</v>
      </c>
      <c r="L27" t="str">
        <f t="shared" ca="1" si="6"/>
        <v>=SUM(K25:K26)</v>
      </c>
    </row>
    <row r="28" spans="1:12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>
        <f>H28*(1+I8)</f>
        <v>135591.0784</v>
      </c>
      <c r="J28">
        <f>I28*(1+J8)</f>
        <v>169488.848</v>
      </c>
      <c r="K28">
        <f>J28*(1+K8)</f>
        <v>205081.50607999999</v>
      </c>
      <c r="L28" t="str">
        <f t="shared" ca="1" si="6"/>
        <v>=J28*(1+K8)</v>
      </c>
    </row>
    <row r="29" spans="1:12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K36" si="8">G29*(1+H9)</f>
        <v>30214.75</v>
      </c>
      <c r="I29">
        <f t="shared" si="8"/>
        <v>28704.012499999997</v>
      </c>
      <c r="J29">
        <f t="shared" si="8"/>
        <v>27268.811874999996</v>
      </c>
      <c r="K29">
        <f t="shared" si="8"/>
        <v>24541.930687499997</v>
      </c>
      <c r="L29" t="str">
        <f t="shared" ca="1" si="6"/>
        <v>=J29*(1+K9)</v>
      </c>
    </row>
    <row r="30" spans="1:12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>
        <f t="shared" si="8"/>
        <v>0</v>
      </c>
      <c r="J30">
        <f t="shared" si="8"/>
        <v>0</v>
      </c>
      <c r="K30">
        <f t="shared" si="8"/>
        <v>0</v>
      </c>
      <c r="L30" t="str">
        <f t="shared" ca="1" si="6"/>
        <v>=J30*(1+K10)</v>
      </c>
    </row>
    <row r="31" spans="1:12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>
        <f t="shared" si="8"/>
        <v>14803.289500000001</v>
      </c>
      <c r="J31">
        <f t="shared" si="8"/>
        <v>14063.125024999999</v>
      </c>
      <c r="K31">
        <f t="shared" si="8"/>
        <v>13359.968773749999</v>
      </c>
      <c r="L31" t="str">
        <f t="shared" ca="1" si="6"/>
        <v>=J31*(1+K11)</v>
      </c>
    </row>
    <row r="32" spans="1:12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>
        <f t="shared" si="8"/>
        <v>2629.2960000000003</v>
      </c>
      <c r="J32">
        <f t="shared" si="8"/>
        <v>2103.4368000000004</v>
      </c>
      <c r="K32">
        <f t="shared" si="8"/>
        <v>1682.7494400000005</v>
      </c>
      <c r="L32" t="str">
        <f t="shared" ca="1" si="6"/>
        <v>=J32*(1+K12)</v>
      </c>
    </row>
    <row r="33" spans="1:12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>
        <f t="shared" si="8"/>
        <v>34882.847999999998</v>
      </c>
      <c r="J33">
        <f t="shared" si="8"/>
        <v>43603.56</v>
      </c>
      <c r="K33">
        <f t="shared" si="8"/>
        <v>47963.916000000005</v>
      </c>
      <c r="L33" t="str">
        <f t="shared" ca="1" si="6"/>
        <v>=J33*(1+K13)</v>
      </c>
    </row>
    <row r="34" spans="1:12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>
        <f t="shared" si="8"/>
        <v>0</v>
      </c>
      <c r="J34">
        <f t="shared" si="8"/>
        <v>0</v>
      </c>
      <c r="K34">
        <f t="shared" si="8"/>
        <v>0</v>
      </c>
      <c r="L34" t="str">
        <f t="shared" ca="1" si="6"/>
        <v>=J34*(1+K14)</v>
      </c>
    </row>
    <row r="35" spans="1:12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>
        <f t="shared" si="8"/>
        <v>0</v>
      </c>
      <c r="J35">
        <f t="shared" si="8"/>
        <v>0</v>
      </c>
      <c r="K35">
        <f t="shared" si="8"/>
        <v>0</v>
      </c>
      <c r="L35" t="str">
        <f t="shared" ca="1" si="6"/>
        <v>=J35*(1+K15)</v>
      </c>
    </row>
    <row r="36" spans="1:12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>
        <f t="shared" si="8"/>
        <v>14210.028000000002</v>
      </c>
      <c r="J36">
        <f t="shared" si="8"/>
        <v>14636.328840000002</v>
      </c>
      <c r="K36">
        <f t="shared" si="8"/>
        <v>13172.695956000001</v>
      </c>
      <c r="L36" t="str">
        <f t="shared" ca="1" si="6"/>
        <v>=J36*(1+K16)</v>
      </c>
    </row>
    <row r="37" spans="1:12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>
        <f>IF(Pipeline=1,'Pipeline Drug'!J100,0)</f>
        <v>10124.319195000002</v>
      </c>
      <c r="J37">
        <f>IF(Pipeline=1,'Pipeline Drug'!K100,0)</f>
        <v>30594.966143152498</v>
      </c>
      <c r="K37">
        <f>IF(Pipeline=1,'Pipeline Drug'!L100,0)</f>
        <v>55002.485973528448</v>
      </c>
      <c r="L37" t="str">
        <f t="shared" ca="1" si="6"/>
        <v>=IF(Pipeline=1,'Pipeline Drug'!L100,0)</v>
      </c>
    </row>
    <row r="38" spans="1:12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>
        <f>I17</f>
        <v>3000</v>
      </c>
      <c r="J38">
        <f>J17</f>
        <v>3000</v>
      </c>
      <c r="K38">
        <f>K17</f>
        <v>3000</v>
      </c>
      <c r="L38" t="str">
        <f t="shared" ca="1" si="6"/>
        <v>=K17</v>
      </c>
    </row>
    <row r="39" spans="1:12" x14ac:dyDescent="0.45">
      <c r="B39" t="s">
        <v>137</v>
      </c>
      <c r="C39">
        <f t="shared" ref="C39:K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>
        <f t="shared" si="9"/>
        <v>349382.16839499999</v>
      </c>
      <c r="J39">
        <f t="shared" si="9"/>
        <v>411465.29163715249</v>
      </c>
      <c r="K39">
        <f t="shared" si="9"/>
        <v>471875.27958589845</v>
      </c>
      <c r="L39" t="str">
        <f t="shared" ca="1" si="6"/>
        <v>=SUM(K27:K38)</v>
      </c>
    </row>
    <row r="40" spans="1:12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K41" si="10">G40*(1+H18)</f>
        <v>27998.16</v>
      </c>
      <c r="I40">
        <f t="shared" si="10"/>
        <v>27158.215199999999</v>
      </c>
      <c r="J40">
        <f t="shared" si="10"/>
        <v>29330.872416000002</v>
      </c>
      <c r="K40">
        <f t="shared" si="10"/>
        <v>31970.650933440003</v>
      </c>
      <c r="L40" t="str">
        <f t="shared" ca="1" si="6"/>
        <v>=J40*(1+K18)</v>
      </c>
    </row>
    <row r="41" spans="1:12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>
        <f t="shared" si="10"/>
        <v>481.03200000000004</v>
      </c>
      <c r="J41">
        <f t="shared" si="10"/>
        <v>481.03200000000004</v>
      </c>
      <c r="K41">
        <f t="shared" si="10"/>
        <v>481.03200000000004</v>
      </c>
      <c r="L41" t="str">
        <f t="shared" ca="1" si="6"/>
        <v>=J41*(1+K19)</v>
      </c>
    </row>
    <row r="42" spans="1:12" s="33" customFormat="1" x14ac:dyDescent="0.45">
      <c r="B42" t="s">
        <v>75</v>
      </c>
      <c r="C42">
        <f t="shared" ref="C42:K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>
        <f t="shared" si="11"/>
        <v>377021.41559499997</v>
      </c>
      <c r="J42">
        <f t="shared" si="11"/>
        <v>441277.1960531525</v>
      </c>
      <c r="K42">
        <f t="shared" si="11"/>
        <v>504326.96251933847</v>
      </c>
      <c r="L42" t="str">
        <f t="shared" ca="1" si="6"/>
        <v>=SUM(K39:K41)</v>
      </c>
    </row>
    <row r="43" spans="1:12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K44" si="12">G43*(1+H20)</f>
        <v>82062.5</v>
      </c>
      <c r="I43">
        <f t="shared" si="12"/>
        <v>94371.874999999985</v>
      </c>
      <c r="J43">
        <f t="shared" si="12"/>
        <v>98146.749999999985</v>
      </c>
      <c r="K43">
        <f t="shared" si="12"/>
        <v>101091.15249999998</v>
      </c>
      <c r="L43" t="str">
        <f t="shared" ca="1" si="6"/>
        <v>=J43*(1+K20)</v>
      </c>
    </row>
    <row r="44" spans="1:12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>
        <f t="shared" si="12"/>
        <v>0</v>
      </c>
      <c r="J44">
        <f t="shared" si="12"/>
        <v>0</v>
      </c>
      <c r="K44">
        <f t="shared" si="12"/>
        <v>0</v>
      </c>
      <c r="L44" t="str">
        <f t="shared" ca="1" si="6"/>
        <v>=J44*(1+K21)</v>
      </c>
    </row>
    <row r="45" spans="1:12" s="33" customFormat="1" x14ac:dyDescent="0.45">
      <c r="A45" t="s">
        <v>74</v>
      </c>
      <c r="B45"/>
      <c r="C45">
        <f t="shared" ref="C45:K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>
        <f t="shared" si="13"/>
        <v>471393.29059499997</v>
      </c>
      <c r="J45">
        <f t="shared" si="13"/>
        <v>539423.94605315244</v>
      </c>
      <c r="K45">
        <f t="shared" si="13"/>
        <v>605418.11501933844</v>
      </c>
      <c r="L45" t="str">
        <f t="shared" ca="1" si="6"/>
        <v>=SUM(K42:K44)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s="17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s="17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1FEFE-FD51-4B00-A297-F6EB872018F0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5F9178A-A4F3-4803-AAF1-23C222DEF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C07C1-E2EB-4541-8308-F2ED240FD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