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materials development/jan 26 glitches/healthcare model/15. Forecasting income statement R_D and SG_A expenses - Final/"/>
    </mc:Choice>
  </mc:AlternateContent>
  <xr:revisionPtr revIDLastSave="3" documentId="13_ncr:1_{B32D3110-A126-4E26-B495-B74B96BA7D5E}" xr6:coauthVersionLast="47" xr6:coauthVersionMax="47" xr10:uidLastSave="{D1D337A8-AB14-4638-B62C-876217F53C09}"/>
  <bookViews>
    <workbookView xWindow="-83" yWindow="0" windowWidth="25966" windowHeight="20963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2" l="1"/>
  <c r="E47" i="2"/>
  <c r="F47" i="2"/>
  <c r="G47" i="2"/>
  <c r="C47" i="2"/>
  <c r="H18" i="2"/>
  <c r="T18" i="4"/>
  <c r="I19" i="2"/>
  <c r="I43" i="1"/>
  <c r="I38" i="1"/>
  <c r="T105" i="4"/>
  <c r="I22" i="2"/>
  <c r="D23" i="4"/>
  <c r="T92" i="4"/>
  <c r="T38" i="4"/>
  <c r="T82" i="4"/>
  <c r="D61" i="4"/>
  <c r="T94" i="4"/>
  <c r="T54" i="4"/>
  <c r="T83" i="4"/>
  <c r="T79" i="4"/>
  <c r="I18" i="2"/>
  <c r="T75" i="4"/>
  <c r="T103" i="4"/>
  <c r="T50" i="4"/>
  <c r="T93" i="4"/>
  <c r="T80" i="4"/>
  <c r="I21" i="2"/>
  <c r="T104" i="4"/>
  <c r="T53" i="4"/>
  <c r="I28" i="1"/>
  <c r="T47" i="4"/>
  <c r="T102" i="4"/>
  <c r="I45" i="1"/>
  <c r="T78" i="4"/>
  <c r="T39" i="4"/>
  <c r="I35" i="1"/>
  <c r="T86" i="4"/>
  <c r="T88" i="4"/>
  <c r="I32" i="1"/>
  <c r="T89" i="4"/>
  <c r="T45" i="4"/>
  <c r="T96" i="4"/>
  <c r="T100" i="4"/>
  <c r="I30" i="1"/>
  <c r="T85" i="4"/>
  <c r="T74" i="4"/>
  <c r="T95" i="4"/>
  <c r="T43" i="4"/>
  <c r="I26" i="1"/>
  <c r="T40" i="4"/>
  <c r="I34" i="1"/>
  <c r="I25" i="1"/>
  <c r="T101" i="4"/>
  <c r="T73" i="4"/>
  <c r="I17" i="2"/>
  <c r="T51" i="4"/>
  <c r="I44" i="1"/>
  <c r="I29" i="1"/>
  <c r="I27" i="1"/>
  <c r="T48" i="4"/>
  <c r="I36" i="1"/>
  <c r="T37" i="4"/>
  <c r="I39" i="1"/>
  <c r="I37" i="1"/>
  <c r="I40" i="1"/>
  <c r="T97" i="4"/>
  <c r="I31" i="1"/>
  <c r="I42" i="1"/>
  <c r="T72" i="4"/>
  <c r="I33" i="1"/>
  <c r="T44" i="4"/>
  <c r="I41" i="1"/>
  <c r="D22" i="4"/>
  <c r="G44" i="2" l="1"/>
  <c r="F44" i="2"/>
  <c r="E44" i="2"/>
  <c r="D44" i="2"/>
  <c r="C44" i="2"/>
  <c r="H37" i="1"/>
  <c r="L85" i="4"/>
  <c r="M85" i="4"/>
  <c r="N85" i="4"/>
  <c r="O85" i="4"/>
  <c r="P85" i="4"/>
  <c r="Q85" i="4"/>
  <c r="R85" i="4"/>
  <c r="S85" i="4"/>
  <c r="K85" i="4"/>
  <c r="Q72" i="4"/>
  <c r="R72" i="4" s="1"/>
  <c r="S72" i="4" s="1"/>
  <c r="O72" i="4"/>
  <c r="N72" i="4" s="1"/>
  <c r="M72" i="4" s="1"/>
  <c r="L72" i="4" s="1"/>
  <c r="J50" i="4"/>
  <c r="P37" i="4"/>
  <c r="N37" i="4"/>
  <c r="D13" i="4"/>
  <c r="C13" i="4" s="1"/>
  <c r="H18" i="4" s="1"/>
  <c r="I18" i="4" s="1"/>
  <c r="J18" i="4" s="1"/>
  <c r="C12" i="4"/>
  <c r="H57" i="4" s="1"/>
  <c r="I57" i="4" s="1"/>
  <c r="J57" i="4" s="1"/>
  <c r="K57" i="4" s="1"/>
  <c r="D8" i="4"/>
  <c r="C8" i="4" s="1"/>
  <c r="C7" i="4"/>
  <c r="H44" i="1"/>
  <c r="H43" i="1"/>
  <c r="H41" i="1"/>
  <c r="H40" i="1"/>
  <c r="H38" i="1"/>
  <c r="H29" i="1"/>
  <c r="H31" i="1"/>
  <c r="H32" i="1"/>
  <c r="H33" i="1"/>
  <c r="H35" i="1"/>
  <c r="H36" i="1"/>
  <c r="H28" i="1"/>
  <c r="H26" i="1"/>
  <c r="H25" i="1"/>
  <c r="D27" i="1"/>
  <c r="E27" i="1"/>
  <c r="E39" i="1" s="1"/>
  <c r="E42" i="1" s="1"/>
  <c r="E45" i="1" s="1"/>
  <c r="E17" i="2" s="1"/>
  <c r="E19" i="2" s="1"/>
  <c r="E21" i="2" s="1"/>
  <c r="F27" i="1"/>
  <c r="F39" i="1" s="1"/>
  <c r="F42" i="1" s="1"/>
  <c r="F45" i="1" s="1"/>
  <c r="F17" i="2" s="1"/>
  <c r="F19" i="2" s="1"/>
  <c r="F21" i="2" s="1"/>
  <c r="G27" i="1"/>
  <c r="G39" i="1" s="1"/>
  <c r="G42" i="1" s="1"/>
  <c r="G45" i="1" s="1"/>
  <c r="G17" i="2" s="1"/>
  <c r="G19" i="2" s="1"/>
  <c r="G21" i="2" s="1"/>
  <c r="C27" i="1"/>
  <c r="C39" i="1" s="1"/>
  <c r="C42" i="1" s="1"/>
  <c r="C45" i="1" s="1"/>
  <c r="C17" i="2" s="1"/>
  <c r="C19" i="2" s="1"/>
  <c r="C21" i="2" s="1"/>
  <c r="C9" i="2"/>
  <c r="L57" i="4" l="1"/>
  <c r="K73" i="4"/>
  <c r="K18" i="4"/>
  <c r="L18" i="4" s="1"/>
  <c r="M18" i="4" s="1"/>
  <c r="N18" i="4" s="1"/>
  <c r="J38" i="4"/>
  <c r="J39" i="4" s="1"/>
  <c r="Q37" i="4"/>
  <c r="M37" i="4"/>
  <c r="H27" i="1"/>
  <c r="D52" i="2"/>
  <c r="E52" i="2"/>
  <c r="F52" i="2"/>
  <c r="G52" i="2"/>
  <c r="J40" i="4" l="1"/>
  <c r="J44" i="4" s="1"/>
  <c r="J43" i="4"/>
  <c r="N38" i="4"/>
  <c r="N39" i="4" s="1"/>
  <c r="R37" i="4"/>
  <c r="K74" i="4"/>
  <c r="K78" i="4" s="1"/>
  <c r="L37" i="4"/>
  <c r="M38" i="4"/>
  <c r="M57" i="4"/>
  <c r="L73" i="4"/>
  <c r="C26" i="4"/>
  <c r="Q2" i="4"/>
  <c r="R2" i="4" s="1"/>
  <c r="S2" i="4" s="1"/>
  <c r="K75" i="4" l="1"/>
  <c r="K79" i="4" s="1"/>
  <c r="N40" i="4"/>
  <c r="N44" i="4" s="1"/>
  <c r="N43" i="4"/>
  <c r="L74" i="4"/>
  <c r="L78" i="4" s="1"/>
  <c r="N57" i="4"/>
  <c r="M73" i="4"/>
  <c r="M39" i="4"/>
  <c r="M43" i="4" s="1"/>
  <c r="S37" i="4"/>
  <c r="K37" i="4"/>
  <c r="L38" i="4"/>
  <c r="K82" i="4"/>
  <c r="K80" i="4"/>
  <c r="K86" i="4"/>
  <c r="J45" i="4"/>
  <c r="J92" i="4" s="1"/>
  <c r="J100" i="4" s="1"/>
  <c r="J51" i="4"/>
  <c r="J95" i="4" s="1"/>
  <c r="J103" i="4" s="1"/>
  <c r="A1" i="4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7" i="4"/>
  <c r="G13" i="4"/>
  <c r="G8" i="4"/>
  <c r="G12" i="4"/>
  <c r="M51" i="4" l="1"/>
  <c r="K83" i="4"/>
  <c r="K88" i="4"/>
  <c r="K89" i="4" s="1"/>
  <c r="N73" i="4"/>
  <c r="M40" i="4"/>
  <c r="M44" i="4" s="1"/>
  <c r="M74" i="4"/>
  <c r="M78" i="4" s="1"/>
  <c r="M75" i="4"/>
  <c r="M79" i="4" s="1"/>
  <c r="M80" i="4" s="1"/>
  <c r="L39" i="4"/>
  <c r="L43" i="4" s="1"/>
  <c r="L75" i="4"/>
  <c r="L79" i="4" s="1"/>
  <c r="L80" i="4" s="1"/>
  <c r="C23" i="4"/>
  <c r="K38" i="4"/>
  <c r="L86" i="4"/>
  <c r="N45" i="4"/>
  <c r="N51" i="4"/>
  <c r="C2" i="6"/>
  <c r="C2" i="7"/>
  <c r="L40" i="4" l="1"/>
  <c r="L44" i="4" s="1"/>
  <c r="K39" i="4"/>
  <c r="K43" i="4" s="1"/>
  <c r="K40" i="4"/>
  <c r="K44" i="4" s="1"/>
  <c r="L51" i="4"/>
  <c r="L45" i="4"/>
  <c r="L92" i="4" s="1"/>
  <c r="L100" i="4" s="1"/>
  <c r="N74" i="4"/>
  <c r="N78" i="4" s="1"/>
  <c r="M45" i="4"/>
  <c r="M92" i="4" s="1"/>
  <c r="M100" i="4" s="1"/>
  <c r="L82" i="4"/>
  <c r="M86" i="4"/>
  <c r="M82" i="4"/>
  <c r="M83" i="4" s="1"/>
  <c r="D8" i="7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34" i="1" s="1"/>
  <c r="H10" i="1"/>
  <c r="N86" i="4" l="1"/>
  <c r="M88" i="4"/>
  <c r="M89" i="4" s="1"/>
  <c r="L88" i="4"/>
  <c r="L89" i="4" s="1"/>
  <c r="L83" i="4"/>
  <c r="I10" i="1"/>
  <c r="J10" i="1" s="1"/>
  <c r="K10" i="1" s="1"/>
  <c r="H30" i="1"/>
  <c r="K51" i="4"/>
  <c r="K45" i="4"/>
  <c r="K92" i="4" s="1"/>
  <c r="K100" i="4" s="1"/>
  <c r="N75" i="4"/>
  <c r="N79" i="4" s="1"/>
  <c r="N80" i="4" s="1"/>
  <c r="N92" i="4" s="1"/>
  <c r="N100" i="4" s="1"/>
  <c r="D9" i="7"/>
  <c r="G9" i="7"/>
  <c r="F9" i="7"/>
  <c r="E9" i="7"/>
  <c r="H9" i="6"/>
  <c r="J8" i="6"/>
  <c r="F3" i="6"/>
  <c r="I14" i="1"/>
  <c r="J14" i="1" s="1"/>
  <c r="K14" i="1" s="1"/>
  <c r="N82" i="4" l="1"/>
  <c r="H39" i="1"/>
  <c r="H42" i="1" s="1"/>
  <c r="H45" i="1" s="1"/>
  <c r="H17" i="2" s="1"/>
  <c r="H19" i="2" s="1"/>
  <c r="I9" i="6"/>
  <c r="J9" i="6" s="1"/>
  <c r="K8" i="6"/>
  <c r="G3" i="6"/>
  <c r="H22" i="2" l="1"/>
  <c r="N88" i="4"/>
  <c r="N89" i="4" s="1"/>
  <c r="N83" i="4"/>
  <c r="K9" i="6"/>
  <c r="H3" i="6"/>
  <c r="H21" i="2" l="1"/>
  <c r="I3" i="6"/>
  <c r="J3" i="6" l="1"/>
  <c r="K3" i="6" l="1"/>
  <c r="A1" i="7" l="1"/>
  <c r="A1" i="1" l="1"/>
  <c r="A1" i="6"/>
  <c r="D54" i="2" l="1"/>
  <c r="E54" i="2"/>
  <c r="F54" i="2"/>
  <c r="G54" i="2"/>
  <c r="O19" i="4"/>
  <c r="O58" i="4"/>
  <c r="O57" i="4" s="1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D39" i="1" s="1"/>
  <c r="D42" i="1" s="1"/>
  <c r="D45" i="1" s="1"/>
  <c r="D17" i="2" s="1"/>
  <c r="D19" i="2" s="1"/>
  <c r="D21" i="2" s="1"/>
  <c r="O73" i="4" l="1"/>
  <c r="P19" i="4"/>
  <c r="Q19" i="4" s="1"/>
  <c r="R19" i="4" s="1"/>
  <c r="S19" i="4" s="1"/>
  <c r="O18" i="4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P18" i="4" l="1"/>
  <c r="O38" i="4"/>
  <c r="O39" i="4" s="1"/>
  <c r="O74" i="4"/>
  <c r="O78" i="4" s="1"/>
  <c r="P57" i="4"/>
  <c r="D2" i="1"/>
  <c r="D2" i="7"/>
  <c r="D2" i="6"/>
  <c r="E3" i="1"/>
  <c r="E3" i="7"/>
  <c r="E2" i="2"/>
  <c r="F3" i="2"/>
  <c r="C13" i="2"/>
  <c r="C12" i="2"/>
  <c r="D12" i="2"/>
  <c r="E12" i="2"/>
  <c r="F12" i="2"/>
  <c r="G12" i="2"/>
  <c r="O75" i="4" l="1"/>
  <c r="O79" i="4" s="1"/>
  <c r="O40" i="4"/>
  <c r="O44" i="4" s="1"/>
  <c r="O43" i="4"/>
  <c r="Q57" i="4"/>
  <c r="P73" i="4"/>
  <c r="O80" i="4"/>
  <c r="O82" i="4"/>
  <c r="O86" i="4"/>
  <c r="Q18" i="4"/>
  <c r="P38" i="4"/>
  <c r="P39" i="4" s="1"/>
  <c r="E2" i="6"/>
  <c r="E2" i="7"/>
  <c r="E2" i="1"/>
  <c r="F2" i="2"/>
  <c r="F3" i="1"/>
  <c r="F3" i="7"/>
  <c r="F13" i="2"/>
  <c r="E13" i="2"/>
  <c r="G13" i="2"/>
  <c r="D13" i="2"/>
  <c r="G3" i="2"/>
  <c r="H3" i="4" s="1"/>
  <c r="R57" i="4" l="1"/>
  <c r="Q73" i="4"/>
  <c r="O83" i="4"/>
  <c r="O88" i="4"/>
  <c r="O89" i="4" s="1"/>
  <c r="P40" i="4"/>
  <c r="P44" i="4" s="1"/>
  <c r="P43" i="4"/>
  <c r="P74" i="4"/>
  <c r="P78" i="4" s="1"/>
  <c r="O51" i="4"/>
  <c r="O45" i="4"/>
  <c r="O92" i="4" s="1"/>
  <c r="O100" i="4" s="1"/>
  <c r="R18" i="4"/>
  <c r="Q38" i="4"/>
  <c r="Q39" i="4" s="1"/>
  <c r="D51" i="2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P86" i="4" l="1"/>
  <c r="P51" i="4"/>
  <c r="P45" i="4"/>
  <c r="Q40" i="4"/>
  <c r="Q44" i="4" s="1"/>
  <c r="Q43" i="4"/>
  <c r="S18" i="4"/>
  <c r="S38" i="4" s="1"/>
  <c r="R38" i="4"/>
  <c r="Q74" i="4"/>
  <c r="Q78" i="4" s="1"/>
  <c r="P75" i="4"/>
  <c r="P79" i="4" s="1"/>
  <c r="P82" i="4" s="1"/>
  <c r="S57" i="4"/>
  <c r="S73" i="4" s="1"/>
  <c r="R73" i="4"/>
  <c r="G2" i="6"/>
  <c r="G2" i="1"/>
  <c r="G2" i="7"/>
  <c r="I3" i="4"/>
  <c r="J3" i="4" s="1"/>
  <c r="H2" i="2"/>
  <c r="H3" i="1"/>
  <c r="H3" i="7"/>
  <c r="I3" i="2"/>
  <c r="P88" i="4" l="1"/>
  <c r="R74" i="4"/>
  <c r="R78" i="4" s="1"/>
  <c r="R75" i="4"/>
  <c r="R79" i="4" s="1"/>
  <c r="S74" i="4"/>
  <c r="S78" i="4" s="1"/>
  <c r="Q86" i="4"/>
  <c r="Q75" i="4"/>
  <c r="Q79" i="4" s="1"/>
  <c r="Q80" i="4" s="1"/>
  <c r="R39" i="4"/>
  <c r="R43" i="4" s="1"/>
  <c r="P80" i="4"/>
  <c r="P83" i="4" s="1"/>
  <c r="Q51" i="4"/>
  <c r="Q45" i="4"/>
  <c r="S39" i="4"/>
  <c r="S43" i="4" s="1"/>
  <c r="K3" i="4"/>
  <c r="H2" i="7"/>
  <c r="H2" i="6"/>
  <c r="H2" i="1"/>
  <c r="I3" i="7"/>
  <c r="I2" i="2"/>
  <c r="I3" i="1"/>
  <c r="J3" i="2"/>
  <c r="Q82" i="4" l="1"/>
  <c r="R40" i="4"/>
  <c r="R44" i="4" s="1"/>
  <c r="S75" i="4"/>
  <c r="S79" i="4" s="1"/>
  <c r="S86" i="4"/>
  <c r="S80" i="4"/>
  <c r="S82" i="4"/>
  <c r="P92" i="4"/>
  <c r="P100" i="4" s="1"/>
  <c r="S40" i="4"/>
  <c r="S44" i="4" s="1"/>
  <c r="R82" i="4"/>
  <c r="R86" i="4"/>
  <c r="R80" i="4"/>
  <c r="Q88" i="4"/>
  <c r="Q89" i="4" s="1"/>
  <c r="Q83" i="4"/>
  <c r="R45" i="4"/>
  <c r="R92" i="4" s="1"/>
  <c r="R51" i="4"/>
  <c r="Q92" i="4"/>
  <c r="L3" i="4"/>
  <c r="S51" i="4"/>
  <c r="P89" i="4"/>
  <c r="J3" i="7"/>
  <c r="J2" i="2"/>
  <c r="J3" i="1"/>
  <c r="I2" i="7"/>
  <c r="I2" i="6"/>
  <c r="I2" i="1"/>
  <c r="K3" i="2"/>
  <c r="Q100" i="4" l="1"/>
  <c r="S45" i="4"/>
  <c r="S92" i="4" s="1"/>
  <c r="S100" i="4" s="1"/>
  <c r="R100" i="4"/>
  <c r="S83" i="4"/>
  <c r="S88" i="4"/>
  <c r="S89" i="4" s="1"/>
  <c r="M3" i="4"/>
  <c r="R83" i="4"/>
  <c r="R88" i="4"/>
  <c r="R89" i="4" s="1"/>
  <c r="K3" i="1"/>
  <c r="K3" i="7"/>
  <c r="K2" i="2"/>
  <c r="J2" i="7"/>
  <c r="J2" i="1"/>
  <c r="J2" i="6"/>
  <c r="N3" i="4" l="1"/>
  <c r="K2" i="1"/>
  <c r="K2" i="7"/>
  <c r="K2" i="6"/>
  <c r="O3" i="4" l="1"/>
  <c r="C22" i="4" l="1"/>
  <c r="O47" i="4" s="1"/>
  <c r="P3" i="4"/>
  <c r="O48" i="4" l="1"/>
  <c r="O93" i="4"/>
  <c r="C61" i="4"/>
  <c r="P47" i="4"/>
  <c r="Q3" i="4"/>
  <c r="B61" i="4"/>
  <c r="J47" i="4"/>
  <c r="K50" i="4"/>
  <c r="K47" i="4"/>
  <c r="L47" i="4"/>
  <c r="M47" i="4"/>
  <c r="N47" i="4"/>
  <c r="N48" i="4" l="1"/>
  <c r="N93" i="4"/>
  <c r="J93" i="4"/>
  <c r="J53" i="4"/>
  <c r="J48" i="4"/>
  <c r="P48" i="4"/>
  <c r="P93" i="4"/>
  <c r="L93" i="4"/>
  <c r="L48" i="4"/>
  <c r="K93" i="4"/>
  <c r="K48" i="4"/>
  <c r="K53" i="4"/>
  <c r="R3" i="4"/>
  <c r="Q47" i="4"/>
  <c r="M93" i="4"/>
  <c r="M48" i="4"/>
  <c r="O101" i="4"/>
  <c r="O102" i="4" s="1"/>
  <c r="O94" i="4"/>
  <c r="L50" i="4"/>
  <c r="K95" i="4"/>
  <c r="K103" i="4" s="1"/>
  <c r="S3" i="4" l="1"/>
  <c r="S47" i="4" s="1"/>
  <c r="R47" i="4"/>
  <c r="J54" i="4"/>
  <c r="J96" i="4"/>
  <c r="J94" i="4"/>
  <c r="J101" i="4"/>
  <c r="J102" i="4" s="1"/>
  <c r="M50" i="4"/>
  <c r="L95" i="4"/>
  <c r="L103" i="4" s="1"/>
  <c r="P94" i="4"/>
  <c r="P101" i="4"/>
  <c r="P102" i="4" s="1"/>
  <c r="K54" i="4"/>
  <c r="K96" i="4"/>
  <c r="K94" i="4"/>
  <c r="K101" i="4"/>
  <c r="K102" i="4" s="1"/>
  <c r="M101" i="4"/>
  <c r="M102" i="4" s="1"/>
  <c r="M94" i="4"/>
  <c r="L94" i="4"/>
  <c r="L101" i="4"/>
  <c r="L102" i="4" s="1"/>
  <c r="N94" i="4"/>
  <c r="N101" i="4"/>
  <c r="N102" i="4" s="1"/>
  <c r="L53" i="4"/>
  <c r="Q93" i="4"/>
  <c r="Q48" i="4"/>
  <c r="Q94" i="4" l="1"/>
  <c r="Q101" i="4"/>
  <c r="Q102" i="4" s="1"/>
  <c r="K97" i="4"/>
  <c r="K104" i="4"/>
  <c r="K105" i="4" s="1"/>
  <c r="J104" i="4"/>
  <c r="J105" i="4" s="1"/>
  <c r="J97" i="4"/>
  <c r="N50" i="4"/>
  <c r="M95" i="4"/>
  <c r="M103" i="4" s="1"/>
  <c r="M53" i="4"/>
  <c r="L54" i="4"/>
  <c r="L96" i="4"/>
  <c r="R93" i="4"/>
  <c r="R48" i="4"/>
  <c r="S93" i="4"/>
  <c r="S48" i="4"/>
  <c r="O50" i="4" l="1"/>
  <c r="N95" i="4"/>
  <c r="N103" i="4" s="1"/>
  <c r="N53" i="4"/>
  <c r="L97" i="4"/>
  <c r="L104" i="4"/>
  <c r="L105" i="4" s="1"/>
  <c r="S101" i="4"/>
  <c r="S102" i="4" s="1"/>
  <c r="S94" i="4"/>
  <c r="R101" i="4"/>
  <c r="R102" i="4" s="1"/>
  <c r="R94" i="4"/>
  <c r="M96" i="4"/>
  <c r="M54" i="4"/>
  <c r="N54" i="4" l="1"/>
  <c r="N96" i="4"/>
  <c r="M97" i="4"/>
  <c r="M104" i="4"/>
  <c r="M105" i="4" s="1"/>
  <c r="P50" i="4"/>
  <c r="O95" i="4"/>
  <c r="O103" i="4" s="1"/>
  <c r="O53" i="4"/>
  <c r="O54" i="4" l="1"/>
  <c r="O96" i="4"/>
  <c r="Q50" i="4"/>
  <c r="P95" i="4"/>
  <c r="P103" i="4" s="1"/>
  <c r="P53" i="4"/>
  <c r="N97" i="4"/>
  <c r="N104" i="4"/>
  <c r="N105" i="4" s="1"/>
  <c r="R50" i="4" l="1"/>
  <c r="Q95" i="4"/>
  <c r="Q103" i="4" s="1"/>
  <c r="Q53" i="4"/>
  <c r="O97" i="4"/>
  <c r="O104" i="4"/>
  <c r="O105" i="4" s="1"/>
  <c r="P54" i="4"/>
  <c r="P96" i="4"/>
  <c r="S50" i="4" l="1"/>
  <c r="R95" i="4"/>
  <c r="R103" i="4" s="1"/>
  <c r="R53" i="4"/>
  <c r="P97" i="4"/>
  <c r="P104" i="4"/>
  <c r="P105" i="4" s="1"/>
  <c r="Q54" i="4"/>
  <c r="Q96" i="4"/>
  <c r="Q104" i="4" l="1"/>
  <c r="Q105" i="4" s="1"/>
  <c r="Q97" i="4"/>
  <c r="R54" i="4"/>
  <c r="R96" i="4"/>
  <c r="S95" i="4"/>
  <c r="S103" i="4" s="1"/>
  <c r="S53" i="4"/>
  <c r="R97" i="4" l="1"/>
  <c r="R104" i="4"/>
  <c r="R105" i="4" s="1"/>
  <c r="S96" i="4"/>
  <c r="S54" i="4"/>
  <c r="S97" i="4" l="1"/>
  <c r="S104" i="4"/>
  <c r="S10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sharedStrings.xml><?xml version="1.0" encoding="utf-8"?>
<sst xmlns="http://schemas.openxmlformats.org/spreadsheetml/2006/main" count="313" uniqueCount="225">
  <si>
    <t>Currency</t>
  </si>
  <si>
    <t>Units</t>
  </si>
  <si>
    <t>Income Statement</t>
  </si>
  <si>
    <t>Revenue</t>
  </si>
  <si>
    <t>Recognition of government grants and other</t>
  </si>
  <si>
    <t>Total revenue</t>
  </si>
  <si>
    <t>Cost of sales</t>
  </si>
  <si>
    <t>Gross profit</t>
  </si>
  <si>
    <t>Gross margin</t>
  </si>
  <si>
    <t>Gross margin ex pipeline</t>
  </si>
  <si>
    <t>R&amp;D expenses</t>
  </si>
  <si>
    <t>R&amp;D % of sales</t>
  </si>
  <si>
    <t>SG&amp;A % of sales ex pipeline</t>
  </si>
  <si>
    <t>Other expenses</t>
  </si>
  <si>
    <t>Share of profit of a joint venture</t>
  </si>
  <si>
    <t>EBITDA</t>
  </si>
  <si>
    <t>EBITDA margin</t>
  </si>
  <si>
    <t>Depreciation and amortisation</t>
  </si>
  <si>
    <t>D&amp;A % of sales</t>
  </si>
  <si>
    <t>EBIT</t>
  </si>
  <si>
    <t>EBIT margin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</si>
  <si>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</si>
  <si>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</si>
  <si>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</si>
  <si>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</si>
  <si>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</si>
  <si>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</si>
  <si>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</si>
  <si>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</si>
  <si>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</si>
  <si>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</si>
  <si>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</si>
  <si>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Dividend payout ratio</t>
  </si>
  <si>
    <t>Balance Sheet</t>
  </si>
  <si>
    <t>Property, Plant and Equipment</t>
  </si>
  <si>
    <t>Intangible assets</t>
  </si>
  <si>
    <t>Deferred tax assets</t>
  </si>
  <si>
    <t>Other non-current assets</t>
  </si>
  <si>
    <t>Inventories</t>
  </si>
  <si>
    <t>Trade and other receivables</t>
  </si>
  <si>
    <t>Other current assets</t>
  </si>
  <si>
    <t>Cash and cash equivalents</t>
  </si>
  <si>
    <t>Total assets</t>
  </si>
  <si>
    <t>Financial debt</t>
  </si>
  <si>
    <t>Deferred income tax liabilities</t>
  </si>
  <si>
    <t>Current liabilities</t>
  </si>
  <si>
    <t>Trade and other payables</t>
  </si>
  <si>
    <t>Total liabilities</t>
  </si>
  <si>
    <t>Balance sheet assumptions</t>
  </si>
  <si>
    <t>Opening balance</t>
  </si>
  <si>
    <t>Other</t>
  </si>
  <si>
    <t>Closing balance</t>
  </si>
  <si>
    <t>Depreciation % of prior year balance</t>
  </si>
  <si>
    <t>Amortisation % of prior year balance</t>
  </si>
  <si>
    <t>Financial expense</t>
  </si>
  <si>
    <t>Cash and equivalents</t>
  </si>
  <si>
    <t>Interest income</t>
  </si>
  <si>
    <t>Net debt</t>
  </si>
  <si>
    <t>Equity</t>
  </si>
  <si>
    <t>Dividends</t>
  </si>
  <si>
    <t>Cash flow statement</t>
  </si>
  <si>
    <t>Cash flows from operating activities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</si>
  <si>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</si>
  <si>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</si>
  <si>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</si>
  <si>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</si>
  <si>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Interest received</t>
  </si>
  <si>
    <t xml:space="preserve">Net cash generated from (used in) investing activities </t>
  </si>
  <si>
    <t>Cash flows from financing activities</t>
  </si>
  <si>
    <t>Interest paid</t>
  </si>
  <si>
    <t>Dividends paid</t>
  </si>
  <si>
    <t xml:space="preserve">Net cash generated from (used in) financing activities </t>
  </si>
  <si>
    <t>Intangible capex/sales</t>
  </si>
  <si>
    <t>Tangible capex/sales</t>
  </si>
  <si>
    <t>Total Revenues</t>
  </si>
  <si>
    <t>Sale of goods</t>
  </si>
  <si>
    <t>Hibor</t>
  </si>
  <si>
    <t>Sales in Spain</t>
  </si>
  <si>
    <t>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</si>
  <si>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</si>
  <si>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</si>
  <si>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</si>
  <si>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</si>
  <si>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</si>
  <si>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</si>
  <si>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</si>
  <si>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</si>
  <si>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</si>
  <si>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DORIA (risk-adjusted)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</si>
  <si>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</si>
  <si>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</si>
  <si>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</si>
  <si>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</si>
  <si>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LAI/market</t>
  </si>
  <si>
    <t>US</t>
  </si>
  <si>
    <t>EU</t>
  </si>
  <si>
    <t>Total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</si>
  <si>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</si>
  <si>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</si>
  <si>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</si>
  <si>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</si>
  <si>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</si>
  <si>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</si>
  <si>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</si>
  <si>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</si>
  <si>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</si>
  <si>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</si>
  <si>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</si>
  <si>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</si>
  <si>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</si>
  <si>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Manufacturing and logistics costs (% of revenue)</t>
  </si>
  <si>
    <t>DORIA market share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</si>
  <si>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</si>
  <si>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</si>
  <si>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</si>
  <si>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</si>
  <si>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</si>
  <si>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Commercial costs</t>
  </si>
  <si>
    <t>Manufacturing and logistics costs</t>
  </si>
  <si>
    <t>SG&amp;A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</si>
  <si>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</si>
  <si>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</si>
  <si>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</si>
  <si>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</si>
  <si>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</si>
  <si>
    <t>EUR:USD FX Rate</t>
  </si>
  <si>
    <t>$bn</t>
  </si>
  <si>
    <t>%</t>
  </si>
  <si>
    <t xml:space="preserve">Total schizophrenia market size </t>
  </si>
  <si>
    <t>DORIA Market Analysis</t>
  </si>
  <si>
    <t xml:space="preserve">US </t>
  </si>
  <si>
    <t xml:space="preserve">EU </t>
  </si>
  <si>
    <t>Long Acting Injectibles (LAI) market size</t>
  </si>
  <si>
    <t>US &amp; Europe Combined</t>
  </si>
  <si>
    <t>US &amp; Europe Combined - Risk Adjusted</t>
  </si>
  <si>
    <t>Revenue growth assumptions</t>
  </si>
  <si>
    <t>Revenue build up</t>
  </si>
  <si>
    <t>Total prescription-based pharmaceutical products</t>
  </si>
  <si>
    <t>Revenue build up - by product and product line</t>
  </si>
  <si>
    <t>Selling, general and admin expenses</t>
  </si>
  <si>
    <t>Income Statement Assumptions</t>
  </si>
  <si>
    <t>Share of profit of JV</t>
  </si>
  <si>
    <t>Non-recurring expenses</t>
  </si>
  <si>
    <t>Effective tax rate</t>
  </si>
  <si>
    <t>Total liabilities and equity</t>
  </si>
  <si>
    <t>Balancing sheet check</t>
  </si>
  <si>
    <t>Calculations</t>
  </si>
  <si>
    <t>Beginning balance</t>
  </si>
  <si>
    <t>Capex</t>
  </si>
  <si>
    <t>Depreciation</t>
  </si>
  <si>
    <t>Amortization</t>
  </si>
  <si>
    <t>Days inventory outstanding</t>
  </si>
  <si>
    <t>Days sales outstanding</t>
  </si>
  <si>
    <t>Days payable outstanding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</si>
  <si>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</si>
  <si>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</si>
  <si>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</si>
  <si>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</si>
  <si>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Other non-current liabilities</t>
  </si>
  <si>
    <t>Other current liabilities</t>
  </si>
  <si>
    <t>Depreciation and amortization</t>
  </si>
  <si>
    <t>Beginning cash and cash equivalents</t>
  </si>
  <si>
    <t>Ending cash and cash equivalents</t>
  </si>
  <si>
    <t>Net cash flow</t>
  </si>
  <si>
    <t>Operating working capital</t>
  </si>
  <si>
    <t>Net operating working capital</t>
  </si>
  <si>
    <t>Change in operating working capital</t>
  </si>
  <si>
    <t>Change in other non-current assets</t>
  </si>
  <si>
    <t>Change in other non-current liabilities</t>
  </si>
  <si>
    <t>Net finance costs</t>
  </si>
  <si>
    <t>Investment in joint venture</t>
  </si>
  <si>
    <t>Dividends received from JV</t>
  </si>
  <si>
    <t>JV dividend payout ratio</t>
  </si>
  <si>
    <t>Share of JV profits</t>
  </si>
  <si>
    <t>Dividends from JV</t>
  </si>
  <si>
    <t>Joint venture investments</t>
  </si>
  <si>
    <t>Cash/Debt Assumptions</t>
  </si>
  <si>
    <t>Cash/ Debt and Interest Calculations</t>
  </si>
  <si>
    <t>Ending current financial debt</t>
  </si>
  <si>
    <t>Ending non-current financial debt</t>
  </si>
  <si>
    <t>Issuance/(repayment) of non-current debt</t>
  </si>
  <si>
    <t>Issuance/(repayment) of current debt</t>
  </si>
  <si>
    <t>Features</t>
  </si>
  <si>
    <t>Model Details</t>
  </si>
  <si>
    <t>◦</t>
  </si>
  <si>
    <t>Company name</t>
  </si>
  <si>
    <t>Date</t>
  </si>
  <si>
    <t>Analyst Name</t>
  </si>
  <si>
    <t>Firstname Lastname</t>
  </si>
  <si>
    <t>Circular Switch</t>
  </si>
  <si>
    <t>Tab Structure</t>
  </si>
  <si>
    <t>Formatting</t>
  </si>
  <si>
    <t>IS</t>
  </si>
  <si>
    <t>BS</t>
  </si>
  <si>
    <t>Input</t>
  </si>
  <si>
    <t>CFS and Debt</t>
  </si>
  <si>
    <t>Cash Flow Statement and Debt Schedule</t>
  </si>
  <si>
    <t>Hard coded</t>
  </si>
  <si>
    <t>Formulas</t>
  </si>
  <si>
    <t>Glossary of sector terminology</t>
  </si>
  <si>
    <t>Model for pharmaceuticals company</t>
  </si>
  <si>
    <t>Revenues</t>
  </si>
  <si>
    <t>Pipeline drugs</t>
  </si>
  <si>
    <t>Drugs glossary</t>
  </si>
  <si>
    <t>Revenue forecasts</t>
  </si>
  <si>
    <t>Pipeline Switch</t>
  </si>
  <si>
    <t>LABORATORIOS FARMACÉUTICOS ROVI</t>
  </si>
  <si>
    <t>EUR</t>
  </si>
  <si>
    <t>Thousands</t>
  </si>
  <si>
    <t>This document is for training purposes only. Financial Edge accepts no responsibility or liability for any other purpose or usage.</t>
  </si>
  <si>
    <t>www.fe.training</t>
  </si>
  <si>
    <t>Pipeline Drug</t>
  </si>
  <si>
    <t>Example pipeline drug model</t>
  </si>
  <si>
    <t>Proj.</t>
  </si>
  <si>
    <t>Annual commercial cost inflation before peak</t>
  </si>
  <si>
    <t>Annual decline in commercial costs after peak</t>
  </si>
  <si>
    <t>Hist.</t>
  </si>
  <si>
    <t>DORIA sales (€ thousands)</t>
  </si>
  <si>
    <t>R&amp;D YOY % change</t>
  </si>
  <si>
    <t>Gross profit margin</t>
  </si>
  <si>
    <t>EBITDA profit margin</t>
  </si>
  <si>
    <t>D&amp;A YOY % change</t>
  </si>
  <si>
    <t>Pharmaceuticals Sector Model - Rovi</t>
  </si>
  <si>
    <t>Hibor  - Sales in Spain</t>
  </si>
  <si>
    <t>Hibor - International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</si>
</sst>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89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  <xf numFmtId="175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21" s="67" customFormat="1" ht="189.75" customHeight="1" x14ac:dyDescent="0.8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/>
      <c r="P1"/>
      <c r="Q1"/>
      <c r="R1"/>
      <c r="S1"/>
      <c r="T1"/>
      <c r="U1"/>
    </row>
    <row r="2" spans="1:21" s="60" customFormat="1" ht="75" customHeight="1" x14ac:dyDescent="0.4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/>
      <c r="P2"/>
      <c r="Q2"/>
      <c r="R2"/>
      <c r="S2"/>
      <c r="T2"/>
      <c r="U2"/>
    </row>
    <row r="3" spans="1:21" s="65" customFormat="1" ht="7.5" customHeight="1" x14ac:dyDescent="0.45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45">
      <c r="A4" s="69"/>
      <c r="B4" s="53"/>
      <c r="C4" s="82"/>
      <c r="D4" s="82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45">
      <c r="A5" s="83" t="s">
        <v>209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/>
      <c r="P5"/>
      <c r="Q5"/>
      <c r="R5"/>
      <c r="S5"/>
      <c r="T5"/>
      <c r="U5"/>
    </row>
    <row r="6" spans="1:21" s="65" customFormat="1" ht="15" customHeight="1" x14ac:dyDescent="0.4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/>
      <c r="P6"/>
      <c r="Q6"/>
      <c r="R6"/>
      <c r="S6"/>
      <c r="T6"/>
      <c r="U6"/>
    </row>
    <row r="7" spans="1:21" s="65" customFormat="1" ht="15" customHeight="1" x14ac:dyDescent="0.45">
      <c r="A7" s="83" t="str">
        <f ca="1">"© "&amp;YEAR(TODAY())&amp;" Financial Edge Training"</f>
        <v>© 2026 Financial Edge Training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/>
      <c r="P7"/>
      <c r="Q7"/>
      <c r="R7"/>
      <c r="S7"/>
      <c r="T7"/>
      <c r="U7"/>
    </row>
    <row r="8" spans="1:21" s="65" customFormat="1" ht="15" customHeight="1" x14ac:dyDescent="0.45">
      <c r="A8" s="84" t="s">
        <v>210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/>
      <c r="P8"/>
      <c r="Q8"/>
      <c r="R8"/>
      <c r="S8"/>
      <c r="T8"/>
      <c r="U8"/>
    </row>
    <row r="9" spans="1:21" s="65" customFormat="1" ht="15" customHeight="1" thickBot="1" x14ac:dyDescent="0.5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45">
      <c r="A10"/>
      <c r="B10"/>
      <c r="C10"/>
      <c r="D10"/>
      <c r="E10"/>
      <c r="F10"/>
      <c r="G10" s="79"/>
      <c r="H10" s="79"/>
      <c r="I10" s="79"/>
      <c r="J10" s="79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45">
      <c r="A11"/>
      <c r="B11"/>
      <c r="C11"/>
      <c r="D11"/>
      <c r="E11"/>
      <c r="F11"/>
      <c r="G11" s="79"/>
      <c r="H11" s="79"/>
      <c r="I11" s="79"/>
      <c r="J11" s="79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45">
      <c r="A13"/>
      <c r="B13"/>
      <c r="C13"/>
      <c r="D13"/>
      <c r="E13"/>
      <c r="F13"/>
      <c r="G13" s="79"/>
      <c r="H13" s="79"/>
      <c r="I13" s="79"/>
      <c r="J13" s="79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45">
      <c r="A14"/>
      <c r="B14"/>
      <c r="C14"/>
      <c r="D14"/>
      <c r="E14"/>
      <c r="F14"/>
      <c r="G14" s="79"/>
      <c r="H14" s="79"/>
      <c r="I14" s="79"/>
      <c r="J14" s="79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45">
      <c r="A15"/>
      <c r="B15"/>
      <c r="C15"/>
      <c r="D15"/>
      <c r="E15"/>
      <c r="F15"/>
      <c r="G15" s="79"/>
      <c r="H15" s="79"/>
      <c r="I15" s="79"/>
      <c r="J15" s="79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45">
      <c r="A17"/>
      <c r="B17"/>
      <c r="C17"/>
      <c r="D17"/>
      <c r="E17"/>
      <c r="F17"/>
      <c r="G17" s="79"/>
      <c r="H17" s="79"/>
      <c r="I17" s="79"/>
      <c r="J17" s="79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39" t="s">
        <v>222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6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45">
      <c r="S3"/>
      <c r="T3"/>
      <c r="U3"/>
      <c r="V3"/>
      <c r="W3"/>
      <c r="X3"/>
    </row>
    <row r="4" spans="1:24" s="43" customFormat="1" ht="22.5" customHeight="1" x14ac:dyDescent="0.45">
      <c r="A4" s="44"/>
      <c r="B4" s="86" t="s">
        <v>182</v>
      </c>
      <c r="C4" s="86"/>
      <c r="D4" s="86"/>
      <c r="E4" s="86"/>
      <c r="F4" s="86"/>
      <c r="G4" s="86"/>
      <c r="H4" s="86"/>
      <c r="I4" s="86"/>
      <c r="K4" s="44"/>
      <c r="L4" s="86" t="s">
        <v>183</v>
      </c>
      <c r="M4" s="86"/>
      <c r="N4" s="86"/>
      <c r="O4" s="86"/>
      <c r="P4" s="86"/>
      <c r="Q4" s="45"/>
      <c r="R4" s="45"/>
      <c r="S4"/>
      <c r="T4"/>
      <c r="U4"/>
      <c r="V4"/>
      <c r="W4"/>
      <c r="X4"/>
    </row>
    <row r="5" spans="1:24" s="43" customFormat="1" ht="15" customHeight="1" x14ac:dyDescent="0.45">
      <c r="A5" s="46"/>
      <c r="B5" s="47" t="s">
        <v>184</v>
      </c>
      <c r="C5" s="48" t="s">
        <v>200</v>
      </c>
      <c r="D5" s="49"/>
      <c r="E5" s="49"/>
      <c r="F5" s="49"/>
      <c r="G5" s="49"/>
      <c r="H5" s="49"/>
      <c r="I5" s="49"/>
      <c r="K5" s="44"/>
      <c r="L5" s="50" t="s">
        <v>185</v>
      </c>
      <c r="M5" s="50"/>
      <c r="N5" s="85" t="s">
        <v>206</v>
      </c>
      <c r="O5" s="85"/>
      <c r="P5" s="85"/>
      <c r="Q5" s="85"/>
      <c r="R5" s="45"/>
      <c r="S5"/>
      <c r="T5"/>
      <c r="U5"/>
      <c r="V5"/>
      <c r="W5"/>
      <c r="X5"/>
    </row>
    <row r="6" spans="1:24" s="43" customFormat="1" ht="15" customHeight="1" x14ac:dyDescent="0.45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186</v>
      </c>
      <c r="M6" s="50"/>
      <c r="N6" s="87">
        <v>43830</v>
      </c>
      <c r="O6" s="87"/>
      <c r="P6" s="87"/>
      <c r="Q6" s="87"/>
      <c r="R6" s="45"/>
      <c r="S6"/>
      <c r="T6"/>
      <c r="U6"/>
      <c r="V6"/>
      <c r="W6"/>
      <c r="X6"/>
    </row>
    <row r="7" spans="1:24" s="43" customFormat="1" ht="15" customHeight="1" x14ac:dyDescent="0.45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0</v>
      </c>
      <c r="M7" s="50"/>
      <c r="N7" s="85" t="s">
        <v>207</v>
      </c>
      <c r="O7" s="85"/>
      <c r="P7" s="85"/>
      <c r="Q7" s="85"/>
      <c r="R7" s="45"/>
      <c r="S7"/>
      <c r="T7"/>
      <c r="U7"/>
      <c r="V7"/>
      <c r="W7"/>
      <c r="X7"/>
    </row>
    <row r="8" spans="1:24" s="43" customFormat="1" ht="15" customHeight="1" x14ac:dyDescent="0.45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</v>
      </c>
      <c r="M8" s="50"/>
      <c r="N8" s="85" t="s">
        <v>208</v>
      </c>
      <c r="O8" s="85"/>
      <c r="P8" s="85"/>
      <c r="Q8" s="85"/>
      <c r="R8" s="45"/>
      <c r="S8"/>
      <c r="T8"/>
      <c r="U8"/>
      <c r="V8"/>
      <c r="W8"/>
      <c r="X8"/>
    </row>
    <row r="9" spans="1:24" s="43" customFormat="1" ht="15" customHeight="1" x14ac:dyDescent="0.45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187</v>
      </c>
      <c r="M9" s="50"/>
      <c r="N9" s="85" t="s">
        <v>188</v>
      </c>
      <c r="O9" s="85"/>
      <c r="P9" s="85"/>
      <c r="Q9" s="85"/>
      <c r="R9" s="45"/>
      <c r="S9"/>
      <c r="T9"/>
      <c r="U9"/>
      <c r="V9"/>
      <c r="W9"/>
      <c r="X9"/>
    </row>
    <row r="10" spans="1:24" s="43" customFormat="1" ht="15" customHeight="1" x14ac:dyDescent="0.45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189</v>
      </c>
      <c r="M10" s="50"/>
      <c r="N10" s="88">
        <v>1</v>
      </c>
      <c r="O10" s="88"/>
      <c r="P10" s="88"/>
      <c r="Q10" s="88"/>
      <c r="R10" s="55"/>
      <c r="S10"/>
      <c r="T10"/>
      <c r="U10"/>
      <c r="V10"/>
      <c r="W10"/>
      <c r="X10"/>
    </row>
    <row r="11" spans="1:24" s="43" customFormat="1" ht="15" customHeight="1" x14ac:dyDescent="0.45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205</v>
      </c>
      <c r="M11" s="50"/>
      <c r="N11" s="88">
        <v>1</v>
      </c>
      <c r="O11" s="88"/>
      <c r="P11" s="88"/>
      <c r="Q11" s="88"/>
      <c r="R11" s="55"/>
      <c r="S11"/>
      <c r="T11"/>
      <c r="U11"/>
      <c r="V11"/>
      <c r="W11"/>
      <c r="X11"/>
    </row>
    <row r="12" spans="1:24" s="43" customFormat="1" ht="15" customHeight="1" thickBot="1" x14ac:dyDescent="0.5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45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45">
      <c r="A14" s="48"/>
      <c r="B14" s="86" t="s">
        <v>190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N14" s="44"/>
      <c r="O14" s="86" t="s">
        <v>191</v>
      </c>
      <c r="P14" s="86"/>
      <c r="Q14" s="86"/>
      <c r="R14" s="58"/>
      <c r="S14"/>
      <c r="T14"/>
      <c r="U14"/>
      <c r="V14"/>
      <c r="W14"/>
      <c r="X14"/>
    </row>
    <row r="15" spans="1:24" s="43" customFormat="1" ht="15" customHeight="1" x14ac:dyDescent="0.45">
      <c r="A15" s="49"/>
      <c r="B15" s="88" t="s">
        <v>192</v>
      </c>
      <c r="C15" s="88"/>
      <c r="D15" s="88" t="s">
        <v>2</v>
      </c>
      <c r="E15" s="88"/>
      <c r="F15" s="88"/>
      <c r="G15" s="88"/>
      <c r="H15" s="88"/>
      <c r="I15" s="88"/>
      <c r="J15" s="88"/>
      <c r="K15" s="88"/>
      <c r="L15" s="88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45">
      <c r="A16" s="49"/>
      <c r="B16" s="88" t="s">
        <v>193</v>
      </c>
      <c r="C16" s="88"/>
      <c r="D16" s="88" t="s">
        <v>33</v>
      </c>
      <c r="E16" s="88"/>
      <c r="F16" s="88"/>
      <c r="G16" s="88"/>
      <c r="H16" s="88"/>
      <c r="I16" s="88"/>
      <c r="J16" s="88"/>
      <c r="K16" s="88"/>
      <c r="L16" s="88"/>
      <c r="N16" s="51"/>
      <c r="O16" s="59"/>
      <c r="P16" s="61" t="s">
        <v>194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45">
      <c r="A17" s="49"/>
      <c r="B17" s="88" t="s">
        <v>195</v>
      </c>
      <c r="C17" s="88"/>
      <c r="D17" s="88" t="s">
        <v>196</v>
      </c>
      <c r="E17" s="88"/>
      <c r="F17" s="88"/>
      <c r="G17" s="88"/>
      <c r="H17" s="88"/>
      <c r="I17" s="88"/>
      <c r="J17" s="88"/>
      <c r="K17" s="88"/>
      <c r="L17" s="88"/>
      <c r="N17" s="49"/>
      <c r="O17" s="59"/>
      <c r="P17" s="62" t="s">
        <v>197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45">
      <c r="A18" s="49"/>
      <c r="B18" s="88" t="s">
        <v>201</v>
      </c>
      <c r="C18" s="88"/>
      <c r="D18" s="88" t="s">
        <v>204</v>
      </c>
      <c r="E18" s="88"/>
      <c r="F18" s="88"/>
      <c r="G18" s="88"/>
      <c r="H18" s="88"/>
      <c r="I18" s="88"/>
      <c r="J18" s="88"/>
      <c r="K18" s="88"/>
      <c r="L18" s="88"/>
      <c r="N18" s="49"/>
      <c r="O18" s="59"/>
      <c r="P18" t="s">
        <v>198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45">
      <c r="A19" s="54"/>
      <c r="B19" s="88" t="s">
        <v>202</v>
      </c>
      <c r="C19" s="88"/>
      <c r="D19" s="88" t="s">
        <v>212</v>
      </c>
      <c r="E19" s="88"/>
      <c r="F19" s="88"/>
      <c r="G19" s="88"/>
      <c r="H19" s="88"/>
      <c r="I19" s="88"/>
      <c r="J19" s="88"/>
      <c r="K19" s="88"/>
      <c r="L19" s="88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45">
      <c r="A20" s="54"/>
      <c r="B20" s="64" t="s">
        <v>203</v>
      </c>
      <c r="C20" s="64"/>
      <c r="D20" s="64" t="s">
        <v>199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4.65" thickBot="1" x14ac:dyDescent="0.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45">
      <c r="Q22" s="65"/>
    </row>
  </sheetData>
  <mergeCells count="21"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  <mergeCell ref="N9:Q9"/>
    <mergeCell ref="N10:Q10"/>
    <mergeCell ref="B14:L14"/>
    <mergeCell ref="O14:Q14"/>
    <mergeCell ref="B15:C15"/>
    <mergeCell ref="D15:L15"/>
    <mergeCell ref="N8:Q8"/>
    <mergeCell ref="B4:I4"/>
    <mergeCell ref="L4:P4"/>
    <mergeCell ref="N5:Q5"/>
    <mergeCell ref="N6:Q6"/>
    <mergeCell ref="N7:Q7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73046875" customWidth="1"/>
    <col min="2" max="2" width="41.3984375" customWidth="1"/>
    <col min="3" max="11" width="10.73046875" customWidth="1"/>
  </cols>
  <sheetData>
    <row r="1" spans="1:13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45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65">
      <c r="A3" s="73" t="s">
        <v>2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75" x14ac:dyDescent="0.5">
      <c r="A5" s="11" t="s">
        <v>140</v>
      </c>
    </row>
    <row r="6" spans="1:13" x14ac:dyDescent="0.45">
      <c r="B6" s="17" t="s">
        <v>9</v>
      </c>
      <c r="C6" s="19">
        <f>C22/C19</f>
        <v>0.60702126539848844</v>
      </c>
      <c r="D6" s="19">
        <f>D22/D19</f>
        <v>0.58000914775879908</v>
      </c>
      <c r="E6" s="19">
        <f>E22/E19</f>
        <v>0.60279572062979414</v>
      </c>
      <c r="F6" s="19">
        <f>F22/F19</f>
        <v>0.57803267178277429</v>
      </c>
      <c r="G6" s="19">
        <f>G22/G19</f>
        <v>0.56438923503711469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45">
      <c r="B7" s="17" t="s">
        <v>11</v>
      </c>
      <c r="C7" s="19">
        <f>-C24/C19</f>
        <v>6.6597576724246113E-2</v>
      </c>
      <c r="D7" s="19">
        <f>-D24/D19</f>
        <v>6.5537693265150035E-2</v>
      </c>
      <c r="E7" s="19">
        <f>-E24/E19</f>
        <v>0.10183329488436473</v>
      </c>
      <c r="F7" s="19">
        <f>-F24/F19</f>
        <v>0.1062243059952951</v>
      </c>
      <c r="G7" s="19">
        <f>-G24/G19</f>
        <v>7.6619176234040937E-2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45">
      <c r="B8" s="17" t="s">
        <v>12</v>
      </c>
      <c r="C8" s="19">
        <f>-C25/C19</f>
        <v>0.41162087433861899</v>
      </c>
      <c r="D8" s="19">
        <f>-D25/D19</f>
        <v>0.3820314023064349</v>
      </c>
      <c r="E8" s="19">
        <f>-E25/E19</f>
        <v>0.39106566122613762</v>
      </c>
      <c r="F8" s="19">
        <f>-F25/F19</f>
        <v>0.37142416557027974</v>
      </c>
      <c r="G8" s="19">
        <f>-G25/G19</f>
        <v>0.32812324329412257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45">
      <c r="B9" t="s">
        <v>13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45">
      <c r="B10" t="s">
        <v>141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45">
      <c r="B11" t="s">
        <v>142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45">
      <c r="B12" s="17" t="s">
        <v>143</v>
      </c>
      <c r="C12" s="19" t="e">
        <f>-C40/C38</f>
        <v>#DIV/0!</v>
      </c>
      <c r="D12" s="19" t="e">
        <f>-D40/D38</f>
        <v>#DIV/0!</v>
      </c>
      <c r="E12" s="19" t="e">
        <f>-E40/E38</f>
        <v>#DIV/0!</v>
      </c>
      <c r="F12" s="19" t="e">
        <f>-F40/F38</f>
        <v>#DIV/0!</v>
      </c>
      <c r="G12" s="19" t="e">
        <f>-G40/G38</f>
        <v>#DIV/0!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45">
      <c r="B13" s="17" t="s">
        <v>32</v>
      </c>
      <c r="C13" s="19" t="e">
        <f>C48/C47</f>
        <v>#DIV/0!</v>
      </c>
      <c r="D13" s="19" t="e">
        <f>D48/D47</f>
        <v>#DIV/0!</v>
      </c>
      <c r="E13" s="19" t="e">
        <f>E48/E47</f>
        <v>#DIV/0!</v>
      </c>
      <c r="F13" s="19" t="e">
        <f>F48/F47</f>
        <v>#DIV/0!</v>
      </c>
      <c r="G13" s="19" t="e">
        <f>G48/G47</f>
        <v>#DIV/0!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45">
      <c r="H14" s="24"/>
      <c r="I14" s="24"/>
      <c r="J14" s="24"/>
      <c r="K14" s="24"/>
    </row>
    <row r="16" spans="1:13" ht="15.75" x14ac:dyDescent="0.5">
      <c r="A16" s="11" t="s">
        <v>2</v>
      </c>
    </row>
    <row r="17" spans="2:18" s="17" customFormat="1" x14ac:dyDescent="0.45">
      <c r="B17" t="s">
        <v>3</v>
      </c>
      <c r="C17">
        <f>Revenues!C45</f>
        <v>246008</v>
      </c>
      <c r="D17">
        <f>Revenues!D45</f>
        <v>265167</v>
      </c>
      <c r="E17">
        <f>Revenues!E45</f>
        <v>275651</v>
      </c>
      <c r="F17">
        <f>Revenues!F45</f>
        <v>303202</v>
      </c>
      <c r="G17">
        <f>Revenues!G45</f>
        <v>381312</v>
      </c>
      <c r="H17">
        <f>Revenues!H45</f>
        <v>417303.38999999996</v>
      </c>
      <c r="I17" t="str">
        <f ca="1">_xlfn.FORMULATEXT(H17)</f>
        <v>=Revenues!H45</v>
      </c>
      <c r="J17"/>
      <c r="K17"/>
      <c r="L17"/>
      <c r="M17" s="16"/>
    </row>
    <row r="18" spans="2:18" x14ac:dyDescent="0.45">
      <c r="B18" t="s">
        <v>4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H18">
        <f>G18</f>
        <v>1151</v>
      </c>
      <c r="I18" t="str">
        <f t="shared" ref="I18:I19" ca="1" si="1">_xlfn.FORMULATEXT(H18)</f>
        <v>=G18</v>
      </c>
      <c r="M18" s="4"/>
      <c r="R18" s="33"/>
    </row>
    <row r="19" spans="2:18" s="33" customFormat="1" x14ac:dyDescent="0.45">
      <c r="B19" t="s">
        <v>5</v>
      </c>
      <c r="C19">
        <f>SUM(C17:C18)</f>
        <v>247021</v>
      </c>
      <c r="D19">
        <f t="shared" ref="D19:H19" si="2">SUM(D17:D18)</f>
        <v>266732</v>
      </c>
      <c r="E19">
        <f t="shared" si="2"/>
        <v>277424</v>
      </c>
      <c r="F19">
        <f t="shared" si="2"/>
        <v>304789</v>
      </c>
      <c r="G19">
        <f t="shared" si="2"/>
        <v>382463</v>
      </c>
      <c r="H19">
        <f t="shared" si="2"/>
        <v>418454.38999999996</v>
      </c>
      <c r="I19" t="str">
        <f t="shared" ca="1" si="1"/>
        <v>=SUM(H17:H18)</v>
      </c>
      <c r="J19"/>
      <c r="K19"/>
      <c r="L19"/>
      <c r="M19" s="38"/>
    </row>
    <row r="20" spans="2:18" x14ac:dyDescent="0.45">
      <c r="R20" s="33"/>
    </row>
    <row r="21" spans="2:18" x14ac:dyDescent="0.45">
      <c r="B21" t="s">
        <v>6</v>
      </c>
      <c r="C21">
        <f>C22-C19</f>
        <v>-97074</v>
      </c>
      <c r="D21">
        <f t="shared" ref="D21:H21" si="3">D22-D19</f>
        <v>-112025</v>
      </c>
      <c r="E21">
        <f t="shared" si="3"/>
        <v>-110194</v>
      </c>
      <c r="F21">
        <f t="shared" si="3"/>
        <v>-128611</v>
      </c>
      <c r="G21">
        <f t="shared" si="3"/>
        <v>-166605</v>
      </c>
      <c r="H21">
        <f t="shared" si="3"/>
        <v>-179935.38769999999</v>
      </c>
      <c r="I21" t="str">
        <f t="shared" ref="I21:I22" ca="1" si="4">_xlfn.FORMULATEXT(H21)</f>
        <v>=H22-H19</v>
      </c>
      <c r="R21" s="33"/>
    </row>
    <row r="22" spans="2:18" s="33" customFormat="1" x14ac:dyDescent="0.45">
      <c r="B22" t="s">
        <v>7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>
        <f>H6*(H19-Revenues!H37)+IF(Pipeline=1,'Pipeline Drug'!I101,0)</f>
        <v>238519.00229999996</v>
      </c>
      <c r="I22" t="str">
        <f t="shared" ca="1" si="4"/>
        <v>=H6*(H19-Revenues!H37)+IF(Pipeline=1,'Pipeline Drug'!I101,0)</v>
      </c>
      <c r="J22"/>
      <c r="K22"/>
      <c r="L22"/>
    </row>
    <row r="23" spans="2:18" x14ac:dyDescent="0.45">
      <c r="R23" s="33"/>
    </row>
    <row r="24" spans="2:18" x14ac:dyDescent="0.45">
      <c r="B24" t="s">
        <v>10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R24" s="33"/>
    </row>
    <row r="25" spans="2:18" x14ac:dyDescent="0.45">
      <c r="B25" t="s">
        <v>139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R25" s="33"/>
    </row>
    <row r="26" spans="2:18" x14ac:dyDescent="0.45">
      <c r="B26" t="s">
        <v>13</v>
      </c>
      <c r="C26" s="5"/>
      <c r="D26" s="14">
        <v>3997</v>
      </c>
      <c r="E26" s="14">
        <v>0</v>
      </c>
      <c r="F26" s="14">
        <v>-1094</v>
      </c>
      <c r="G26" s="14">
        <v>0</v>
      </c>
      <c r="R26" s="33"/>
    </row>
    <row r="27" spans="2:18" x14ac:dyDescent="0.45">
      <c r="B27" t="s">
        <v>14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R27" s="33"/>
    </row>
    <row r="28" spans="2:18" s="17" customFormat="1" x14ac:dyDescent="0.45">
      <c r="B28" t="s">
        <v>15</v>
      </c>
      <c r="C28"/>
      <c r="D28"/>
      <c r="E28"/>
      <c r="F28"/>
      <c r="G28"/>
      <c r="H28"/>
      <c r="I28"/>
      <c r="J28"/>
      <c r="K28"/>
      <c r="L28"/>
    </row>
    <row r="29" spans="2:18" x14ac:dyDescent="0.45">
      <c r="R29" s="33"/>
    </row>
    <row r="30" spans="2:18" x14ac:dyDescent="0.45">
      <c r="B30" t="s">
        <v>17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17"/>
      <c r="J30" s="17"/>
      <c r="K30" s="17"/>
      <c r="R30" s="33"/>
    </row>
    <row r="31" spans="2:18" s="17" customFormat="1" x14ac:dyDescent="0.45">
      <c r="B31" t="s">
        <v>19</v>
      </c>
      <c r="C31"/>
      <c r="D31"/>
      <c r="E31"/>
      <c r="F31"/>
      <c r="G31"/>
      <c r="H31"/>
      <c r="I31"/>
      <c r="J31"/>
      <c r="K31"/>
      <c r="L31"/>
    </row>
    <row r="33" spans="2:18" x14ac:dyDescent="0.45">
      <c r="B33" t="s">
        <v>21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17"/>
      <c r="J33" s="17"/>
      <c r="K33" s="17"/>
    </row>
    <row r="34" spans="2:18" x14ac:dyDescent="0.45">
      <c r="B34" t="s">
        <v>22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17"/>
      <c r="J34" s="17"/>
      <c r="K34" s="17"/>
    </row>
    <row r="35" spans="2:18" x14ac:dyDescent="0.45">
      <c r="B35" t="s">
        <v>142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</row>
    <row r="36" spans="2:18" x14ac:dyDescent="0.45">
      <c r="B36" t="s">
        <v>23</v>
      </c>
    </row>
    <row r="38" spans="2:18" x14ac:dyDescent="0.45">
      <c r="B38" t="s">
        <v>24</v>
      </c>
    </row>
    <row r="40" spans="2:18" x14ac:dyDescent="0.45">
      <c r="B40" t="s">
        <v>25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/>
      <c r="J40" s="17"/>
      <c r="K40" s="17"/>
    </row>
    <row r="41" spans="2:18" x14ac:dyDescent="0.45">
      <c r="B41" t="s">
        <v>26</v>
      </c>
    </row>
    <row r="42" spans="2:18" x14ac:dyDescent="0.45">
      <c r="B42" s="17"/>
    </row>
    <row r="43" spans="2:18" s="33" customFormat="1" x14ac:dyDescent="0.45">
      <c r="B43" s="7" t="s">
        <v>27</v>
      </c>
      <c r="L43"/>
    </row>
    <row r="44" spans="2:18" x14ac:dyDescent="0.45">
      <c r="B44" t="s">
        <v>28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R44" s="33"/>
    </row>
    <row r="45" spans="2:18" x14ac:dyDescent="0.45">
      <c r="B45" t="s">
        <v>29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R45" s="33"/>
    </row>
    <row r="47" spans="2:18" x14ac:dyDescent="0.45">
      <c r="B47" t="s">
        <v>30</v>
      </c>
      <c r="C47">
        <f>C41/C45</f>
        <v>0</v>
      </c>
      <c r="D47">
        <f t="shared" ref="D47:G47" si="5">D41/D45</f>
        <v>0</v>
      </c>
      <c r="E47">
        <f t="shared" si="5"/>
        <v>0</v>
      </c>
      <c r="F47">
        <f t="shared" si="5"/>
        <v>0</v>
      </c>
      <c r="G47">
        <f t="shared" si="5"/>
        <v>0</v>
      </c>
    </row>
    <row r="48" spans="2:18" x14ac:dyDescent="0.45">
      <c r="B48" t="s">
        <v>31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/>
      <c r="J48" s="77"/>
      <c r="K48" s="77"/>
      <c r="R48" s="33"/>
    </row>
    <row r="51" spans="2:18" x14ac:dyDescent="0.45">
      <c r="B51" t="s">
        <v>219</v>
      </c>
      <c r="C51" s="19">
        <f t="shared" ref="C51:G51" si="6">C22/C19</f>
        <v>0.60702126539848844</v>
      </c>
      <c r="D51" s="19">
        <f t="shared" si="6"/>
        <v>0.58000914775879908</v>
      </c>
      <c r="E51" s="19">
        <f t="shared" si="6"/>
        <v>0.60279572062979414</v>
      </c>
      <c r="F51" s="19">
        <f t="shared" si="6"/>
        <v>0.57803267178277429</v>
      </c>
      <c r="G51" s="19">
        <f t="shared" si="6"/>
        <v>0.56438923503711469</v>
      </c>
      <c r="H51" s="19"/>
      <c r="J51" s="19"/>
      <c r="K51" s="19"/>
      <c r="R51" s="33"/>
    </row>
    <row r="52" spans="2:18" x14ac:dyDescent="0.45">
      <c r="B52" t="s">
        <v>218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/>
      <c r="J52" s="19"/>
      <c r="K52" s="19"/>
      <c r="R52" s="33"/>
    </row>
    <row r="53" spans="2:18" x14ac:dyDescent="0.45">
      <c r="B53" t="s">
        <v>220</v>
      </c>
      <c r="C53" s="19">
        <f t="shared" ref="C53:G53" si="7">C28/C19</f>
        <v>0</v>
      </c>
      <c r="D53" s="19">
        <f t="shared" si="7"/>
        <v>0</v>
      </c>
      <c r="E53" s="19">
        <f t="shared" si="7"/>
        <v>0</v>
      </c>
      <c r="F53" s="19">
        <f t="shared" si="7"/>
        <v>0</v>
      </c>
      <c r="G53" s="19">
        <f t="shared" si="7"/>
        <v>0</v>
      </c>
      <c r="H53" s="19"/>
      <c r="J53" s="19"/>
      <c r="K53" s="19"/>
      <c r="R53" s="33"/>
    </row>
    <row r="54" spans="2:18" x14ac:dyDescent="0.45">
      <c r="B54" t="s">
        <v>221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/>
      <c r="J54" s="19"/>
      <c r="K54" s="19"/>
      <c r="R54" s="33"/>
    </row>
    <row r="55" spans="2:18" x14ac:dyDescent="0.45">
      <c r="B55" t="s">
        <v>18</v>
      </c>
      <c r="C55" s="19">
        <f t="shared" ref="C55:G55" si="8">-C30/C19</f>
        <v>4.0381182166698379E-2</v>
      </c>
      <c r="D55" s="19">
        <f t="shared" si="8"/>
        <v>4.1326125099350658E-2</v>
      </c>
      <c r="E55" s="19">
        <f t="shared" si="8"/>
        <v>4.1377097871849587E-2</v>
      </c>
      <c r="F55" s="19">
        <f t="shared" si="8"/>
        <v>3.9515861792912471E-2</v>
      </c>
      <c r="G55" s="19">
        <f t="shared" si="8"/>
        <v>4.762813657791734E-2</v>
      </c>
      <c r="H55" s="19"/>
      <c r="J55" s="19"/>
      <c r="K55" s="19"/>
      <c r="R55" s="33"/>
    </row>
    <row r="56" spans="2:18" x14ac:dyDescent="0.45">
      <c r="B56" t="s">
        <v>20</v>
      </c>
      <c r="C56" s="19">
        <f t="shared" ref="C56:G56" si="9">C31/C19</f>
        <v>0</v>
      </c>
      <c r="D56" s="19">
        <f t="shared" si="9"/>
        <v>0</v>
      </c>
      <c r="E56" s="19">
        <f t="shared" si="9"/>
        <v>0</v>
      </c>
      <c r="F56" s="19">
        <f t="shared" si="9"/>
        <v>0</v>
      </c>
      <c r="G56" s="19">
        <f t="shared" si="9"/>
        <v>0</v>
      </c>
      <c r="H56" s="19"/>
      <c r="J56" s="19"/>
      <c r="K56" s="19"/>
    </row>
    <row r="253" spans="2:2" x14ac:dyDescent="0.45">
      <c r="B253" s="17"/>
    </row>
    <row r="254" spans="2:2" x14ac:dyDescent="0.45">
      <c r="B254" s="17"/>
    </row>
    <row r="255" spans="2:2" x14ac:dyDescent="0.45">
      <c r="B255" s="17"/>
    </row>
    <row r="256" spans="2:2" x14ac:dyDescent="0.45">
      <c r="B256" s="17"/>
    </row>
    <row r="257" spans="2:2" x14ac:dyDescent="0.45">
      <c r="B257" s="17"/>
    </row>
    <row r="258" spans="2:2" x14ac:dyDescent="0.45">
      <c r="B258" s="17"/>
    </row>
    <row r="259" spans="2:2" x14ac:dyDescent="0.45">
      <c r="B259" s="17"/>
    </row>
    <row r="260" spans="2:2" x14ac:dyDescent="0.45">
      <c r="B260" s="17"/>
    </row>
    <row r="261" spans="2:2" x14ac:dyDescent="0.45">
      <c r="B261" s="17"/>
    </row>
    <row r="262" spans="2:2" x14ac:dyDescent="0.45">
      <c r="B262" s="17"/>
    </row>
    <row r="263" spans="2:2" x14ac:dyDescent="0.45">
      <c r="B263" s="17"/>
    </row>
    <row r="264" spans="2:2" x14ac:dyDescent="0.45">
      <c r="B264" s="17"/>
    </row>
    <row r="265" spans="2:2" x14ac:dyDescent="0.45">
      <c r="B265" s="17"/>
    </row>
    <row r="266" spans="2:2" x14ac:dyDescent="0.45">
      <c r="B266" s="17"/>
    </row>
    <row r="267" spans="2:2" x14ac:dyDescent="0.45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33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75" x14ac:dyDescent="0.5">
      <c r="A5" s="11" t="s">
        <v>48</v>
      </c>
      <c r="B5" s="17"/>
    </row>
    <row r="6" spans="1:21" x14ac:dyDescent="0.45">
      <c r="B6" t="s">
        <v>73</v>
      </c>
      <c r="D6" s="19">
        <f>D18/IS!D19</f>
        <v>3.6291108678373797E-2</v>
      </c>
      <c r="E6" s="19">
        <f>E18/IS!E19</f>
        <v>5.3823749927908185E-2</v>
      </c>
      <c r="F6" s="19">
        <f>F18/IS!F19</f>
        <v>5.3774906574712344E-2</v>
      </c>
      <c r="G6" s="19">
        <f>G18/IS!G19</f>
        <v>6.771635426171943E-2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45">
      <c r="B7" t="s">
        <v>72</v>
      </c>
      <c r="D7" s="19">
        <f>D24/IS!D19</f>
        <v>3.1477288064424215E-2</v>
      </c>
      <c r="E7" s="19">
        <f>E24/IS!E19</f>
        <v>1.806620912394025E-2</v>
      </c>
      <c r="F7" s="19">
        <f>F24/IS!F19</f>
        <v>3.3035969145868128E-2</v>
      </c>
      <c r="G7" s="19">
        <f>G24/IS!G19</f>
        <v>3.8241607684926383E-2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45">
      <c r="B8" t="s">
        <v>52</v>
      </c>
      <c r="D8" s="19" t="e">
        <f>-D19/C20</f>
        <v>#DIV/0!</v>
      </c>
      <c r="E8" s="19" t="e">
        <f>-E19/D20</f>
        <v>#DIV/0!</v>
      </c>
      <c r="F8" s="19" t="e">
        <f>-F19/E20</f>
        <v>#DIV/0!</v>
      </c>
      <c r="G8" s="19" t="e">
        <f>-G19/F20</f>
        <v>#DIV/0!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45">
      <c r="B9" t="s">
        <v>53</v>
      </c>
      <c r="D9" s="19" t="e">
        <f>-D25/C26</f>
        <v>#DIV/0!</v>
      </c>
      <c r="E9" s="19" t="e">
        <f>-E25/D26</f>
        <v>#DIV/0!</v>
      </c>
      <c r="F9" s="19" t="e">
        <f>-F25/E26</f>
        <v>#DIV/0!</v>
      </c>
      <c r="G9" s="19" t="e">
        <f>-G25/F26</f>
        <v>#DIV/0!</v>
      </c>
      <c r="H9" s="23" t="e">
        <f>G9+1%</f>
        <v>#DIV/0!</v>
      </c>
      <c r="I9" s="23" t="e">
        <f>H9+1%</f>
        <v>#DIV/0!</v>
      </c>
      <c r="J9" s="23" t="e">
        <f>I9+1%</f>
        <v>#DIV/0!</v>
      </c>
      <c r="K9" s="23" t="e">
        <f>J9+1%</f>
        <v>#DIV/0!</v>
      </c>
    </row>
    <row r="10" spans="1:21" x14ac:dyDescent="0.45">
      <c r="B10" t="s">
        <v>172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45">
      <c r="B11" t="s">
        <v>151</v>
      </c>
      <c r="C11">
        <f>-C55/IS!C21*365</f>
        <v>240.11099779549622</v>
      </c>
      <c r="D11">
        <f>-D55/IS!D21*365</f>
        <v>219.55715242133451</v>
      </c>
      <c r="E11">
        <f>-E55/IS!E21*365</f>
        <v>250.05517541789933</v>
      </c>
      <c r="F11">
        <f>-F55/IS!F21*365</f>
        <v>269.21697988507981</v>
      </c>
      <c r="G11">
        <f>-G55/IS!G21*365</f>
        <v>347.92482218420815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45">
      <c r="B12" t="s">
        <v>152</v>
      </c>
      <c r="C12">
        <f>C56/IS!C19*365</f>
        <v>84.264981519789814</v>
      </c>
      <c r="D12">
        <f>D56/IS!D19*365</f>
        <v>73.678186344345633</v>
      </c>
      <c r="E12">
        <f>E56/IS!E19*365</f>
        <v>65.450916286983102</v>
      </c>
      <c r="F12">
        <f>F56/IS!F19*365</f>
        <v>72.068545780851665</v>
      </c>
      <c r="G12">
        <f>G56/IS!G19*365</f>
        <v>77.817893495579966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45">
      <c r="B13" t="s">
        <v>153</v>
      </c>
      <c r="C13">
        <f>C68/(IS!C19-IS!C28)*365</f>
        <v>67.588707033005292</v>
      </c>
      <c r="D13">
        <f>D68/(IS!D19-IS!D28)*365</f>
        <v>81.902358922064096</v>
      </c>
      <c r="E13">
        <f>E68/(IS!E19-IS!E28)*365</f>
        <v>69.654499971163276</v>
      </c>
      <c r="F13">
        <f>F68/(IS!F19-IS!F28)*365</f>
        <v>81.6309807768653</v>
      </c>
      <c r="G13">
        <f>G68/(IS!G19-IS!G28)*365</f>
        <v>87.717269382920691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75" x14ac:dyDescent="0.5">
      <c r="A15" s="11" t="s">
        <v>146</v>
      </c>
      <c r="B15" s="17"/>
    </row>
    <row r="16" spans="1:21" x14ac:dyDescent="0.45">
      <c r="B16" s="7" t="s">
        <v>34</v>
      </c>
    </row>
    <row r="17" spans="2:14" x14ac:dyDescent="0.45">
      <c r="B17" t="s">
        <v>147</v>
      </c>
      <c r="C17" s="6"/>
      <c r="D17" s="17"/>
      <c r="E17" s="17"/>
      <c r="F17" s="17"/>
      <c r="G17" s="17"/>
      <c r="H17" s="17"/>
      <c r="I17" s="17"/>
      <c r="J17" s="17"/>
      <c r="K17" s="17"/>
    </row>
    <row r="18" spans="2:14" x14ac:dyDescent="0.45">
      <c r="B18" t="s">
        <v>148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/>
      <c r="I18" s="17"/>
      <c r="J18" s="17"/>
      <c r="K18" s="17"/>
    </row>
    <row r="19" spans="2:14" x14ac:dyDescent="0.45">
      <c r="B19" t="s">
        <v>149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/>
      <c r="I19" s="17"/>
      <c r="J19" s="17"/>
      <c r="K19" s="17"/>
      <c r="N19" s="33"/>
    </row>
    <row r="20" spans="2:14" x14ac:dyDescent="0.45">
      <c r="B20" t="s">
        <v>51</v>
      </c>
      <c r="I20" s="17"/>
    </row>
    <row r="21" spans="2:14" x14ac:dyDescent="0.45">
      <c r="B21" s="17"/>
    </row>
    <row r="22" spans="2:14" x14ac:dyDescent="0.45">
      <c r="B22" s="7" t="s">
        <v>35</v>
      </c>
    </row>
    <row r="23" spans="2:14" x14ac:dyDescent="0.45">
      <c r="B23" t="s">
        <v>147</v>
      </c>
      <c r="C23" s="6"/>
      <c r="D23" s="17"/>
      <c r="E23" s="17"/>
      <c r="F23" s="17"/>
      <c r="G23" s="17"/>
      <c r="H23" s="17"/>
      <c r="I23" s="17"/>
      <c r="J23" s="17"/>
      <c r="K23" s="17"/>
    </row>
    <row r="24" spans="2:14" x14ac:dyDescent="0.45">
      <c r="B24" t="s">
        <v>148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/>
      <c r="I24" s="17"/>
      <c r="J24" s="17"/>
      <c r="K24" s="17"/>
    </row>
    <row r="25" spans="2:14" x14ac:dyDescent="0.45">
      <c r="B25" t="s">
        <v>150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/>
      <c r="I25" s="17"/>
      <c r="J25" s="17"/>
      <c r="K25" s="17"/>
      <c r="N25" s="33"/>
    </row>
    <row r="26" spans="2:14" x14ac:dyDescent="0.45">
      <c r="B26" t="s">
        <v>51</v>
      </c>
      <c r="I26" s="17"/>
    </row>
    <row r="27" spans="2:14" x14ac:dyDescent="0.45">
      <c r="B27" s="17"/>
    </row>
    <row r="28" spans="2:14" x14ac:dyDescent="0.45">
      <c r="B28" s="7" t="s">
        <v>175</v>
      </c>
    </row>
    <row r="29" spans="2:14" x14ac:dyDescent="0.45">
      <c r="B29" t="s">
        <v>147</v>
      </c>
      <c r="I29" s="17"/>
    </row>
    <row r="30" spans="2:14" x14ac:dyDescent="0.45">
      <c r="B30" t="s">
        <v>173</v>
      </c>
      <c r="I30" s="17"/>
    </row>
    <row r="31" spans="2:14" x14ac:dyDescent="0.45">
      <c r="B31" t="s">
        <v>174</v>
      </c>
      <c r="I31" s="17"/>
    </row>
    <row r="32" spans="2:14" x14ac:dyDescent="0.45">
      <c r="B32" t="s">
        <v>51</v>
      </c>
      <c r="I32" s="17"/>
    </row>
    <row r="33" spans="1:11" x14ac:dyDescent="0.45">
      <c r="B33" s="17"/>
    </row>
    <row r="34" spans="1:11" x14ac:dyDescent="0.45">
      <c r="B34" s="7" t="s">
        <v>58</v>
      </c>
    </row>
    <row r="35" spans="1:11" x14ac:dyDescent="0.45">
      <c r="B35" t="s">
        <v>49</v>
      </c>
      <c r="I35" s="17"/>
    </row>
    <row r="36" spans="1:11" x14ac:dyDescent="0.45">
      <c r="B36" t="s">
        <v>26</v>
      </c>
      <c r="I36" s="17"/>
    </row>
    <row r="37" spans="1:11" x14ac:dyDescent="0.45">
      <c r="B37" t="s">
        <v>59</v>
      </c>
      <c r="I37" s="17"/>
    </row>
    <row r="38" spans="1:11" x14ac:dyDescent="0.45">
      <c r="B38" t="s">
        <v>51</v>
      </c>
      <c r="I38" s="17"/>
    </row>
    <row r="39" spans="1:11" x14ac:dyDescent="0.4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45">
      <c r="B40" s="21" t="s">
        <v>164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45">
      <c r="B41" t="s">
        <v>38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45">
      <c r="B42" t="s">
        <v>39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45">
      <c r="B43" t="s">
        <v>40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45">
      <c r="B44" t="s">
        <v>46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45">
      <c r="B45" t="s">
        <v>159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45">
      <c r="B46" t="s">
        <v>165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45">
      <c r="B47" s="17"/>
      <c r="C47" s="2"/>
    </row>
    <row r="48" spans="1:11" ht="15.75" x14ac:dyDescent="0.5">
      <c r="A48" s="11" t="s">
        <v>33</v>
      </c>
      <c r="B48" s="17"/>
    </row>
    <row r="49" spans="2:16" x14ac:dyDescent="0.45">
      <c r="B49" t="s">
        <v>34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I49" s="17"/>
    </row>
    <row r="50" spans="2:16" x14ac:dyDescent="0.45">
      <c r="B50" t="s">
        <v>35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I50" s="17"/>
    </row>
    <row r="51" spans="2:16" x14ac:dyDescent="0.45">
      <c r="B51" t="s">
        <v>170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I51" s="17"/>
    </row>
    <row r="52" spans="2:16" x14ac:dyDescent="0.45">
      <c r="B52" t="s">
        <v>36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I52" s="17"/>
    </row>
    <row r="53" spans="2:16" x14ac:dyDescent="0.45">
      <c r="B53" t="s">
        <v>37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I53" s="17"/>
    </row>
    <row r="54" spans="2:16" x14ac:dyDescent="0.45">
      <c r="B54" s="17"/>
      <c r="C54" s="6"/>
      <c r="D54" s="6"/>
      <c r="E54" s="6"/>
      <c r="F54" s="6"/>
      <c r="G54" s="6"/>
    </row>
    <row r="55" spans="2:16" x14ac:dyDescent="0.45">
      <c r="B55" t="s">
        <v>38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I55" s="17"/>
    </row>
    <row r="56" spans="2:16" x14ac:dyDescent="0.45">
      <c r="B56" t="s">
        <v>39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I56" s="17"/>
    </row>
    <row r="57" spans="2:16" x14ac:dyDescent="0.45">
      <c r="B57" t="s">
        <v>40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I57" s="17"/>
    </row>
    <row r="58" spans="2:16" x14ac:dyDescent="0.45">
      <c r="B58" t="s">
        <v>41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I58" s="17"/>
    </row>
    <row r="59" spans="2:16" x14ac:dyDescent="0.45">
      <c r="B59" s="17"/>
      <c r="C59" s="6"/>
      <c r="D59" s="6"/>
      <c r="E59" s="6"/>
      <c r="F59" s="6"/>
      <c r="G59" s="6"/>
    </row>
    <row r="60" spans="2:16" x14ac:dyDescent="0.45">
      <c r="B60" t="s">
        <v>42</v>
      </c>
      <c r="I60" s="17"/>
    </row>
    <row r="61" spans="2:16" x14ac:dyDescent="0.45">
      <c r="C61" s="6"/>
      <c r="D61" s="6"/>
      <c r="E61" s="6"/>
      <c r="F61" s="6"/>
      <c r="G61" s="6"/>
    </row>
    <row r="62" spans="2:16" x14ac:dyDescent="0.45">
      <c r="B62" t="s">
        <v>43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I62" s="17"/>
      <c r="P62" s="33"/>
    </row>
    <row r="63" spans="2:16" x14ac:dyDescent="0.45">
      <c r="B63" t="s">
        <v>44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I63" s="17"/>
    </row>
    <row r="64" spans="2:16" x14ac:dyDescent="0.45">
      <c r="B64" t="s">
        <v>158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I64" s="17"/>
    </row>
    <row r="65" spans="2:16" x14ac:dyDescent="0.45">
      <c r="C65" s="6"/>
      <c r="D65" s="6"/>
      <c r="E65" s="6"/>
      <c r="F65" s="6"/>
      <c r="G65" s="6"/>
    </row>
    <row r="66" spans="2:16" x14ac:dyDescent="0.45">
      <c r="B66" t="s">
        <v>45</v>
      </c>
      <c r="C66" s="6"/>
      <c r="D66" s="6"/>
      <c r="E66" s="6"/>
      <c r="F66" s="6"/>
      <c r="G66" s="6"/>
    </row>
    <row r="67" spans="2:16" x14ac:dyDescent="0.45">
      <c r="B67" t="s">
        <v>43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I67" s="17"/>
      <c r="P67" s="33"/>
    </row>
    <row r="68" spans="2:16" x14ac:dyDescent="0.45">
      <c r="B68" t="s">
        <v>46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I68" s="17"/>
      <c r="P68" s="33"/>
    </row>
    <row r="69" spans="2:16" x14ac:dyDescent="0.45">
      <c r="B69" t="s">
        <v>159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I69" s="17"/>
    </row>
    <row r="70" spans="2:16" x14ac:dyDescent="0.45">
      <c r="C70" s="6"/>
      <c r="D70" s="6"/>
      <c r="E70" s="6"/>
      <c r="F70" s="6"/>
      <c r="G70" s="6"/>
    </row>
    <row r="71" spans="2:16" x14ac:dyDescent="0.45">
      <c r="B71" t="s">
        <v>47</v>
      </c>
      <c r="I71" s="17"/>
    </row>
    <row r="72" spans="2:16" x14ac:dyDescent="0.45">
      <c r="C72" s="6"/>
      <c r="D72" s="6"/>
      <c r="E72" s="6"/>
      <c r="F72" s="6"/>
      <c r="G72" s="6"/>
    </row>
    <row r="73" spans="2:16" x14ac:dyDescent="0.45">
      <c r="B73" t="s">
        <v>58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I73" s="17"/>
    </row>
    <row r="74" spans="2:16" x14ac:dyDescent="0.45">
      <c r="B74" t="s">
        <v>144</v>
      </c>
      <c r="I74" s="17"/>
    </row>
    <row r="76" spans="2:16" x14ac:dyDescent="0.45">
      <c r="B76" t="s">
        <v>145</v>
      </c>
      <c r="I76" s="17"/>
    </row>
    <row r="77" spans="2:16" x14ac:dyDescent="0.45">
      <c r="B77" s="17"/>
    </row>
    <row r="78" spans="2:16" x14ac:dyDescent="0.45">
      <c r="B78" s="17"/>
      <c r="C78" s="2"/>
    </row>
    <row r="79" spans="2:16" x14ac:dyDescent="0.45">
      <c r="B79" s="17"/>
      <c r="C7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196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33" t="s">
        <v>176</v>
      </c>
    </row>
    <row r="6" spans="1:21" x14ac:dyDescent="0.45">
      <c r="B6" t="s">
        <v>154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45">
      <c r="B7" t="s">
        <v>155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45">
      <c r="B8" t="s">
        <v>156</v>
      </c>
      <c r="D8" s="19">
        <f>D44/AVERAGE(SUM(BS!C62,BS!C67),SUM(BS!D62,BS!D67))</f>
        <v>0</v>
      </c>
      <c r="E8" s="19">
        <f>E44/AVERAGE(SUM(BS!D62,BS!D67),SUM(BS!E62,BS!E67))</f>
        <v>0</v>
      </c>
      <c r="F8" s="19">
        <f>F44/AVERAGE(SUM(BS!E62,BS!E67),SUM(BS!F62,BS!F67))</f>
        <v>0</v>
      </c>
      <c r="G8" s="19">
        <f>G44/AVERAGE(SUM(BS!F62,BS!F67),SUM(BS!G62,BS!G67))</f>
        <v>0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45">
      <c r="B9" t="s">
        <v>157</v>
      </c>
      <c r="D9" s="19" t="e">
        <f>'CFS and Debt Schedule'!D47/AVERAGE('CFS and Debt Schedule'!C46:D46)</f>
        <v>#DIV/0!</v>
      </c>
      <c r="E9" s="19" t="e">
        <f>'CFS and Debt Schedule'!E47/AVERAGE('CFS and Debt Schedule'!D46:E46)</f>
        <v>#DIV/0!</v>
      </c>
      <c r="F9" s="19" t="e">
        <f>'CFS and Debt Schedule'!F47/AVERAGE('CFS and Debt Schedule'!E46:F46)</f>
        <v>#DIV/0!</v>
      </c>
      <c r="G9" s="19" t="e">
        <f>'CFS and Debt Schedule'!G47/AVERAGE('CFS and Debt Schedule'!F46:G46)</f>
        <v>#DIV/0!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75" x14ac:dyDescent="0.5">
      <c r="A10" s="11"/>
      <c r="B10" s="17"/>
    </row>
    <row r="11" spans="1:21" ht="15.75" x14ac:dyDescent="0.5">
      <c r="A11" s="11" t="s">
        <v>60</v>
      </c>
      <c r="B11" s="17"/>
    </row>
    <row r="12" spans="1:21" x14ac:dyDescent="0.45">
      <c r="B12" s="7" t="s">
        <v>61</v>
      </c>
    </row>
    <row r="13" spans="1:21" x14ac:dyDescent="0.45">
      <c r="B13" t="s">
        <v>26</v>
      </c>
      <c r="D13" s="17"/>
      <c r="E13" s="17"/>
      <c r="F13" s="17"/>
      <c r="G13" s="17"/>
    </row>
    <row r="14" spans="1:21" x14ac:dyDescent="0.45">
      <c r="B14" t="s">
        <v>14</v>
      </c>
      <c r="D14" s="17"/>
      <c r="E14" s="17"/>
      <c r="F14" s="17"/>
      <c r="G14" s="17"/>
    </row>
    <row r="15" spans="1:21" x14ac:dyDescent="0.45">
      <c r="B15" t="s">
        <v>160</v>
      </c>
      <c r="D15" s="17"/>
      <c r="E15" s="17"/>
      <c r="F15" s="17"/>
      <c r="G15" s="17"/>
    </row>
    <row r="16" spans="1:21" x14ac:dyDescent="0.45">
      <c r="B16" t="s">
        <v>169</v>
      </c>
      <c r="D16" s="17"/>
      <c r="E16" s="17"/>
      <c r="F16" s="17"/>
      <c r="G16" s="17"/>
      <c r="N16" s="33"/>
    </row>
    <row r="17" spans="2:14" x14ac:dyDescent="0.45">
      <c r="B17" t="s">
        <v>166</v>
      </c>
      <c r="D17" s="14"/>
      <c r="E17" s="14"/>
      <c r="F17" s="14"/>
      <c r="G17" s="14"/>
    </row>
    <row r="18" spans="2:14" x14ac:dyDescent="0.45">
      <c r="B18" t="s">
        <v>167</v>
      </c>
      <c r="D18" s="14"/>
      <c r="E18" s="14"/>
      <c r="F18" s="14"/>
      <c r="G18" s="14"/>
    </row>
    <row r="19" spans="2:14" x14ac:dyDescent="0.45">
      <c r="B19" t="s">
        <v>168</v>
      </c>
      <c r="D19" s="14"/>
      <c r="E19" s="14"/>
      <c r="F19" s="14"/>
      <c r="G19" s="14"/>
    </row>
    <row r="20" spans="2:14" x14ac:dyDescent="0.45">
      <c r="B20" t="s">
        <v>62</v>
      </c>
    </row>
    <row r="21" spans="2:14" x14ac:dyDescent="0.45">
      <c r="B21" s="17"/>
      <c r="D21" s="6"/>
      <c r="E21" s="6"/>
      <c r="F21" s="6"/>
      <c r="G21" s="6"/>
    </row>
    <row r="22" spans="2:14" x14ac:dyDescent="0.45">
      <c r="B22" s="7" t="s">
        <v>63</v>
      </c>
      <c r="D22" s="6"/>
      <c r="E22" s="6"/>
      <c r="F22" s="6"/>
      <c r="G22" s="6"/>
    </row>
    <row r="23" spans="2:14" x14ac:dyDescent="0.45">
      <c r="B23" t="s">
        <v>64</v>
      </c>
      <c r="D23" s="14"/>
      <c r="E23" s="14"/>
      <c r="F23" s="14"/>
      <c r="G23" s="14"/>
    </row>
    <row r="24" spans="2:14" x14ac:dyDescent="0.45">
      <c r="B24" t="s">
        <v>65</v>
      </c>
      <c r="D24" s="14"/>
      <c r="E24" s="14"/>
      <c r="F24" s="14"/>
      <c r="G24" s="14"/>
    </row>
    <row r="25" spans="2:14" x14ac:dyDescent="0.45">
      <c r="B25" t="s">
        <v>171</v>
      </c>
      <c r="D25" s="14"/>
      <c r="E25" s="14"/>
      <c r="F25" s="14"/>
      <c r="G25" s="14"/>
    </row>
    <row r="26" spans="2:14" x14ac:dyDescent="0.45">
      <c r="B26" t="s">
        <v>66</v>
      </c>
      <c r="D26" s="14"/>
      <c r="E26" s="14"/>
      <c r="F26" s="14"/>
      <c r="G26" s="14"/>
      <c r="N26" s="33"/>
    </row>
    <row r="27" spans="2:14" x14ac:dyDescent="0.45">
      <c r="B27" t="s">
        <v>67</v>
      </c>
    </row>
    <row r="28" spans="2:14" x14ac:dyDescent="0.45">
      <c r="B28" s="17"/>
      <c r="D28" s="6"/>
      <c r="E28" s="6"/>
      <c r="F28" s="6"/>
      <c r="G28" s="6"/>
    </row>
    <row r="29" spans="2:14" x14ac:dyDescent="0.45">
      <c r="B29" s="7" t="s">
        <v>68</v>
      </c>
      <c r="D29" s="6"/>
      <c r="E29" s="6"/>
      <c r="F29" s="6"/>
      <c r="G29" s="6"/>
    </row>
    <row r="30" spans="2:14" x14ac:dyDescent="0.45">
      <c r="B30" t="s">
        <v>181</v>
      </c>
      <c r="D30" s="14"/>
      <c r="E30" s="14"/>
      <c r="F30" s="14"/>
      <c r="G30" s="14"/>
    </row>
    <row r="31" spans="2:14" x14ac:dyDescent="0.45">
      <c r="B31" t="s">
        <v>180</v>
      </c>
      <c r="D31" s="14"/>
      <c r="E31" s="14"/>
      <c r="F31" s="14"/>
      <c r="G31" s="14"/>
    </row>
    <row r="32" spans="2:14" x14ac:dyDescent="0.45">
      <c r="B32" t="s">
        <v>69</v>
      </c>
      <c r="D32" s="14"/>
      <c r="E32" s="14"/>
      <c r="F32" s="14"/>
      <c r="G32" s="14"/>
      <c r="N32" s="33"/>
    </row>
    <row r="33" spans="1:11" x14ac:dyDescent="0.45">
      <c r="B33" t="s">
        <v>70</v>
      </c>
      <c r="D33" s="14"/>
      <c r="E33" s="14"/>
      <c r="F33" s="14"/>
      <c r="G33" s="14"/>
    </row>
    <row r="34" spans="1:11" x14ac:dyDescent="0.45">
      <c r="B34" t="s">
        <v>71</v>
      </c>
    </row>
    <row r="35" spans="1:11" x14ac:dyDescent="0.45">
      <c r="B35" s="17"/>
      <c r="D35" s="6"/>
      <c r="E35" s="6"/>
      <c r="F35" s="6"/>
      <c r="G35" s="6"/>
      <c r="H35" s="6"/>
      <c r="I35" s="6"/>
      <c r="J35" s="6"/>
      <c r="K35" s="6"/>
    </row>
    <row r="36" spans="1:11" x14ac:dyDescent="0.45">
      <c r="B36" t="s">
        <v>163</v>
      </c>
      <c r="D36" s="14">
        <v>12127</v>
      </c>
      <c r="E36" s="14">
        <v>-678</v>
      </c>
      <c r="F36" s="14">
        <v>54811</v>
      </c>
      <c r="G36" s="14">
        <v>-28085</v>
      </c>
    </row>
    <row r="37" spans="1:11" x14ac:dyDescent="0.45">
      <c r="D37" s="2"/>
      <c r="E37" s="2"/>
      <c r="F37" s="2"/>
      <c r="G37" s="2"/>
      <c r="H37" s="2"/>
      <c r="I37" s="2"/>
      <c r="J37" s="2"/>
      <c r="K37" s="2"/>
    </row>
    <row r="38" spans="1:11" x14ac:dyDescent="0.45">
      <c r="B38" t="s">
        <v>161</v>
      </c>
    </row>
    <row r="39" spans="1:11" x14ac:dyDescent="0.45">
      <c r="B39" t="s">
        <v>162</v>
      </c>
    </row>
    <row r="40" spans="1:11" ht="13.5" customHeight="1" x14ac:dyDescent="0.45">
      <c r="B40" s="17"/>
    </row>
    <row r="41" spans="1:11" ht="15.75" x14ac:dyDescent="0.45">
      <c r="A41" s="28" t="s">
        <v>177</v>
      </c>
      <c r="B41" s="7"/>
    </row>
    <row r="42" spans="1:11" ht="15.75" x14ac:dyDescent="0.45">
      <c r="A42" s="28"/>
      <c r="B42" t="s">
        <v>179</v>
      </c>
    </row>
    <row r="43" spans="1:11" ht="15.75" x14ac:dyDescent="0.45">
      <c r="A43" s="28"/>
      <c r="B43" t="s">
        <v>178</v>
      </c>
    </row>
    <row r="44" spans="1:11" x14ac:dyDescent="0.45">
      <c r="B44" t="s">
        <v>54</v>
      </c>
    </row>
    <row r="46" spans="1:11" x14ac:dyDescent="0.45">
      <c r="B46" t="s">
        <v>55</v>
      </c>
    </row>
    <row r="47" spans="1:11" x14ac:dyDescent="0.45">
      <c r="B47" t="s">
        <v>56</v>
      </c>
    </row>
    <row r="49" spans="2:3" x14ac:dyDescent="0.45">
      <c r="B49" t="s">
        <v>57</v>
      </c>
    </row>
    <row r="50" spans="2:3" x14ac:dyDescent="0.45">
      <c r="B50" s="17"/>
      <c r="C50" s="2"/>
    </row>
    <row r="53" spans="2:3" x14ac:dyDescent="0.45">
      <c r="B53" s="17"/>
    </row>
    <row r="54" spans="2:3" x14ac:dyDescent="0.45">
      <c r="B54" s="17"/>
    </row>
    <row r="55" spans="2:3" x14ac:dyDescent="0.45">
      <c r="B55" s="17"/>
    </row>
    <row r="56" spans="2:3" x14ac:dyDescent="0.45">
      <c r="B56" s="17"/>
    </row>
    <row r="57" spans="2:3" x14ac:dyDescent="0.45">
      <c r="B57" s="17"/>
    </row>
    <row r="58" spans="2:3" x14ac:dyDescent="0.45">
      <c r="B58" s="17"/>
    </row>
    <row r="59" spans="2:3" x14ac:dyDescent="0.45">
      <c r="B59" s="17"/>
    </row>
    <row r="60" spans="2:3" x14ac:dyDescent="0.45">
      <c r="B60" s="17"/>
    </row>
    <row r="61" spans="2:3" x14ac:dyDescent="0.45">
      <c r="B61" s="17"/>
    </row>
    <row r="62" spans="2:3" x14ac:dyDescent="0.45">
      <c r="B62" s="17"/>
    </row>
    <row r="63" spans="2:3" x14ac:dyDescent="0.45">
      <c r="B63" s="17"/>
    </row>
    <row r="64" spans="2:3" x14ac:dyDescent="0.45">
      <c r="B64" s="17"/>
    </row>
    <row r="65" spans="2:2" x14ac:dyDescent="0.45">
      <c r="B65" s="17"/>
    </row>
    <row r="66" spans="2:2" x14ac:dyDescent="0.45">
      <c r="B66" s="17"/>
    </row>
    <row r="67" spans="2:2" x14ac:dyDescent="0.45">
      <c r="B67" s="17"/>
    </row>
    <row r="68" spans="2:2" x14ac:dyDescent="0.45">
      <c r="B68" s="17"/>
    </row>
    <row r="69" spans="2:2" x14ac:dyDescent="0.45">
      <c r="B69" s="17"/>
    </row>
    <row r="70" spans="2:2" x14ac:dyDescent="0.45">
      <c r="B70" s="17"/>
    </row>
    <row r="71" spans="2:2" x14ac:dyDescent="0.45">
      <c r="B71" s="17"/>
    </row>
    <row r="72" spans="2:2" x14ac:dyDescent="0.45">
      <c r="B72" s="17"/>
    </row>
    <row r="73" spans="2:2" x14ac:dyDescent="0.45">
      <c r="B73" s="17"/>
    </row>
    <row r="74" spans="2:2" x14ac:dyDescent="0.45">
      <c r="B74" s="17"/>
    </row>
    <row r="75" spans="2:2" x14ac:dyDescent="0.45">
      <c r="B75" s="17"/>
    </row>
    <row r="76" spans="2:2" x14ac:dyDescent="0.45">
      <c r="B76" s="17"/>
    </row>
    <row r="77" spans="2:2" x14ac:dyDescent="0.45">
      <c r="B77" s="17"/>
    </row>
    <row r="78" spans="2:2" x14ac:dyDescent="0.45">
      <c r="B78" s="17"/>
    </row>
    <row r="79" spans="2:2" x14ac:dyDescent="0.45">
      <c r="B79" s="17"/>
    </row>
    <row r="80" spans="2:2" x14ac:dyDescent="0.45">
      <c r="B80" s="17"/>
    </row>
    <row r="81" spans="2:2" x14ac:dyDescent="0.45">
      <c r="B81" s="17"/>
    </row>
    <row r="82" spans="2:2" x14ac:dyDescent="0.45">
      <c r="B82" s="17"/>
    </row>
    <row r="83" spans="2:2" x14ac:dyDescent="0.45">
      <c r="B83" s="17"/>
    </row>
    <row r="84" spans="2:2" x14ac:dyDescent="0.45">
      <c r="B84" s="17"/>
    </row>
    <row r="85" spans="2:2" x14ac:dyDescent="0.45">
      <c r="B85" s="17"/>
    </row>
    <row r="86" spans="2:2" x14ac:dyDescent="0.45">
      <c r="B86" s="17"/>
    </row>
    <row r="87" spans="2:2" x14ac:dyDescent="0.45">
      <c r="B87" s="17"/>
    </row>
    <row r="88" spans="2:2" x14ac:dyDescent="0.45">
      <c r="B88" s="17"/>
    </row>
    <row r="89" spans="2:2" x14ac:dyDescent="0.45">
      <c r="B89" s="17"/>
    </row>
    <row r="90" spans="2:2" x14ac:dyDescent="0.45">
      <c r="B90" s="17"/>
    </row>
    <row r="91" spans="2:2" x14ac:dyDescent="0.45">
      <c r="B91" s="17"/>
    </row>
    <row r="92" spans="2:2" x14ac:dyDescent="0.45">
      <c r="B92" s="17"/>
    </row>
    <row r="93" spans="2:2" x14ac:dyDescent="0.45">
      <c r="B93" s="17"/>
    </row>
    <row r="94" spans="2:2" x14ac:dyDescent="0.45">
      <c r="B94" s="17"/>
    </row>
    <row r="95" spans="2:2" x14ac:dyDescent="0.45">
      <c r="B95" s="17"/>
    </row>
    <row r="96" spans="2:2" x14ac:dyDescent="0.45">
      <c r="B96" s="17"/>
    </row>
    <row r="97" spans="2:2" x14ac:dyDescent="0.45">
      <c r="B97" s="17"/>
    </row>
    <row r="98" spans="2:2" x14ac:dyDescent="0.45">
      <c r="B98" s="17"/>
    </row>
    <row r="99" spans="2:2" x14ac:dyDescent="0.45">
      <c r="B99" s="17"/>
    </row>
    <row r="100" spans="2:2" x14ac:dyDescent="0.45">
      <c r="B100" s="17"/>
    </row>
    <row r="101" spans="2:2" x14ac:dyDescent="0.45">
      <c r="B101" s="17"/>
    </row>
    <row r="102" spans="2:2" x14ac:dyDescent="0.45">
      <c r="B102" s="17"/>
    </row>
    <row r="103" spans="2:2" x14ac:dyDescent="0.45">
      <c r="B103" s="17"/>
    </row>
    <row r="104" spans="2:2" x14ac:dyDescent="0.45">
      <c r="B104" s="17"/>
    </row>
    <row r="105" spans="2:2" x14ac:dyDescent="0.45">
      <c r="B105" s="17"/>
    </row>
    <row r="106" spans="2:2" x14ac:dyDescent="0.45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4.25" outlineLevelRow="1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136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7" t="s">
        <v>135</v>
      </c>
    </row>
    <row r="6" spans="1:21" x14ac:dyDescent="0.45">
      <c r="B6" t="s">
        <v>223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45">
      <c r="B7" t="s">
        <v>224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45">
      <c r="B8" t="s">
        <v>79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45">
      <c r="B9" t="s">
        <v>80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45">
      <c r="B10" t="s">
        <v>81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45">
      <c r="B11" t="s">
        <v>82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45">
      <c r="B12" t="s">
        <v>83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45">
      <c r="B13" t="s">
        <v>84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45">
      <c r="B14" t="s">
        <v>85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45">
      <c r="B15" t="s">
        <v>86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45">
      <c r="B16" t="s">
        <v>87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1" x14ac:dyDescent="0.45">
      <c r="B17" t="s">
        <v>50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1" x14ac:dyDescent="0.45">
      <c r="B18" t="s">
        <v>89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1" x14ac:dyDescent="0.45">
      <c r="B19" t="s">
        <v>90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1" x14ac:dyDescent="0.45">
      <c r="B20" t="s">
        <v>91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1" x14ac:dyDescent="0.45">
      <c r="B21" t="s">
        <v>92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1" x14ac:dyDescent="0.45">
      <c r="A24" s="33" t="s">
        <v>138</v>
      </c>
    </row>
    <row r="25" spans="1:11" outlineLevel="1" x14ac:dyDescent="0.45">
      <c r="B25" t="s">
        <v>77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  <c r="H25">
        <f t="shared" ref="H25:H26" si="5">G25*(1+H6)</f>
        <v>71715.81</v>
      </c>
      <c r="I25" t="str">
        <f ca="1">_xlfn.FORMULATEXT(H25)</f>
        <v>=G25*(1+H6)</v>
      </c>
    </row>
    <row r="26" spans="1:11" outlineLevel="1" x14ac:dyDescent="0.45">
      <c r="B26" t="s">
        <v>78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  <c r="H26">
        <f t="shared" si="5"/>
        <v>33946.25</v>
      </c>
      <c r="I26" t="str">
        <f t="shared" ref="I26:I45" ca="1" si="6">_xlfn.FORMULATEXT(H26)</f>
        <v>=G26*(1+H7)</v>
      </c>
    </row>
    <row r="27" spans="1:11" x14ac:dyDescent="0.45">
      <c r="B27" t="s">
        <v>76</v>
      </c>
      <c r="C27">
        <f t="shared" ref="C27:H27" si="7">SUM(C25:C26)</f>
        <v>75137</v>
      </c>
      <c r="D27">
        <f t="shared" si="7"/>
        <v>79672</v>
      </c>
      <c r="E27">
        <f t="shared" si="7"/>
        <v>83856</v>
      </c>
      <c r="F27">
        <f t="shared" si="7"/>
        <v>91261</v>
      </c>
      <c r="G27">
        <f t="shared" si="7"/>
        <v>96784</v>
      </c>
      <c r="H27">
        <f t="shared" si="7"/>
        <v>105662.06</v>
      </c>
      <c r="I27" t="str">
        <f t="shared" ca="1" si="6"/>
        <v>=SUM(H25:H26)</v>
      </c>
    </row>
    <row r="28" spans="1:11" x14ac:dyDescent="0.45">
      <c r="B28" t="s">
        <v>79</v>
      </c>
      <c r="C28" s="6"/>
      <c r="D28" s="6"/>
      <c r="E28" s="14">
        <v>1486</v>
      </c>
      <c r="F28" s="14">
        <v>30246</v>
      </c>
      <c r="G28" s="14">
        <v>80863</v>
      </c>
      <c r="H28">
        <f>G28*(1+H8)</f>
        <v>105930.53</v>
      </c>
      <c r="I28" t="str">
        <f t="shared" ca="1" si="6"/>
        <v>=G28*(1+H8)</v>
      </c>
    </row>
    <row r="29" spans="1:11" x14ac:dyDescent="0.45">
      <c r="B29" t="s">
        <v>80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  <c r="H29">
        <f t="shared" ref="H29:H36" si="8">G29*(1+H9)</f>
        <v>30214.75</v>
      </c>
      <c r="I29" t="str">
        <f t="shared" ca="1" si="6"/>
        <v>=G29*(1+H9)</v>
      </c>
    </row>
    <row r="30" spans="1:11" x14ac:dyDescent="0.45">
      <c r="B30" t="s">
        <v>81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  <c r="H30">
        <f t="shared" si="8"/>
        <v>0</v>
      </c>
      <c r="I30" t="str">
        <f t="shared" ca="1" si="6"/>
        <v>=G30*(1+H10)</v>
      </c>
    </row>
    <row r="31" spans="1:11" x14ac:dyDescent="0.45">
      <c r="B31" t="s">
        <v>82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  <c r="H31">
        <f t="shared" si="8"/>
        <v>15582.410000000002</v>
      </c>
      <c r="I31" t="str">
        <f t="shared" ca="1" si="6"/>
        <v>=G31*(1+H11)</v>
      </c>
    </row>
    <row r="32" spans="1:11" x14ac:dyDescent="0.45">
      <c r="B32" t="s">
        <v>83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  <c r="H32">
        <f t="shared" si="8"/>
        <v>3286.6200000000003</v>
      </c>
      <c r="I32" t="str">
        <f t="shared" ca="1" si="6"/>
        <v>=G32*(1+H12)</v>
      </c>
    </row>
    <row r="33" spans="1:11" x14ac:dyDescent="0.45">
      <c r="B33" t="s">
        <v>84</v>
      </c>
      <c r="C33" s="6"/>
      <c r="D33" s="14">
        <v>172</v>
      </c>
      <c r="E33" s="14">
        <v>4697</v>
      </c>
      <c r="F33" s="14">
        <v>13557</v>
      </c>
      <c r="G33" s="14">
        <v>22022</v>
      </c>
      <c r="H33">
        <f t="shared" si="8"/>
        <v>29069.040000000001</v>
      </c>
      <c r="I33" t="str">
        <f t="shared" ca="1" si="6"/>
        <v>=G33*(1+H13)</v>
      </c>
    </row>
    <row r="34" spans="1:11" x14ac:dyDescent="0.45">
      <c r="B34" t="s">
        <v>85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  <c r="H34">
        <f t="shared" si="8"/>
        <v>0</v>
      </c>
      <c r="I34" t="str">
        <f t="shared" ca="1" si="6"/>
        <v>=G34*(1+H14)</v>
      </c>
    </row>
    <row r="35" spans="1:11" x14ac:dyDescent="0.45">
      <c r="B35" t="s">
        <v>86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  <c r="H35">
        <f t="shared" si="8"/>
        <v>0</v>
      </c>
      <c r="I35" t="str">
        <f t="shared" ca="1" si="6"/>
        <v>=G35*(1+H15)</v>
      </c>
    </row>
    <row r="36" spans="1:11" x14ac:dyDescent="0.45">
      <c r="B36" t="s">
        <v>87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  <c r="H36">
        <f t="shared" si="8"/>
        <v>13931.400000000001</v>
      </c>
      <c r="I36" t="str">
        <f t="shared" ca="1" si="6"/>
        <v>=G36*(1+H16)</v>
      </c>
    </row>
    <row r="37" spans="1:11" x14ac:dyDescent="0.45">
      <c r="B37" t="s">
        <v>88</v>
      </c>
      <c r="C37" s="6"/>
      <c r="D37" s="6"/>
      <c r="E37" s="6"/>
      <c r="F37" s="6"/>
      <c r="G37" s="6"/>
      <c r="H37">
        <f>IF(Pipeline=1,'Pipeline Drug'!I100,0)</f>
        <v>0</v>
      </c>
      <c r="I37" t="str">
        <f t="shared" ca="1" si="6"/>
        <v>=IF(Pipeline=1,'Pipeline Drug'!I100,0)</v>
      </c>
    </row>
    <row r="38" spans="1:11" x14ac:dyDescent="0.45">
      <c r="B38" t="s">
        <v>50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  <c r="H38">
        <f>H17</f>
        <v>3000</v>
      </c>
      <c r="I38" t="str">
        <f t="shared" ca="1" si="6"/>
        <v>=H17</v>
      </c>
    </row>
    <row r="39" spans="1:11" x14ac:dyDescent="0.45">
      <c r="B39" t="s">
        <v>137</v>
      </c>
      <c r="C39">
        <f t="shared" ref="C39:H39" si="9">SUM(C27:C38)</f>
        <v>150485</v>
      </c>
      <c r="D39">
        <f t="shared" si="9"/>
        <v>177263</v>
      </c>
      <c r="E39">
        <f t="shared" si="9"/>
        <v>183166</v>
      </c>
      <c r="F39">
        <f t="shared" si="9"/>
        <v>216782</v>
      </c>
      <c r="G39">
        <f t="shared" si="9"/>
        <v>281010</v>
      </c>
      <c r="H39">
        <f t="shared" si="9"/>
        <v>306676.81</v>
      </c>
      <c r="I39" t="str">
        <f t="shared" ca="1" si="6"/>
        <v>=SUM(H27:H38)</v>
      </c>
    </row>
    <row r="40" spans="1:11" x14ac:dyDescent="0.45">
      <c r="B40" t="s">
        <v>89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  <c r="H40">
        <f t="shared" ref="H40:H41" si="10">G40*(1+H18)</f>
        <v>27998.16</v>
      </c>
      <c r="I40" t="str">
        <f t="shared" ca="1" si="6"/>
        <v>=G40*(1+H18)</v>
      </c>
    </row>
    <row r="41" spans="1:11" x14ac:dyDescent="0.45">
      <c r="B41" t="s">
        <v>90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  <c r="H41">
        <f t="shared" si="10"/>
        <v>565.92000000000007</v>
      </c>
      <c r="I41" t="str">
        <f t="shared" ca="1" si="6"/>
        <v>=G41*(1+H19)</v>
      </c>
    </row>
    <row r="42" spans="1:11" s="33" customFormat="1" x14ac:dyDescent="0.45">
      <c r="B42" t="s">
        <v>75</v>
      </c>
      <c r="C42">
        <f t="shared" ref="C42:H42" si="11">SUM(C39:C41)</f>
        <v>183506</v>
      </c>
      <c r="D42">
        <f t="shared" si="11"/>
        <v>208366</v>
      </c>
      <c r="E42">
        <f t="shared" si="11"/>
        <v>214310</v>
      </c>
      <c r="F42">
        <f t="shared" si="11"/>
        <v>248627</v>
      </c>
      <c r="G42">
        <f t="shared" si="11"/>
        <v>315662</v>
      </c>
      <c r="H42">
        <f t="shared" si="11"/>
        <v>335240.88999999996</v>
      </c>
      <c r="I42" t="str">
        <f t="shared" ca="1" si="6"/>
        <v>=SUM(H39:H41)</v>
      </c>
      <c r="J42"/>
      <c r="K42"/>
    </row>
    <row r="43" spans="1:11" x14ac:dyDescent="0.45">
      <c r="B43" t="s">
        <v>91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  <c r="H43">
        <f t="shared" ref="H43:H44" si="12">G43*(1+H20)</f>
        <v>82062.5</v>
      </c>
      <c r="I43" t="str">
        <f t="shared" ca="1" si="6"/>
        <v>=G43*(1+H20)</v>
      </c>
    </row>
    <row r="44" spans="1:11" x14ac:dyDescent="0.45">
      <c r="B44" t="s">
        <v>92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  <c r="H44">
        <f t="shared" si="12"/>
        <v>0</v>
      </c>
      <c r="I44" t="str">
        <f t="shared" ca="1" si="6"/>
        <v>=G44*(1+H21)</v>
      </c>
    </row>
    <row r="45" spans="1:11" s="33" customFormat="1" x14ac:dyDescent="0.45">
      <c r="A45" t="s">
        <v>74</v>
      </c>
      <c r="B45"/>
      <c r="C45">
        <f t="shared" ref="C45:H45" si="13">SUM(C42:C44)</f>
        <v>246008</v>
      </c>
      <c r="D45">
        <f t="shared" si="13"/>
        <v>265167</v>
      </c>
      <c r="E45">
        <f t="shared" si="13"/>
        <v>275651</v>
      </c>
      <c r="F45">
        <f t="shared" si="13"/>
        <v>303202</v>
      </c>
      <c r="G45">
        <f t="shared" si="13"/>
        <v>381312</v>
      </c>
      <c r="H45">
        <f t="shared" si="13"/>
        <v>417303.38999999996</v>
      </c>
      <c r="I45" t="str">
        <f t="shared" ca="1" si="6"/>
        <v>=SUM(H42:H44)</v>
      </c>
      <c r="J45"/>
      <c r="K4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25" outlineLevelCol="1" x14ac:dyDescent="0.45"/>
  <cols>
    <col min="1" max="1" width="1.73046875" customWidth="1"/>
    <col min="2" max="2" width="55" customWidth="1"/>
    <col min="3" max="5" width="10.73046875" customWidth="1"/>
    <col min="6" max="6" width="10.73046875" hidden="1" customWidth="1" outlineLevel="1"/>
    <col min="7" max="7" width="10.86328125" hidden="1" customWidth="1" outlineLevel="1"/>
    <col min="8" max="8" width="10.73046875" customWidth="1" collapsed="1"/>
    <col min="9" max="19" width="10.73046875" customWidth="1"/>
  </cols>
  <sheetData>
    <row r="1" spans="1:19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45">
      <c r="A2" s="9"/>
      <c r="B2" s="9"/>
      <c r="C2" s="13"/>
      <c r="D2" s="13"/>
      <c r="E2" s="13"/>
      <c r="F2" s="13"/>
      <c r="G2" s="13"/>
      <c r="H2" s="13" t="s">
        <v>216</v>
      </c>
      <c r="I2" s="13" t="s">
        <v>213</v>
      </c>
      <c r="J2" s="13" t="s">
        <v>213</v>
      </c>
      <c r="K2" s="13" t="s">
        <v>213</v>
      </c>
      <c r="L2" s="13" t="s">
        <v>213</v>
      </c>
      <c r="M2" s="13" t="s">
        <v>213</v>
      </c>
      <c r="N2" s="13" t="s">
        <v>213</v>
      </c>
      <c r="O2" s="13" t="s">
        <v>213</v>
      </c>
      <c r="P2" s="13" t="s">
        <v>213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65">
      <c r="A3" s="73" t="s">
        <v>211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75" x14ac:dyDescent="0.5">
      <c r="A5" s="28" t="s">
        <v>129</v>
      </c>
      <c r="B5" s="11"/>
    </row>
    <row r="6" spans="1:19" x14ac:dyDescent="0.45">
      <c r="B6" s="21" t="s">
        <v>128</v>
      </c>
      <c r="C6" s="21" t="s">
        <v>126</v>
      </c>
      <c r="D6" s="21" t="s">
        <v>127</v>
      </c>
      <c r="F6" s="21"/>
      <c r="G6" s="21"/>
    </row>
    <row r="7" spans="1:19" x14ac:dyDescent="0.45">
      <c r="B7" s="17" t="s">
        <v>94</v>
      </c>
      <c r="C7" s="75">
        <f>D7*$C$9</f>
        <v>6.1749999999999998</v>
      </c>
      <c r="D7" s="30">
        <v>0.65</v>
      </c>
      <c r="F7" s="29"/>
      <c r="G7" s="76" t="str">
        <f ca="1">_xlfn.FORMULATEXT(C7)</f>
        <v>=D7*$C$9</v>
      </c>
    </row>
    <row r="8" spans="1:19" x14ac:dyDescent="0.45">
      <c r="B8" s="17" t="s">
        <v>95</v>
      </c>
      <c r="C8" s="75">
        <f>D8*$C$9</f>
        <v>3.3249999999999997</v>
      </c>
      <c r="D8" s="18">
        <f>1-D7</f>
        <v>0.35</v>
      </c>
      <c r="F8" s="29"/>
      <c r="G8" s="76" t="str">
        <f ca="1">_xlfn.FORMULATEXT(C8)</f>
        <v>=D8*$C$9</v>
      </c>
    </row>
    <row r="9" spans="1:19" x14ac:dyDescent="0.45">
      <c r="B9" s="17" t="s">
        <v>96</v>
      </c>
      <c r="C9" s="26">
        <v>9.5</v>
      </c>
      <c r="F9" s="26"/>
    </row>
    <row r="10" spans="1:19" x14ac:dyDescent="0.45">
      <c r="B10" s="17"/>
    </row>
    <row r="11" spans="1:19" x14ac:dyDescent="0.45">
      <c r="B11" s="21" t="s">
        <v>132</v>
      </c>
      <c r="C11" s="21" t="s">
        <v>126</v>
      </c>
      <c r="D11" s="21" t="s">
        <v>127</v>
      </c>
      <c r="E11" s="21" t="s">
        <v>93</v>
      </c>
      <c r="F11" s="21"/>
    </row>
    <row r="12" spans="1:19" x14ac:dyDescent="0.45">
      <c r="B12" s="17" t="s">
        <v>130</v>
      </c>
      <c r="C12" s="74">
        <f>D12*$C$14</f>
        <v>4.234</v>
      </c>
      <c r="D12" s="30">
        <v>0.73</v>
      </c>
      <c r="E12" s="18"/>
      <c r="F12" s="17"/>
      <c r="G12" s="76" t="str">
        <f ca="1">_xlfn.FORMULATEXT(C12)</f>
        <v>=D12*$C$14</v>
      </c>
    </row>
    <row r="13" spans="1:19" x14ac:dyDescent="0.45">
      <c r="B13" s="17" t="s">
        <v>131</v>
      </c>
      <c r="C13" s="74">
        <f>D13*$C$14</f>
        <v>1.5660000000000001</v>
      </c>
      <c r="D13" s="18">
        <f>1-D12</f>
        <v>0.27</v>
      </c>
      <c r="E13" s="18"/>
      <c r="F13" s="17"/>
      <c r="G13" s="76" t="str">
        <f ca="1">_xlfn.FORMULATEXT(C13)</f>
        <v>=D13*$C$14</v>
      </c>
    </row>
    <row r="14" spans="1:19" x14ac:dyDescent="0.45">
      <c r="B14" s="17" t="s">
        <v>96</v>
      </c>
      <c r="C14" s="26">
        <v>5.8</v>
      </c>
      <c r="E14" s="18"/>
      <c r="F14" s="26"/>
      <c r="G14" s="26"/>
    </row>
    <row r="16" spans="1:19" x14ac:dyDescent="0.45">
      <c r="B16" s="17" t="s">
        <v>125</v>
      </c>
      <c r="C16" s="27">
        <v>1.2</v>
      </c>
    </row>
    <row r="17" spans="1:20" ht="15.75" x14ac:dyDescent="0.45">
      <c r="A17" s="28" t="s">
        <v>97</v>
      </c>
    </row>
    <row r="18" spans="1:20" x14ac:dyDescent="0.45">
      <c r="B18" t="s">
        <v>98</v>
      </c>
      <c r="H18" s="17">
        <f>C13/C16*1000</f>
        <v>1305.0000000000002</v>
      </c>
      <c r="I18" s="17">
        <f>H18*(1+I19)</f>
        <v>1389.8250000000003</v>
      </c>
      <c r="J18" s="17">
        <f t="shared" ref="J18:S18" si="1">I18*(1+J19)</f>
        <v>1480.1636250000001</v>
      </c>
      <c r="K18" s="17">
        <f t="shared" si="1"/>
        <v>1576.374260625</v>
      </c>
      <c r="L18" s="17">
        <f t="shared" si="1"/>
        <v>1678.8385875656249</v>
      </c>
      <c r="M18" s="17">
        <f t="shared" si="1"/>
        <v>1787.9630957573904</v>
      </c>
      <c r="N18" s="17">
        <f t="shared" si="1"/>
        <v>1904.1806969816207</v>
      </c>
      <c r="O18" s="17">
        <f t="shared" si="1"/>
        <v>2015.5752677550456</v>
      </c>
      <c r="P18" s="17">
        <f t="shared" si="1"/>
        <v>2121.695305602349</v>
      </c>
      <c r="Q18" s="17">
        <f t="shared" si="1"/>
        <v>2222.2318376583162</v>
      </c>
      <c r="R18" s="17">
        <f t="shared" si="1"/>
        <v>2317.0022477230118</v>
      </c>
      <c r="S18" s="17">
        <f t="shared" si="1"/>
        <v>2405.9330804447791</v>
      </c>
      <c r="T18" s="17" t="str">
        <f ca="1">_xlfn.FORMULATEXT(S18)</f>
        <v>=R18*(1+S19)</v>
      </c>
    </row>
    <row r="19" spans="1:20" x14ac:dyDescent="0.45">
      <c r="B19" t="s">
        <v>99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20" x14ac:dyDescent="0.45">
      <c r="B21" t="s">
        <v>100</v>
      </c>
      <c r="C21" s="30">
        <v>0.9</v>
      </c>
    </row>
    <row r="22" spans="1:20" x14ac:dyDescent="0.45">
      <c r="B22" t="s">
        <v>101</v>
      </c>
      <c r="C22" s="32">
        <f>INDEX(I3:S3,MATCH(C23,I37:S37,0))</f>
        <v>46387</v>
      </c>
      <c r="D22" t="str">
        <f ca="1">_xlfn.FORMULATEXT(C22)</f>
        <v>=INDEX(I3:S3,MATCH(C23,I37:S37,0))</v>
      </c>
    </row>
    <row r="23" spans="1:20" x14ac:dyDescent="0.45">
      <c r="B23" t="s">
        <v>102</v>
      </c>
      <c r="C23" s="15">
        <f>MAX(J37:S37)</f>
        <v>7.4999999999999997E-2</v>
      </c>
      <c r="D23" t="str">
        <f ca="1">_xlfn.FORMULATEXT(C23)</f>
        <v>=MAX(J37:S37)</v>
      </c>
    </row>
    <row r="25" spans="1:20" x14ac:dyDescent="0.45">
      <c r="B25" t="s">
        <v>103</v>
      </c>
      <c r="C25" s="30">
        <v>0.7</v>
      </c>
    </row>
    <row r="26" spans="1:20" x14ac:dyDescent="0.45">
      <c r="B26" t="s">
        <v>104</v>
      </c>
      <c r="C26" s="18">
        <f>1-C25</f>
        <v>0.30000000000000004</v>
      </c>
    </row>
    <row r="27" spans="1:20" x14ac:dyDescent="0.45">
      <c r="B27" t="s">
        <v>105</v>
      </c>
      <c r="C27" s="30">
        <v>0.2</v>
      </c>
    </row>
    <row r="29" spans="1:20" x14ac:dyDescent="0.45">
      <c r="B29" t="s">
        <v>106</v>
      </c>
      <c r="C29" s="30">
        <v>0.8</v>
      </c>
    </row>
    <row r="30" spans="1:20" x14ac:dyDescent="0.45">
      <c r="B30" t="s">
        <v>107</v>
      </c>
      <c r="C30" s="30">
        <v>0.95</v>
      </c>
    </row>
    <row r="31" spans="1:20" x14ac:dyDescent="0.45">
      <c r="B31" t="s">
        <v>108</v>
      </c>
      <c r="C31" s="30">
        <v>0.03</v>
      </c>
    </row>
    <row r="32" spans="1:20" x14ac:dyDescent="0.45">
      <c r="B32" t="s">
        <v>109</v>
      </c>
      <c r="C32" s="22">
        <v>20</v>
      </c>
    </row>
    <row r="33" spans="2:27" x14ac:dyDescent="0.45">
      <c r="B33" t="s">
        <v>214</v>
      </c>
      <c r="C33" s="30">
        <v>0.04</v>
      </c>
    </row>
    <row r="34" spans="2:27" x14ac:dyDescent="0.45">
      <c r="B34" t="s">
        <v>215</v>
      </c>
      <c r="C34" s="30">
        <v>0.2</v>
      </c>
    </row>
    <row r="35" spans="2:27" x14ac:dyDescent="0.45">
      <c r="B35" t="s">
        <v>110</v>
      </c>
      <c r="C35" s="30">
        <v>0.25</v>
      </c>
    </row>
    <row r="37" spans="2:27" x14ac:dyDescent="0.45">
      <c r="B37" t="s">
        <v>111</v>
      </c>
      <c r="J37" s="30">
        <v>0.01</v>
      </c>
      <c r="K37" s="19">
        <f>L37-(L37-$J$37)/COLUMNS($J$37:K37)</f>
        <v>2.3000000000000003E-2</v>
      </c>
      <c r="L37" s="19">
        <f>M37-(M37-$J$37)/COLUMNS($J$37:L37)</f>
        <v>3.6000000000000004E-2</v>
      </c>
      <c r="M37" s="19">
        <f>N37-(N37-$J$37)/COLUMNS($J$37:M37)</f>
        <v>4.9000000000000002E-2</v>
      </c>
      <c r="N37" s="19">
        <f>O37-(O37-$J$37)/COLUMNS($J$37:N37)</f>
        <v>6.2E-2</v>
      </c>
      <c r="O37" s="30">
        <v>7.4999999999999997E-2</v>
      </c>
      <c r="P37" s="19">
        <f>O37*0.9</f>
        <v>6.7500000000000004E-2</v>
      </c>
      <c r="Q37" s="19">
        <f>P37*0.9</f>
        <v>6.0750000000000005E-2</v>
      </c>
      <c r="R37" s="19">
        <f>Q37*0.9</f>
        <v>5.4675000000000008E-2</v>
      </c>
      <c r="S37" s="19">
        <f>R37*0.9</f>
        <v>4.9207500000000008E-2</v>
      </c>
      <c r="T37" t="str">
        <f ca="1">_xlfn.FORMULATEXT(S37)</f>
        <v>=R37*0.9</v>
      </c>
    </row>
    <row r="38" spans="2:27" x14ac:dyDescent="0.45">
      <c r="B38" t="s">
        <v>217</v>
      </c>
      <c r="J38">
        <f>J37*J18*1000</f>
        <v>14801.636250000001</v>
      </c>
      <c r="K38">
        <f t="shared" ref="K38:S38" si="2">K37*K18*1000</f>
        <v>36256.607994375001</v>
      </c>
      <c r="L38">
        <f t="shared" si="2"/>
        <v>60438.189152362502</v>
      </c>
      <c r="M38">
        <f t="shared" si="2"/>
        <v>87610.191692112145</v>
      </c>
      <c r="N38">
        <f t="shared" si="2"/>
        <v>118059.20321286048</v>
      </c>
      <c r="O38">
        <f t="shared" si="2"/>
        <v>151168.14508162841</v>
      </c>
      <c r="P38">
        <f t="shared" si="2"/>
        <v>143214.43312815856</v>
      </c>
      <c r="Q38">
        <f t="shared" si="2"/>
        <v>135000.58413774273</v>
      </c>
      <c r="R38">
        <f t="shared" si="2"/>
        <v>126682.0978942557</v>
      </c>
      <c r="S38">
        <f t="shared" si="2"/>
        <v>118389.95205598649</v>
      </c>
      <c r="T38" t="str">
        <f t="shared" ref="T38:T40" ca="1" si="3">_xlfn.FORMULATEXT(S38)</f>
        <v>=S37*S18*1000</v>
      </c>
    </row>
    <row r="39" spans="2:27" x14ac:dyDescent="0.45">
      <c r="B39" s="3" t="s">
        <v>112</v>
      </c>
      <c r="J39">
        <f>J38*$C$25</f>
        <v>10361.145375</v>
      </c>
      <c r="K39">
        <f t="shared" ref="K39:S39" si="4">K38*$C$25</f>
        <v>25379.625596062499</v>
      </c>
      <c r="L39">
        <f t="shared" si="4"/>
        <v>42306.732406653748</v>
      </c>
      <c r="M39">
        <f t="shared" si="4"/>
        <v>61327.134184478498</v>
      </c>
      <c r="N39">
        <f t="shared" si="4"/>
        <v>82641.442249002328</v>
      </c>
      <c r="O39">
        <f t="shared" si="4"/>
        <v>105817.70155713988</v>
      </c>
      <c r="P39">
        <f t="shared" si="4"/>
        <v>100250.10318971099</v>
      </c>
      <c r="Q39">
        <f t="shared" si="4"/>
        <v>94500.408896419904</v>
      </c>
      <c r="R39">
        <f t="shared" si="4"/>
        <v>88677.468525978984</v>
      </c>
      <c r="S39">
        <f t="shared" si="4"/>
        <v>82872.966439190539</v>
      </c>
      <c r="T39" t="str">
        <f t="shared" ca="1" si="3"/>
        <v>=S38*$C$25</v>
      </c>
    </row>
    <row r="40" spans="2:27" x14ac:dyDescent="0.45">
      <c r="B40" s="3" t="s">
        <v>113</v>
      </c>
      <c r="J40">
        <f>J38-J39</f>
        <v>4440.4908750000013</v>
      </c>
      <c r="K40">
        <f t="shared" ref="K40:S40" si="5">K38-K39</f>
        <v>10876.982398312502</v>
      </c>
      <c r="L40">
        <f t="shared" si="5"/>
        <v>18131.456745708754</v>
      </c>
      <c r="M40">
        <f t="shared" si="5"/>
        <v>26283.057507633646</v>
      </c>
      <c r="N40">
        <f t="shared" si="5"/>
        <v>35417.760963858149</v>
      </c>
      <c r="O40">
        <f t="shared" si="5"/>
        <v>45350.443524488524</v>
      </c>
      <c r="P40">
        <f t="shared" si="5"/>
        <v>42964.329938447569</v>
      </c>
      <c r="Q40">
        <f t="shared" si="5"/>
        <v>40500.175241322824</v>
      </c>
      <c r="R40">
        <f t="shared" si="5"/>
        <v>38004.629368276714</v>
      </c>
      <c r="S40">
        <f t="shared" si="5"/>
        <v>35516.985616795952</v>
      </c>
      <c r="T40" t="str">
        <f t="shared" ca="1" si="3"/>
        <v>=S38-S39</v>
      </c>
    </row>
    <row r="42" spans="2:27" x14ac:dyDescent="0.45">
      <c r="B42" t="s">
        <v>114</v>
      </c>
    </row>
    <row r="43" spans="2:27" x14ac:dyDescent="0.45">
      <c r="B43" t="s">
        <v>115</v>
      </c>
      <c r="J43">
        <f>J39</f>
        <v>10361.145375</v>
      </c>
      <c r="K43">
        <f t="shared" ref="K43:S43" si="6">K39</f>
        <v>25379.625596062499</v>
      </c>
      <c r="L43">
        <f t="shared" si="6"/>
        <v>42306.732406653748</v>
      </c>
      <c r="M43">
        <f t="shared" si="6"/>
        <v>61327.134184478498</v>
      </c>
      <c r="N43">
        <f t="shared" si="6"/>
        <v>82641.442249002328</v>
      </c>
      <c r="O43">
        <f t="shared" si="6"/>
        <v>105817.70155713988</v>
      </c>
      <c r="P43">
        <f t="shared" si="6"/>
        <v>100250.10318971099</v>
      </c>
      <c r="Q43">
        <f t="shared" si="6"/>
        <v>94500.408896419904</v>
      </c>
      <c r="R43">
        <f t="shared" si="6"/>
        <v>88677.468525978984</v>
      </c>
      <c r="S43">
        <f t="shared" si="6"/>
        <v>82872.966439190539</v>
      </c>
      <c r="T43" t="str">
        <f t="shared" ref="T43:T45" ca="1" si="7">_xlfn.FORMULATEXT(S43)</f>
        <v>=S39</v>
      </c>
    </row>
    <row r="44" spans="2:27" x14ac:dyDescent="0.45">
      <c r="B44" t="s">
        <v>116</v>
      </c>
      <c r="J44">
        <f>J40*$C$27</f>
        <v>888.09817500000031</v>
      </c>
      <c r="K44">
        <f t="shared" ref="K44:S44" si="8">K40*$C$27</f>
        <v>2175.3964796625005</v>
      </c>
      <c r="L44">
        <f t="shared" si="8"/>
        <v>3626.2913491417512</v>
      </c>
      <c r="M44">
        <f t="shared" si="8"/>
        <v>5256.6115015267296</v>
      </c>
      <c r="N44">
        <f t="shared" si="8"/>
        <v>7083.55219277163</v>
      </c>
      <c r="O44">
        <f t="shared" si="8"/>
        <v>9070.0887048977056</v>
      </c>
      <c r="P44">
        <f t="shared" si="8"/>
        <v>8592.8659876895144</v>
      </c>
      <c r="Q44">
        <f t="shared" si="8"/>
        <v>8100.0350482645654</v>
      </c>
      <c r="R44">
        <f t="shared" si="8"/>
        <v>7600.9258736553429</v>
      </c>
      <c r="S44">
        <f t="shared" si="8"/>
        <v>7103.397123359191</v>
      </c>
      <c r="T44" t="str">
        <f t="shared" ca="1" si="7"/>
        <v>=S40*$C$27</v>
      </c>
    </row>
    <row r="45" spans="2:27" x14ac:dyDescent="0.45">
      <c r="B45" s="78" t="s">
        <v>5</v>
      </c>
      <c r="J45">
        <f>SUM(J43:J44)</f>
        <v>11249.243550000001</v>
      </c>
      <c r="K45">
        <f t="shared" ref="K45:S45" si="9">SUM(K43:K44)</f>
        <v>27555.022075724999</v>
      </c>
      <c r="L45">
        <f t="shared" si="9"/>
        <v>45933.023755795497</v>
      </c>
      <c r="M45">
        <f t="shared" si="9"/>
        <v>66583.745686005233</v>
      </c>
      <c r="N45">
        <f t="shared" si="9"/>
        <v>89724.994441773961</v>
      </c>
      <c r="O45">
        <f t="shared" si="9"/>
        <v>114887.79026203758</v>
      </c>
      <c r="P45">
        <f t="shared" si="9"/>
        <v>108842.9691774005</v>
      </c>
      <c r="Q45">
        <f t="shared" si="9"/>
        <v>102600.44394468446</v>
      </c>
      <c r="R45">
        <f t="shared" si="9"/>
        <v>96278.39439963433</v>
      </c>
      <c r="S45">
        <f t="shared" si="9"/>
        <v>89976.363562549726</v>
      </c>
      <c r="T45" t="str">
        <f t="shared" ca="1" si="7"/>
        <v>=SUM(S43:S44)</v>
      </c>
    </row>
    <row r="47" spans="2:27" x14ac:dyDescent="0.45">
      <c r="B47" t="s">
        <v>7</v>
      </c>
      <c r="J47">
        <f>$C$29*J43+$C$30*J44-IF(J3&gt;$C$22,$C$31*(YEAR(J3)-YEAR($C$22))*J45)</f>
        <v>9132.6095662500011</v>
      </c>
      <c r="K47">
        <f t="shared" ref="K47:S47" si="10">$C$29*K43+$C$30*K44-IF(K3&gt;$C$22,$C$31*(YEAR(K3)-YEAR($C$22))*K45)</f>
        <v>22370.327132529375</v>
      </c>
      <c r="L47">
        <f t="shared" si="10"/>
        <v>37290.362707007662</v>
      </c>
      <c r="M47">
        <f t="shared" si="10"/>
        <v>54055.488274033196</v>
      </c>
      <c r="N47">
        <f t="shared" si="10"/>
        <v>72842.528382334916</v>
      </c>
      <c r="O47">
        <f t="shared" si="10"/>
        <v>93270.745515364717</v>
      </c>
      <c r="P47">
        <f t="shared" si="10"/>
        <v>85098.016164751825</v>
      </c>
      <c r="Q47">
        <f t="shared" si="10"/>
        <v>77139.333776306186</v>
      </c>
      <c r="R47">
        <f t="shared" si="10"/>
        <v>69497.79890478868</v>
      </c>
      <c r="S47">
        <f t="shared" si="10"/>
        <v>62249.436791037711</v>
      </c>
      <c r="T47" t="str">
        <f t="shared" ref="T47:T48" ca="1" si="11">_xlfn.FORMULATEXT(S47)</f>
        <v>=$C$29*S43+$C$30*S44-IF(S3&gt;$C$22,$C$31*(YEAR(S3)-YEAR($C$22))*S45)</v>
      </c>
      <c r="AA47" s="33"/>
    </row>
    <row r="48" spans="2:27" x14ac:dyDescent="0.45">
      <c r="B48" t="s">
        <v>8</v>
      </c>
      <c r="J48" s="19">
        <f>J47/J45</f>
        <v>0.81184210526315792</v>
      </c>
      <c r="K48" s="19">
        <f t="shared" ref="K48:S48" si="12">K47/K45</f>
        <v>0.81184210526315792</v>
      </c>
      <c r="L48" s="19">
        <f t="shared" si="12"/>
        <v>0.81184210526315792</v>
      </c>
      <c r="M48" s="19">
        <f t="shared" si="12"/>
        <v>0.81184210526315792</v>
      </c>
      <c r="N48" s="19">
        <f t="shared" si="12"/>
        <v>0.81184210526315792</v>
      </c>
      <c r="O48" s="19">
        <f t="shared" si="12"/>
        <v>0.81184210526315781</v>
      </c>
      <c r="P48" s="19">
        <f t="shared" si="12"/>
        <v>0.781842105263158</v>
      </c>
      <c r="Q48" s="19">
        <f t="shared" si="12"/>
        <v>0.75184210526315787</v>
      </c>
      <c r="R48" s="19">
        <f t="shared" si="12"/>
        <v>0.72184210526315795</v>
      </c>
      <c r="S48" s="19">
        <f t="shared" si="12"/>
        <v>0.69184210526315815</v>
      </c>
      <c r="T48" t="str">
        <f t="shared" ca="1" si="11"/>
        <v>=S47/S45</v>
      </c>
    </row>
    <row r="50" spans="1:20" x14ac:dyDescent="0.45">
      <c r="B50" t="s">
        <v>117</v>
      </c>
      <c r="J50">
        <f>-C32*1000</f>
        <v>-20000</v>
      </c>
      <c r="K50">
        <f>J50*IF(K3&gt;$C$22,(1-$C$34),(1+$C$33))</f>
        <v>-20800</v>
      </c>
      <c r="L50">
        <f t="shared" ref="L50:S50" si="13">K50*IF(L3&gt;$C$22,(1-$C$34),(1+$C$33))</f>
        <v>-21632</v>
      </c>
      <c r="M50">
        <f t="shared" si="13"/>
        <v>-22497.280000000002</v>
      </c>
      <c r="N50">
        <f t="shared" si="13"/>
        <v>-23397.171200000004</v>
      </c>
      <c r="O50">
        <f t="shared" si="13"/>
        <v>-24333.058048000006</v>
      </c>
      <c r="P50">
        <f t="shared" si="13"/>
        <v>-19466.446438400006</v>
      </c>
      <c r="Q50">
        <f t="shared" si="13"/>
        <v>-15573.157150720006</v>
      </c>
      <c r="R50">
        <f t="shared" si="13"/>
        <v>-12458.525720576006</v>
      </c>
      <c r="S50">
        <f t="shared" si="13"/>
        <v>-9966.8205764608065</v>
      </c>
      <c r="T50" t="str">
        <f t="shared" ref="T50:T51" ca="1" si="14">_xlfn.FORMULATEXT(S50)</f>
        <v>=R50*IF(S3&gt;$C$22,(1-$C$34),(1+$C$33))</v>
      </c>
    </row>
    <row r="51" spans="1:20" x14ac:dyDescent="0.45">
      <c r="B51" t="s">
        <v>118</v>
      </c>
      <c r="J51">
        <f>-$C$35*J43</f>
        <v>-2590.28634375</v>
      </c>
      <c r="K51">
        <f t="shared" ref="K51:S51" si="15">-$C$35*K43</f>
        <v>-6344.9063990156246</v>
      </c>
      <c r="L51">
        <f t="shared" si="15"/>
        <v>-10576.683101663437</v>
      </c>
      <c r="M51">
        <f t="shared" si="15"/>
        <v>-15331.783546119625</v>
      </c>
      <c r="N51">
        <f t="shared" si="15"/>
        <v>-20660.360562250582</v>
      </c>
      <c r="O51">
        <f t="shared" si="15"/>
        <v>-26454.42538928497</v>
      </c>
      <c r="P51">
        <f t="shared" si="15"/>
        <v>-25062.525797427748</v>
      </c>
      <c r="Q51">
        <f t="shared" si="15"/>
        <v>-23625.102224104976</v>
      </c>
      <c r="R51">
        <f t="shared" si="15"/>
        <v>-22169.367131494746</v>
      </c>
      <c r="S51">
        <f t="shared" si="15"/>
        <v>-20718.241609797635</v>
      </c>
      <c r="T51" t="str">
        <f t="shared" ca="1" si="14"/>
        <v>=-$C$35*S43</v>
      </c>
    </row>
    <row r="53" spans="1:20" x14ac:dyDescent="0.45">
      <c r="B53" s="78" t="s">
        <v>15</v>
      </c>
      <c r="J53">
        <f>J47+J50+J51</f>
        <v>-13457.676777499999</v>
      </c>
      <c r="K53">
        <f t="shared" ref="K53:S53" si="16">K47+K50+K51</f>
        <v>-4774.5792664862493</v>
      </c>
      <c r="L53">
        <f t="shared" si="16"/>
        <v>5081.6796053442249</v>
      </c>
      <c r="M53">
        <f t="shared" si="16"/>
        <v>16226.424727913569</v>
      </c>
      <c r="N53">
        <f t="shared" si="16"/>
        <v>28784.99662008433</v>
      </c>
      <c r="O53">
        <f t="shared" si="16"/>
        <v>42483.262078079744</v>
      </c>
      <c r="P53">
        <f t="shared" si="16"/>
        <v>40569.043928924075</v>
      </c>
      <c r="Q53">
        <f t="shared" si="16"/>
        <v>37941.074401481208</v>
      </c>
      <c r="R53">
        <f t="shared" si="16"/>
        <v>34869.906052717924</v>
      </c>
      <c r="S53">
        <f t="shared" si="16"/>
        <v>31564.37460477927</v>
      </c>
      <c r="T53" t="str">
        <f t="shared" ref="T53:T54" ca="1" si="17">_xlfn.FORMULATEXT(S53)</f>
        <v>=S47+S50+S51</v>
      </c>
    </row>
    <row r="54" spans="1:20" x14ac:dyDescent="0.45">
      <c r="B54" t="s">
        <v>16</v>
      </c>
      <c r="J54" s="19">
        <f>J53/J45</f>
        <v>-1.1963183762253951</v>
      </c>
      <c r="K54" s="19">
        <f t="shared" ref="K54:S54" si="18">K53/K45</f>
        <v>-0.17327437638645496</v>
      </c>
      <c r="L54" s="19">
        <f t="shared" si="18"/>
        <v>0.11063237709673</v>
      </c>
      <c r="M54" s="19">
        <f t="shared" si="18"/>
        <v>0.24369948792658697</v>
      </c>
      <c r="N54" s="19">
        <f t="shared" si="18"/>
        <v>0.32081357930608773</v>
      </c>
      <c r="O54" s="19">
        <f t="shared" si="18"/>
        <v>0.36978047868431763</v>
      </c>
      <c r="P54" s="19">
        <f t="shared" si="18"/>
        <v>0.37273003700222085</v>
      </c>
      <c r="Q54" s="19">
        <f t="shared" si="18"/>
        <v>0.36979444671737077</v>
      </c>
      <c r="R54" s="19">
        <f t="shared" si="18"/>
        <v>0.36217789328703598</v>
      </c>
      <c r="S54" s="19">
        <f t="shared" si="18"/>
        <v>0.35080740491180623</v>
      </c>
      <c r="T54" t="str">
        <f t="shared" ca="1" si="17"/>
        <v>=S53/S45</v>
      </c>
    </row>
    <row r="56" spans="1:20" ht="15.75" x14ac:dyDescent="0.45">
      <c r="A56" s="28" t="s">
        <v>94</v>
      </c>
    </row>
    <row r="57" spans="1:20" x14ac:dyDescent="0.45">
      <c r="B57" t="s">
        <v>98</v>
      </c>
      <c r="H57">
        <f>C12/C16*1000</f>
        <v>3528.3333333333335</v>
      </c>
      <c r="I57">
        <f>H57*(1+I58)</f>
        <v>4057.583333333333</v>
      </c>
      <c r="J57">
        <f t="shared" ref="J57:S57" si="19">I57*(1+J58)</f>
        <v>4666.2208333333328</v>
      </c>
      <c r="K57">
        <f t="shared" si="19"/>
        <v>5366.1539583333324</v>
      </c>
      <c r="L57">
        <f t="shared" si="19"/>
        <v>6171.0770520833321</v>
      </c>
      <c r="M57">
        <f t="shared" si="19"/>
        <v>7096.7386098958314</v>
      </c>
      <c r="N57">
        <f t="shared" si="19"/>
        <v>8161.2494013802052</v>
      </c>
      <c r="O57">
        <f t="shared" si="19"/>
        <v>9263.0180705665334</v>
      </c>
      <c r="P57">
        <f t="shared" si="19"/>
        <v>10388.474766140367</v>
      </c>
      <c r="Q57">
        <f t="shared" si="19"/>
        <v>11524.454481817816</v>
      </c>
      <c r="R57">
        <f t="shared" si="19"/>
        <v>12658.633669645917</v>
      </c>
      <c r="S57">
        <f t="shared" si="19"/>
        <v>13779.853158984301</v>
      </c>
    </row>
    <row r="58" spans="1:20" x14ac:dyDescent="0.45">
      <c r="B58" t="s">
        <v>99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20" x14ac:dyDescent="0.45">
      <c r="B60" t="s">
        <v>100</v>
      </c>
      <c r="C60" s="30">
        <v>0.9</v>
      </c>
    </row>
    <row r="61" spans="1:20" x14ac:dyDescent="0.45">
      <c r="B61" t="str">
        <f>"Peak market share (" &amp; YEAR(INDEX(I3:S3,MATCH(MAX(I72:S72),I72:S72,0))) &amp; ")"</f>
        <v>Peak market share (2027)</v>
      </c>
      <c r="C61" s="32">
        <f>INDEX(I3:S3,MATCH(MAX(K72:S72),I72:S72,0))</f>
        <v>46752</v>
      </c>
      <c r="D61" t="str">
        <f t="shared" ref="D61" ca="1" si="20">_xlfn.FORMULATEXT(C61)</f>
        <v>=INDEX(I3:S3,MATCH(MAX(K72:S72),I72:S72,0))</v>
      </c>
    </row>
    <row r="63" spans="1:20" x14ac:dyDescent="0.45">
      <c r="B63" t="s">
        <v>103</v>
      </c>
      <c r="C63" s="30">
        <v>0</v>
      </c>
    </row>
    <row r="64" spans="1:20" x14ac:dyDescent="0.45">
      <c r="B64" t="s">
        <v>105</v>
      </c>
      <c r="C64" s="30">
        <v>0.3</v>
      </c>
    </row>
    <row r="66" spans="2:20" x14ac:dyDescent="0.45">
      <c r="B66" t="s">
        <v>106</v>
      </c>
      <c r="C66" s="30">
        <v>0.85</v>
      </c>
    </row>
    <row r="67" spans="2:20" x14ac:dyDescent="0.45">
      <c r="B67" t="s">
        <v>107</v>
      </c>
      <c r="C67" s="30">
        <v>0.95</v>
      </c>
    </row>
    <row r="68" spans="2:20" x14ac:dyDescent="0.45">
      <c r="B68" t="s">
        <v>214</v>
      </c>
      <c r="C68" s="23">
        <v>0.03</v>
      </c>
    </row>
    <row r="69" spans="2:20" x14ac:dyDescent="0.45">
      <c r="B69" t="s">
        <v>109</v>
      </c>
      <c r="C69" s="22">
        <v>0</v>
      </c>
    </row>
    <row r="70" spans="2:20" x14ac:dyDescent="0.45">
      <c r="B70" t="s">
        <v>110</v>
      </c>
      <c r="C70" s="23">
        <v>0.25</v>
      </c>
    </row>
    <row r="72" spans="2:20" x14ac:dyDescent="0.45">
      <c r="B72" t="s">
        <v>111</v>
      </c>
      <c r="K72" s="25">
        <v>4.0000000000000001E-3</v>
      </c>
      <c r="L72" s="19">
        <f>M72-(M72-$K$72)/COLUMNS($K$72:L72)</f>
        <v>8.2000000000000007E-3</v>
      </c>
      <c r="M72" s="19">
        <f>N72-(N72-$K$72)/COLUMNS($K$72:M72)</f>
        <v>1.2400000000000001E-2</v>
      </c>
      <c r="N72" s="19">
        <f>O72-(O72-$K$72)/COLUMNS($K$72:N72)</f>
        <v>1.66E-2</v>
      </c>
      <c r="O72" s="19">
        <f>P72-(P72-$K$72)/COLUMNS($K$72:O72)</f>
        <v>2.0799999999999999E-2</v>
      </c>
      <c r="P72" s="23">
        <v>2.5000000000000001E-2</v>
      </c>
      <c r="Q72" s="19">
        <f>P72*0.9</f>
        <v>2.2500000000000003E-2</v>
      </c>
      <c r="R72" s="19">
        <f>Q72*0.9</f>
        <v>2.0250000000000004E-2</v>
      </c>
      <c r="S72" s="19">
        <f>R72*0.9</f>
        <v>1.8225000000000005E-2</v>
      </c>
      <c r="T72" t="str">
        <f t="shared" ref="T72:T75" ca="1" si="21">_xlfn.FORMULATEXT(S72)</f>
        <v>=R72*0.9</v>
      </c>
    </row>
    <row r="73" spans="2:20" x14ac:dyDescent="0.45">
      <c r="B73" t="s">
        <v>217</v>
      </c>
      <c r="K73">
        <f>K57*K72*1000</f>
        <v>21464.61583333333</v>
      </c>
      <c r="L73">
        <f t="shared" ref="L73:S73" si="22">L57*L72*1000</f>
        <v>50602.831827083326</v>
      </c>
      <c r="M73">
        <f t="shared" si="22"/>
        <v>87999.558762708315</v>
      </c>
      <c r="N73">
        <f t="shared" si="22"/>
        <v>135476.74006291141</v>
      </c>
      <c r="O73">
        <f t="shared" si="22"/>
        <v>192670.77586778387</v>
      </c>
      <c r="P73">
        <f t="shared" si="22"/>
        <v>259711.86915350921</v>
      </c>
      <c r="Q73">
        <f t="shared" si="22"/>
        <v>259300.22584090091</v>
      </c>
      <c r="R73">
        <f t="shared" si="22"/>
        <v>256337.3318103299</v>
      </c>
      <c r="S73">
        <f t="shared" si="22"/>
        <v>251137.82382248895</v>
      </c>
      <c r="T73" t="str">
        <f t="shared" ca="1" si="21"/>
        <v>=S57*S72*1000</v>
      </c>
    </row>
    <row r="74" spans="2:20" x14ac:dyDescent="0.45">
      <c r="B74" s="3" t="s">
        <v>112</v>
      </c>
      <c r="K74">
        <f>K73*$C$63</f>
        <v>0</v>
      </c>
      <c r="L74">
        <f t="shared" ref="L74:S74" si="23">L73*$C$63</f>
        <v>0</v>
      </c>
      <c r="M74">
        <f t="shared" si="23"/>
        <v>0</v>
      </c>
      <c r="N74">
        <f t="shared" si="23"/>
        <v>0</v>
      </c>
      <c r="O74">
        <f t="shared" si="23"/>
        <v>0</v>
      </c>
      <c r="P74">
        <f t="shared" si="23"/>
        <v>0</v>
      </c>
      <c r="Q74">
        <f t="shared" si="23"/>
        <v>0</v>
      </c>
      <c r="R74">
        <f t="shared" si="23"/>
        <v>0</v>
      </c>
      <c r="S74">
        <f t="shared" si="23"/>
        <v>0</v>
      </c>
      <c r="T74" t="str">
        <f t="shared" ca="1" si="21"/>
        <v>=S73*$C$63</v>
      </c>
    </row>
    <row r="75" spans="2:20" x14ac:dyDescent="0.45">
      <c r="B75" s="3" t="s">
        <v>113</v>
      </c>
      <c r="K75">
        <f>K73-K74</f>
        <v>21464.61583333333</v>
      </c>
      <c r="L75">
        <f t="shared" ref="L75:S75" si="24">L73-L74</f>
        <v>50602.831827083326</v>
      </c>
      <c r="M75">
        <f t="shared" si="24"/>
        <v>87999.558762708315</v>
      </c>
      <c r="N75">
        <f t="shared" si="24"/>
        <v>135476.74006291141</v>
      </c>
      <c r="O75">
        <f t="shared" si="24"/>
        <v>192670.77586778387</v>
      </c>
      <c r="P75">
        <f t="shared" si="24"/>
        <v>259711.86915350921</v>
      </c>
      <c r="Q75">
        <f t="shared" si="24"/>
        <v>259300.22584090091</v>
      </c>
      <c r="R75">
        <f t="shared" si="24"/>
        <v>256337.3318103299</v>
      </c>
      <c r="S75">
        <f t="shared" si="24"/>
        <v>251137.82382248895</v>
      </c>
      <c r="T75" t="str">
        <f t="shared" ca="1" si="21"/>
        <v>=S73-S74</v>
      </c>
    </row>
    <row r="77" spans="2:20" x14ac:dyDescent="0.45">
      <c r="B77" t="s">
        <v>114</v>
      </c>
    </row>
    <row r="78" spans="2:20" x14ac:dyDescent="0.45">
      <c r="B78" t="s">
        <v>115</v>
      </c>
      <c r="K78">
        <f>K74</f>
        <v>0</v>
      </c>
      <c r="L78">
        <f t="shared" ref="L78:S78" si="25">L74</f>
        <v>0</v>
      </c>
      <c r="M78">
        <f t="shared" si="25"/>
        <v>0</v>
      </c>
      <c r="N78">
        <f t="shared" si="25"/>
        <v>0</v>
      </c>
      <c r="O78">
        <f t="shared" si="25"/>
        <v>0</v>
      </c>
      <c r="P78">
        <f t="shared" si="25"/>
        <v>0</v>
      </c>
      <c r="Q78">
        <f t="shared" si="25"/>
        <v>0</v>
      </c>
      <c r="R78">
        <f t="shared" si="25"/>
        <v>0</v>
      </c>
      <c r="S78">
        <f t="shared" si="25"/>
        <v>0</v>
      </c>
      <c r="T78" t="str">
        <f t="shared" ref="T78:T80" ca="1" si="26">_xlfn.FORMULATEXT(S78)</f>
        <v>=S74</v>
      </c>
    </row>
    <row r="79" spans="2:20" x14ac:dyDescent="0.45">
      <c r="B79" t="s">
        <v>116</v>
      </c>
      <c r="K79">
        <f>K75*$C$64</f>
        <v>6439.3847499999983</v>
      </c>
      <c r="L79">
        <f t="shared" ref="L79:S79" si="27">L75*$C$64</f>
        <v>15180.849548124997</v>
      </c>
      <c r="M79">
        <f t="shared" si="27"/>
        <v>26399.867628812495</v>
      </c>
      <c r="N79">
        <f t="shared" si="27"/>
        <v>40643.022018873424</v>
      </c>
      <c r="O79">
        <f t="shared" si="27"/>
        <v>57801.232760335159</v>
      </c>
      <c r="P79">
        <f t="shared" si="27"/>
        <v>77913.560746052754</v>
      </c>
      <c r="Q79">
        <f t="shared" si="27"/>
        <v>77790.067752270275</v>
      </c>
      <c r="R79">
        <f t="shared" si="27"/>
        <v>76901.199543098963</v>
      </c>
      <c r="S79">
        <f t="shared" si="27"/>
        <v>75341.347146746688</v>
      </c>
      <c r="T79" t="str">
        <f t="shared" ca="1" si="26"/>
        <v>=S75*$C$64</v>
      </c>
    </row>
    <row r="80" spans="2:20" x14ac:dyDescent="0.45">
      <c r="B80" s="78" t="s">
        <v>5</v>
      </c>
      <c r="K80">
        <f>SUM(K78:K79)</f>
        <v>6439.3847499999983</v>
      </c>
      <c r="L80">
        <f t="shared" ref="L80:S80" si="28">SUM(L78:L79)</f>
        <v>15180.849548124997</v>
      </c>
      <c r="M80">
        <f t="shared" si="28"/>
        <v>26399.867628812495</v>
      </c>
      <c r="N80">
        <f t="shared" si="28"/>
        <v>40643.022018873424</v>
      </c>
      <c r="O80">
        <f t="shared" si="28"/>
        <v>57801.232760335159</v>
      </c>
      <c r="P80">
        <f t="shared" si="28"/>
        <v>77913.560746052754</v>
      </c>
      <c r="Q80">
        <f t="shared" si="28"/>
        <v>77790.067752270275</v>
      </c>
      <c r="R80">
        <f t="shared" si="28"/>
        <v>76901.199543098963</v>
      </c>
      <c r="S80">
        <f t="shared" si="28"/>
        <v>75341.347146746688</v>
      </c>
      <c r="T80" t="str">
        <f t="shared" ca="1" si="26"/>
        <v>=SUM(S78:S79)</v>
      </c>
    </row>
    <row r="82" spans="1:20" x14ac:dyDescent="0.45">
      <c r="B82" t="s">
        <v>7</v>
      </c>
      <c r="K82">
        <f>$C$66*K78+$C$67*K79</f>
        <v>6117.4155124999979</v>
      </c>
      <c r="L82">
        <f t="shared" ref="L82:S82" si="29">$C$66*L78+$C$67*L79</f>
        <v>14421.807070718747</v>
      </c>
      <c r="M82">
        <f t="shared" si="29"/>
        <v>25079.87424737187</v>
      </c>
      <c r="N82">
        <f t="shared" si="29"/>
        <v>38610.870917929751</v>
      </c>
      <c r="O82">
        <f t="shared" si="29"/>
        <v>54911.171122318396</v>
      </c>
      <c r="P82">
        <f t="shared" si="29"/>
        <v>74017.882708750112</v>
      </c>
      <c r="Q82">
        <f t="shared" si="29"/>
        <v>73900.564364656762</v>
      </c>
      <c r="R82">
        <f t="shared" si="29"/>
        <v>73056.139565944017</v>
      </c>
      <c r="S82">
        <f t="shared" si="29"/>
        <v>71574.279789409353</v>
      </c>
      <c r="T82" t="str">
        <f t="shared" ref="T82:T83" ca="1" si="30">_xlfn.FORMULATEXT(S82)</f>
        <v>=$C$66*S78+$C$67*S79</v>
      </c>
    </row>
    <row r="83" spans="1:20" x14ac:dyDescent="0.45">
      <c r="B83" t="s">
        <v>8</v>
      </c>
      <c r="K83" s="19">
        <f>K82/K80</f>
        <v>0.95</v>
      </c>
      <c r="L83" s="19">
        <f t="shared" ref="L83:S83" si="31">L82/L80</f>
        <v>0.95</v>
      </c>
      <c r="M83" s="19">
        <f t="shared" si="31"/>
        <v>0.95</v>
      </c>
      <c r="N83" s="19">
        <f t="shared" si="31"/>
        <v>0.95</v>
      </c>
      <c r="O83" s="19">
        <f t="shared" si="31"/>
        <v>0.95</v>
      </c>
      <c r="P83" s="19">
        <f t="shared" si="31"/>
        <v>0.95</v>
      </c>
      <c r="Q83" s="19">
        <f t="shared" si="31"/>
        <v>0.95</v>
      </c>
      <c r="R83" s="19">
        <f t="shared" si="31"/>
        <v>0.95000000000000007</v>
      </c>
      <c r="S83" s="19">
        <f t="shared" si="31"/>
        <v>0.95</v>
      </c>
      <c r="T83" t="str">
        <f t="shared" ca="1" si="30"/>
        <v>=S82/S80</v>
      </c>
    </row>
    <row r="85" spans="1:20" x14ac:dyDescent="0.45">
      <c r="B85" t="s">
        <v>117</v>
      </c>
      <c r="K85">
        <f>-C69*1000</f>
        <v>0</v>
      </c>
      <c r="L85">
        <f t="shared" ref="L85:S85" si="32">-D69*1000</f>
        <v>0</v>
      </c>
      <c r="M85">
        <f t="shared" si="32"/>
        <v>0</v>
      </c>
      <c r="N85">
        <f t="shared" si="32"/>
        <v>0</v>
      </c>
      <c r="O85">
        <f t="shared" si="32"/>
        <v>0</v>
      </c>
      <c r="P85">
        <f t="shared" si="32"/>
        <v>0</v>
      </c>
      <c r="Q85">
        <f t="shared" si="32"/>
        <v>0</v>
      </c>
      <c r="R85">
        <f t="shared" si="32"/>
        <v>0</v>
      </c>
      <c r="S85">
        <f t="shared" si="32"/>
        <v>0</v>
      </c>
      <c r="T85" t="str">
        <f t="shared" ref="T85:T86" ca="1" si="33">_xlfn.FORMULATEXT(S85)</f>
        <v>=-K69*1000</v>
      </c>
    </row>
    <row r="86" spans="1:20" x14ac:dyDescent="0.45">
      <c r="B86" t="s">
        <v>118</v>
      </c>
      <c r="K86">
        <f>-C70*K78</f>
        <v>0</v>
      </c>
      <c r="L86">
        <f t="shared" ref="L86:S86" si="34">-D70*L78</f>
        <v>0</v>
      </c>
      <c r="M86">
        <f t="shared" si="34"/>
        <v>0</v>
      </c>
      <c r="N86">
        <f t="shared" si="34"/>
        <v>0</v>
      </c>
      <c r="O86">
        <f t="shared" si="34"/>
        <v>0</v>
      </c>
      <c r="P86">
        <f t="shared" si="34"/>
        <v>0</v>
      </c>
      <c r="Q86">
        <f t="shared" si="34"/>
        <v>0</v>
      </c>
      <c r="R86">
        <f t="shared" si="34"/>
        <v>0</v>
      </c>
      <c r="S86">
        <f t="shared" si="34"/>
        <v>0</v>
      </c>
      <c r="T86" t="str">
        <f t="shared" ca="1" si="33"/>
        <v>=-K70*S78</v>
      </c>
    </row>
    <row r="88" spans="1:20" x14ac:dyDescent="0.45">
      <c r="B88" s="78" t="s">
        <v>15</v>
      </c>
      <c r="K88">
        <f>K82+K85+K86</f>
        <v>6117.4155124999979</v>
      </c>
      <c r="L88">
        <f t="shared" ref="L88:S88" si="35">L82+L85+L86</f>
        <v>14421.807070718747</v>
      </c>
      <c r="M88">
        <f t="shared" si="35"/>
        <v>25079.87424737187</v>
      </c>
      <c r="N88">
        <f t="shared" si="35"/>
        <v>38610.870917929751</v>
      </c>
      <c r="O88">
        <f t="shared" si="35"/>
        <v>54911.171122318396</v>
      </c>
      <c r="P88">
        <f t="shared" si="35"/>
        <v>74017.882708750112</v>
      </c>
      <c r="Q88">
        <f t="shared" si="35"/>
        <v>73900.564364656762</v>
      </c>
      <c r="R88">
        <f t="shared" si="35"/>
        <v>73056.139565944017</v>
      </c>
      <c r="S88">
        <f t="shared" si="35"/>
        <v>71574.279789409353</v>
      </c>
      <c r="T88" t="str">
        <f t="shared" ref="T88:T89" ca="1" si="36">_xlfn.FORMULATEXT(S88)</f>
        <v>=S82+S85+S86</v>
      </c>
    </row>
    <row r="89" spans="1:20" x14ac:dyDescent="0.45">
      <c r="B89" t="s">
        <v>16</v>
      </c>
      <c r="K89" s="19">
        <f>K88/K80</f>
        <v>0.95</v>
      </c>
      <c r="L89" s="19">
        <f t="shared" ref="L89:S89" si="37">L88/L80</f>
        <v>0.95</v>
      </c>
      <c r="M89" s="19">
        <f t="shared" si="37"/>
        <v>0.95</v>
      </c>
      <c r="N89" s="19">
        <f t="shared" si="37"/>
        <v>0.95</v>
      </c>
      <c r="O89" s="19">
        <f t="shared" si="37"/>
        <v>0.95</v>
      </c>
      <c r="P89" s="19">
        <f t="shared" si="37"/>
        <v>0.95</v>
      </c>
      <c r="Q89" s="19">
        <f t="shared" si="37"/>
        <v>0.95</v>
      </c>
      <c r="R89" s="19">
        <f t="shared" si="37"/>
        <v>0.95000000000000007</v>
      </c>
      <c r="S89" s="19">
        <f t="shared" si="37"/>
        <v>0.95</v>
      </c>
      <c r="T89" t="str">
        <f t="shared" ca="1" si="36"/>
        <v>=S88/S80</v>
      </c>
    </row>
    <row r="91" spans="1:20" ht="15.75" x14ac:dyDescent="0.45">
      <c r="A91" s="34" t="s">
        <v>133</v>
      </c>
      <c r="B91" s="35"/>
      <c r="H91" s="36"/>
    </row>
    <row r="92" spans="1:20" x14ac:dyDescent="0.45">
      <c r="B92" t="s">
        <v>3</v>
      </c>
      <c r="J92">
        <f>J45+J80</f>
        <v>11249.243550000001</v>
      </c>
      <c r="K92">
        <f t="shared" ref="K92:S92" si="38">K45+K80</f>
        <v>33994.406825724996</v>
      </c>
      <c r="L92">
        <f t="shared" si="38"/>
        <v>61113.873303920496</v>
      </c>
      <c r="M92">
        <f t="shared" si="38"/>
        <v>92983.613314817732</v>
      </c>
      <c r="N92">
        <f t="shared" si="38"/>
        <v>130368.01646064738</v>
      </c>
      <c r="O92">
        <f t="shared" si="38"/>
        <v>172689.02302237274</v>
      </c>
      <c r="P92">
        <f t="shared" si="38"/>
        <v>186756.52992345326</v>
      </c>
      <c r="Q92">
        <f t="shared" si="38"/>
        <v>180390.51169695472</v>
      </c>
      <c r="R92">
        <f t="shared" si="38"/>
        <v>173179.59394273331</v>
      </c>
      <c r="S92">
        <f t="shared" si="38"/>
        <v>165317.7107092964</v>
      </c>
      <c r="T92" t="str">
        <f t="shared" ref="T92:T97" ca="1" si="39">_xlfn.FORMULATEXT(S92)</f>
        <v>=S45+S80</v>
      </c>
    </row>
    <row r="93" spans="1:20" x14ac:dyDescent="0.45">
      <c r="B93" t="s">
        <v>7</v>
      </c>
      <c r="J93">
        <f>J47+J82</f>
        <v>9132.6095662500011</v>
      </c>
      <c r="K93">
        <f t="shared" ref="K93:S93" si="40">K47+K82</f>
        <v>28487.742645029371</v>
      </c>
      <c r="L93">
        <f t="shared" si="40"/>
        <v>51712.169777726405</v>
      </c>
      <c r="M93">
        <f t="shared" si="40"/>
        <v>79135.36252140507</v>
      </c>
      <c r="N93">
        <f t="shared" si="40"/>
        <v>111453.39930026466</v>
      </c>
      <c r="O93">
        <f t="shared" si="40"/>
        <v>148181.91663768311</v>
      </c>
      <c r="P93">
        <f t="shared" si="40"/>
        <v>159115.89887350192</v>
      </c>
      <c r="Q93">
        <f t="shared" si="40"/>
        <v>151039.89814096293</v>
      </c>
      <c r="R93">
        <f t="shared" si="40"/>
        <v>142553.93847073271</v>
      </c>
      <c r="S93">
        <f t="shared" si="40"/>
        <v>133823.71658044707</v>
      </c>
      <c r="T93" t="str">
        <f t="shared" ca="1" si="39"/>
        <v>=S47+S82</v>
      </c>
    </row>
    <row r="94" spans="1:20" x14ac:dyDescent="0.45">
      <c r="B94" t="s">
        <v>8</v>
      </c>
      <c r="J94" s="19">
        <f>J93/J92</f>
        <v>0.81184210526315792</v>
      </c>
      <c r="K94" s="19">
        <f t="shared" ref="K94:S94" si="41">K93/K92</f>
        <v>0.83801264105221862</v>
      </c>
      <c r="L94" s="19">
        <f t="shared" si="41"/>
        <v>0.84616089575211129</v>
      </c>
      <c r="M94" s="19">
        <f t="shared" si="41"/>
        <v>0.85106783550638998</v>
      </c>
      <c r="N94" s="19">
        <f t="shared" si="41"/>
        <v>0.85491366921201684</v>
      </c>
      <c r="O94" s="19">
        <f t="shared" si="41"/>
        <v>0.85808532612107835</v>
      </c>
      <c r="P94" s="19">
        <f t="shared" si="41"/>
        <v>0.85199644124207852</v>
      </c>
      <c r="Q94" s="19">
        <f t="shared" si="41"/>
        <v>0.83729402794034391</v>
      </c>
      <c r="R94" s="19">
        <f t="shared" si="41"/>
        <v>0.82315667351588884</v>
      </c>
      <c r="S94" s="19">
        <f t="shared" si="41"/>
        <v>0.80949413106602919</v>
      </c>
      <c r="T94" t="str">
        <f t="shared" ca="1" si="39"/>
        <v>=S93/S92</v>
      </c>
    </row>
    <row r="95" spans="1:20" x14ac:dyDescent="0.45">
      <c r="B95" t="s">
        <v>119</v>
      </c>
      <c r="J95">
        <f>J50+J51+J85+J86</f>
        <v>-22590.286343749998</v>
      </c>
      <c r="K95">
        <f t="shared" ref="K95:S95" si="42">K50+K51+K85+K86</f>
        <v>-27144.906399015625</v>
      </c>
      <c r="L95">
        <f t="shared" si="42"/>
        <v>-32208.683101663439</v>
      </c>
      <c r="M95">
        <f t="shared" si="42"/>
        <v>-37829.063546119629</v>
      </c>
      <c r="N95">
        <f t="shared" si="42"/>
        <v>-44057.531762250583</v>
      </c>
      <c r="O95">
        <f t="shared" si="42"/>
        <v>-50787.483437284973</v>
      </c>
      <c r="P95">
        <f t="shared" si="42"/>
        <v>-44528.97223582775</v>
      </c>
      <c r="Q95">
        <f t="shared" si="42"/>
        <v>-39198.259374824978</v>
      </c>
      <c r="R95">
        <f t="shared" si="42"/>
        <v>-34627.892852070756</v>
      </c>
      <c r="S95">
        <f t="shared" si="42"/>
        <v>-30685.062186258441</v>
      </c>
      <c r="T95" t="str">
        <f t="shared" ca="1" si="39"/>
        <v>=S50+S51+S85+S86</v>
      </c>
    </row>
    <row r="96" spans="1:20" x14ac:dyDescent="0.45">
      <c r="B96" t="s">
        <v>15</v>
      </c>
      <c r="J96">
        <f>J53+J88</f>
        <v>-13457.676777499999</v>
      </c>
      <c r="K96">
        <f t="shared" ref="K96:S96" si="43">K53+K88</f>
        <v>1342.8362460137487</v>
      </c>
      <c r="L96">
        <f t="shared" si="43"/>
        <v>19503.486676062974</v>
      </c>
      <c r="M96">
        <f t="shared" si="43"/>
        <v>41306.298975285441</v>
      </c>
      <c r="N96">
        <f t="shared" si="43"/>
        <v>67395.867538014078</v>
      </c>
      <c r="O96">
        <f t="shared" si="43"/>
        <v>97394.43320039814</v>
      </c>
      <c r="P96">
        <f t="shared" si="43"/>
        <v>114586.92663767419</v>
      </c>
      <c r="Q96">
        <f t="shared" si="43"/>
        <v>111841.63876613797</v>
      </c>
      <c r="R96">
        <f t="shared" si="43"/>
        <v>107926.04561866194</v>
      </c>
      <c r="S96">
        <f t="shared" si="43"/>
        <v>103138.65439418862</v>
      </c>
      <c r="T96" t="str">
        <f t="shared" ca="1" si="39"/>
        <v>=S53+S88</v>
      </c>
    </row>
    <row r="97" spans="1:22" x14ac:dyDescent="0.45">
      <c r="B97" t="s">
        <v>16</v>
      </c>
      <c r="J97" s="19">
        <f>J96/J92</f>
        <v>-1.1963183762253951</v>
      </c>
      <c r="K97" s="19">
        <f t="shared" ref="K97:S97" si="44">K96/K92</f>
        <v>3.9501681935440278E-2</v>
      </c>
      <c r="L97" s="19">
        <f t="shared" si="44"/>
        <v>0.31913353910775299</v>
      </c>
      <c r="M97" s="19">
        <f t="shared" si="44"/>
        <v>0.44423202651238475</v>
      </c>
      <c r="N97" s="19">
        <f t="shared" si="44"/>
        <v>0.51696627261609107</v>
      </c>
      <c r="O97" s="19">
        <f t="shared" si="44"/>
        <v>0.56398740056442498</v>
      </c>
      <c r="P97" s="19">
        <f t="shared" si="44"/>
        <v>0.6135631599314918</v>
      </c>
      <c r="Q97" s="19">
        <f t="shared" si="44"/>
        <v>0.61999734749921454</v>
      </c>
      <c r="R97" s="19">
        <f t="shared" si="44"/>
        <v>0.62320301810125922</v>
      </c>
      <c r="S97" s="19">
        <f t="shared" si="44"/>
        <v>0.62388145802208217</v>
      </c>
      <c r="T97" t="str">
        <f t="shared" ca="1" si="39"/>
        <v>=S96/S92</v>
      </c>
    </row>
    <row r="99" spans="1:22" ht="15.75" x14ac:dyDescent="0.45">
      <c r="A99" s="34" t="s">
        <v>134</v>
      </c>
      <c r="B99" s="35"/>
      <c r="H99" s="36"/>
    </row>
    <row r="100" spans="1:22" x14ac:dyDescent="0.45">
      <c r="B100" t="s">
        <v>3</v>
      </c>
      <c r="J100">
        <f>J92*$C$60</f>
        <v>10124.319195000002</v>
      </c>
      <c r="K100">
        <f t="shared" ref="K100:S100" si="45">K92*$C$60</f>
        <v>30594.966143152498</v>
      </c>
      <c r="L100">
        <f t="shared" si="45"/>
        <v>55002.485973528448</v>
      </c>
      <c r="M100">
        <f t="shared" si="45"/>
        <v>83685.251983335955</v>
      </c>
      <c r="N100">
        <f t="shared" si="45"/>
        <v>117331.21481458265</v>
      </c>
      <c r="O100">
        <f t="shared" si="45"/>
        <v>155420.12072013548</v>
      </c>
      <c r="P100">
        <f t="shared" si="45"/>
        <v>168080.87693110792</v>
      </c>
      <c r="Q100">
        <f t="shared" si="45"/>
        <v>162351.46052725925</v>
      </c>
      <c r="R100">
        <f t="shared" si="45"/>
        <v>155861.63454845999</v>
      </c>
      <c r="S100">
        <f t="shared" si="45"/>
        <v>148785.93963836678</v>
      </c>
      <c r="T100" t="str">
        <f t="shared" ref="T100:T105" ca="1" si="46">_xlfn.FORMULATEXT(S100)</f>
        <v>=S92*$C$60</v>
      </c>
      <c r="V100" s="33"/>
    </row>
    <row r="101" spans="1:22" x14ac:dyDescent="0.45">
      <c r="B101" t="s">
        <v>7</v>
      </c>
      <c r="J101">
        <f>J93*$C$60</f>
        <v>8219.3486096250017</v>
      </c>
      <c r="K101">
        <f t="shared" ref="K101:S101" si="47">K93*$C$60</f>
        <v>25638.968380526436</v>
      </c>
      <c r="L101">
        <f t="shared" si="47"/>
        <v>46540.952799953768</v>
      </c>
      <c r="M101">
        <f t="shared" si="47"/>
        <v>71221.826269264566</v>
      </c>
      <c r="N101">
        <f t="shared" si="47"/>
        <v>100308.0593702382</v>
      </c>
      <c r="O101">
        <f t="shared" si="47"/>
        <v>133363.7249739148</v>
      </c>
      <c r="P101">
        <f t="shared" si="47"/>
        <v>143204.30898615174</v>
      </c>
      <c r="Q101">
        <f t="shared" si="47"/>
        <v>135935.90832686666</v>
      </c>
      <c r="R101">
        <f t="shared" si="47"/>
        <v>128298.54462365944</v>
      </c>
      <c r="S101">
        <f t="shared" si="47"/>
        <v>120441.34492240236</v>
      </c>
      <c r="T101" t="str">
        <f t="shared" ca="1" si="46"/>
        <v>=S93*$C$60</v>
      </c>
      <c r="V101" s="33"/>
    </row>
    <row r="102" spans="1:22" x14ac:dyDescent="0.45">
      <c r="B102" t="s">
        <v>8</v>
      </c>
      <c r="J102" s="19">
        <f>J101/J100</f>
        <v>0.81184210526315792</v>
      </c>
      <c r="K102" s="19">
        <f t="shared" ref="K102:S102" si="48">K101/K100</f>
        <v>0.83801264105221862</v>
      </c>
      <c r="L102" s="19">
        <f t="shared" si="48"/>
        <v>0.84616089575211129</v>
      </c>
      <c r="M102" s="19">
        <f t="shared" si="48"/>
        <v>0.85106783550639009</v>
      </c>
      <c r="N102" s="19">
        <f t="shared" si="48"/>
        <v>0.85491366921201684</v>
      </c>
      <c r="O102" s="19">
        <f t="shared" si="48"/>
        <v>0.85808532612107813</v>
      </c>
      <c r="P102" s="19">
        <f t="shared" si="48"/>
        <v>0.85199644124207863</v>
      </c>
      <c r="Q102" s="19">
        <f t="shared" si="48"/>
        <v>0.83729402794034402</v>
      </c>
      <c r="R102" s="19">
        <f t="shared" si="48"/>
        <v>0.82315667351588873</v>
      </c>
      <c r="S102" s="19">
        <f t="shared" si="48"/>
        <v>0.80949413106602908</v>
      </c>
      <c r="T102" t="str">
        <f t="shared" ca="1" si="46"/>
        <v>=S101/S100</v>
      </c>
    </row>
    <row r="103" spans="1:22" x14ac:dyDescent="0.45">
      <c r="B103" t="s">
        <v>119</v>
      </c>
      <c r="J103">
        <f>J95*$C$60</f>
        <v>-20331.257709375001</v>
      </c>
      <c r="K103">
        <f t="shared" ref="K103:S103" si="49">K95*$C$60</f>
        <v>-24430.415759114061</v>
      </c>
      <c r="L103">
        <f t="shared" si="49"/>
        <v>-28987.814791497094</v>
      </c>
      <c r="M103">
        <f t="shared" si="49"/>
        <v>-34046.157191507664</v>
      </c>
      <c r="N103">
        <f t="shared" si="49"/>
        <v>-39651.778586025524</v>
      </c>
      <c r="O103">
        <f t="shared" si="49"/>
        <v>-45708.735093556475</v>
      </c>
      <c r="P103">
        <f t="shared" si="49"/>
        <v>-40076.075012244975</v>
      </c>
      <c r="Q103">
        <f t="shared" si="49"/>
        <v>-35278.433437342479</v>
      </c>
      <c r="R103">
        <f t="shared" si="49"/>
        <v>-31165.10356686368</v>
      </c>
      <c r="S103">
        <f t="shared" si="49"/>
        <v>-27616.555967632597</v>
      </c>
      <c r="T103" t="str">
        <f t="shared" ca="1" si="46"/>
        <v>=S95*$C$60</v>
      </c>
    </row>
    <row r="104" spans="1:22" x14ac:dyDescent="0.45">
      <c r="B104" t="s">
        <v>15</v>
      </c>
      <c r="J104">
        <f>J96*$C$60</f>
        <v>-12111.909099749999</v>
      </c>
      <c r="K104">
        <f t="shared" ref="K104:S104" si="50">K96*$C$60</f>
        <v>1208.5526214123738</v>
      </c>
      <c r="L104">
        <f t="shared" si="50"/>
        <v>17553.138008456677</v>
      </c>
      <c r="M104">
        <f t="shared" si="50"/>
        <v>37175.669077756895</v>
      </c>
      <c r="N104">
        <f t="shared" si="50"/>
        <v>60656.280784212671</v>
      </c>
      <c r="O104">
        <f t="shared" si="50"/>
        <v>87654.989880358335</v>
      </c>
      <c r="P104">
        <f t="shared" si="50"/>
        <v>103128.23397390677</v>
      </c>
      <c r="Q104">
        <f t="shared" si="50"/>
        <v>100657.47488952418</v>
      </c>
      <c r="R104">
        <f t="shared" si="50"/>
        <v>97133.441056795753</v>
      </c>
      <c r="S104">
        <f t="shared" si="50"/>
        <v>92824.788954769756</v>
      </c>
      <c r="T104" t="str">
        <f t="shared" ca="1" si="46"/>
        <v>=S96*$C$60</v>
      </c>
      <c r="V104" s="33"/>
    </row>
    <row r="105" spans="1:22" x14ac:dyDescent="0.45">
      <c r="B105" t="s">
        <v>16</v>
      </c>
      <c r="J105" s="19">
        <f>J104/J100</f>
        <v>-1.1963183762253948</v>
      </c>
      <c r="K105" s="19">
        <f t="shared" ref="K105:S105" si="51">K104/K100</f>
        <v>3.9501681935440271E-2</v>
      </c>
      <c r="L105" s="19">
        <f t="shared" si="51"/>
        <v>0.31913353910775299</v>
      </c>
      <c r="M105" s="19">
        <f t="shared" si="51"/>
        <v>0.44423202651238475</v>
      </c>
      <c r="N105" s="19">
        <f t="shared" si="51"/>
        <v>0.51696627261609096</v>
      </c>
      <c r="O105" s="19">
        <f t="shared" si="51"/>
        <v>0.56398740056442498</v>
      </c>
      <c r="P105" s="19">
        <f t="shared" si="51"/>
        <v>0.6135631599314918</v>
      </c>
      <c r="Q105" s="19">
        <f t="shared" si="51"/>
        <v>0.61999734749921465</v>
      </c>
      <c r="R105" s="19">
        <f t="shared" si="51"/>
        <v>0.62320301810125922</v>
      </c>
      <c r="S105" s="19">
        <f t="shared" si="51"/>
        <v>0.62388145802208206</v>
      </c>
      <c r="T105" t="str">
        <f t="shared" ca="1" si="46"/>
        <v>=S104/S100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4.25" x14ac:dyDescent="0.45"/>
  <sheetData>
    <row r="1" spans="2:2" x14ac:dyDescent="0.45">
      <c r="B1" t="s">
        <v>120</v>
      </c>
    </row>
    <row r="2" spans="2:2" x14ac:dyDescent="0.45">
      <c r="B2" t="s">
        <v>121</v>
      </c>
    </row>
    <row r="3" spans="2:2" x14ac:dyDescent="0.45">
      <c r="B3" t="s">
        <v>122</v>
      </c>
    </row>
    <row r="4" spans="2:2" x14ac:dyDescent="0.45">
      <c r="B4" t="s">
        <v>123</v>
      </c>
    </row>
    <row r="5" spans="2:2" x14ac:dyDescent="0.45">
      <c r="B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SharedWithUsers xmlns="6ea4884f-dd23-4a9e-9674-e0962577458b">
      <UserInfo>
        <DisplayName/>
        <AccountId xsi:nil="true"/>
        <AccountType/>
      </UserInfo>
    </SharedWithUsers>
    <MediaLengthInSeconds xmlns="69eded41-6c5d-4718-b7b7-dbfd1652bc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55647-634B-4636-8451-1F87ED8A2FB3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121B1B16-3B61-46E8-A2B6-49F3DD30DA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0CB5B-759E-4D0F-BA89-2F4B56EE05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Oliver Sealey</cp:lastModifiedBy>
  <cp:revision/>
  <dcterms:created xsi:type="dcterms:W3CDTF">2021-01-14T11:38:36Z</dcterms:created>
  <dcterms:modified xsi:type="dcterms:W3CDTF">2026-01-21T09:18:07Z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Order">
    <vt:r8>40363900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