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S34x1ssu8nf4vJp6PdhttZD4aXVox6qr\11700 Healthcare\15. Forecasting income statement R&amp;D and SG&amp;A expenses - Development\"/>
    </mc:Choice>
  </mc:AlternateContent>
  <xr:revisionPtr revIDLastSave="0" documentId="13_ncr:1_{EC94C3E6-D17D-4FEB-A79E-75FCC2ACC9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elcome" sheetId="9" r:id="rId1"/>
    <sheet name="Info" sheetId="8" r:id="rId2"/>
    <sheet name="IS" sheetId="2" r:id="rId3"/>
    <sheet name="BS" sheetId="6" r:id="rId4"/>
    <sheet name="CFS and Debt Schedule" sheetId="7" r:id="rId5"/>
    <sheet name="Revenues" sheetId="1" r:id="rId6"/>
    <sheet name="Pipeline Drug" sheetId="4" r:id="rId7"/>
    <sheet name="Drugs glossary" sheetId="3" r:id="rId8"/>
  </sheets>
  <externalReferences>
    <externalReference r:id="rId9"/>
    <externalReference r:id="rId10"/>
  </externalReferences>
  <definedNames>
    <definedName name="Circular_switch" localSheetId="1">#REF!</definedName>
    <definedName name="Circular_switch" localSheetId="0">#REF!</definedName>
    <definedName name="Circular_switch">#REF!</definedName>
    <definedName name="Include_pipeline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Pipeline">Info!$N$11</definedName>
    <definedName name="Switch" localSheetId="0">[1]Info!$N$10</definedName>
    <definedName name="Switch">Info!$N$10</definedName>
  </definedName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2" l="1"/>
  <c r="D47" i="2"/>
  <c r="E47" i="2"/>
  <c r="F47" i="2"/>
  <c r="G47" i="2"/>
  <c r="C47" i="2"/>
  <c r="H45" i="2"/>
  <c r="H44" i="2"/>
  <c r="H35" i="2"/>
  <c r="D41" i="2"/>
  <c r="E41" i="2"/>
  <c r="F41" i="2"/>
  <c r="G41" i="2"/>
  <c r="C41" i="2"/>
  <c r="D38" i="2"/>
  <c r="E38" i="2"/>
  <c r="F38" i="2"/>
  <c r="G38" i="2"/>
  <c r="C38" i="2"/>
  <c r="D36" i="2"/>
  <c r="E36" i="2"/>
  <c r="F36" i="2"/>
  <c r="G36" i="2"/>
  <c r="C36" i="2"/>
  <c r="D31" i="2"/>
  <c r="E31" i="2"/>
  <c r="F31" i="2"/>
  <c r="G31" i="2"/>
  <c r="C31" i="2"/>
  <c r="D28" i="2"/>
  <c r="E28" i="2"/>
  <c r="F28" i="2"/>
  <c r="G28" i="2"/>
  <c r="C28" i="2"/>
  <c r="H27" i="2"/>
  <c r="H26" i="2"/>
  <c r="H18" i="2"/>
  <c r="D23" i="4"/>
  <c r="D22" i="4"/>
  <c r="T18" i="4"/>
  <c r="I53" i="2"/>
  <c r="I40" i="2"/>
  <c r="I25" i="2"/>
  <c r="I34" i="1"/>
  <c r="I29" i="1"/>
  <c r="I40" i="1"/>
  <c r="T44" i="4"/>
  <c r="T83" i="4"/>
  <c r="T80" i="4"/>
  <c r="T39" i="4"/>
  <c r="T100" i="4"/>
  <c r="I50" i="7"/>
  <c r="L50" i="7"/>
  <c r="T101" i="4"/>
  <c r="I53" i="7"/>
  <c r="T86" i="4"/>
  <c r="I44" i="2"/>
  <c r="I52" i="2"/>
  <c r="I38" i="2"/>
  <c r="I24" i="2"/>
  <c r="I42" i="1"/>
  <c r="I37" i="1"/>
  <c r="I33" i="1"/>
  <c r="L11" i="7"/>
  <c r="D61" i="4"/>
  <c r="T54" i="4"/>
  <c r="T50" i="4"/>
  <c r="T97" i="4"/>
  <c r="T85" i="4"/>
  <c r="I27" i="2"/>
  <c r="T89" i="4"/>
  <c r="I51" i="2"/>
  <c r="I36" i="2"/>
  <c r="I22" i="2"/>
  <c r="I27" i="1"/>
  <c r="I45" i="1"/>
  <c r="I41" i="1"/>
  <c r="L49" i="7"/>
  <c r="T43" i="4"/>
  <c r="T45" i="4"/>
  <c r="T92" i="4"/>
  <c r="I57" i="7"/>
  <c r="T96" i="4"/>
  <c r="T73" i="4"/>
  <c r="I31" i="1"/>
  <c r="I56" i="7"/>
  <c r="I48" i="2"/>
  <c r="I35" i="2"/>
  <c r="I21" i="2"/>
  <c r="I35" i="1"/>
  <c r="I30" i="1"/>
  <c r="I25" i="1"/>
  <c r="L51" i="7"/>
  <c r="L12" i="7"/>
  <c r="L10" i="7"/>
  <c r="T79" i="4"/>
  <c r="T104" i="4"/>
  <c r="I36" i="1"/>
  <c r="T82" i="4"/>
  <c r="I47" i="2"/>
  <c r="I31" i="2"/>
  <c r="I19" i="2"/>
  <c r="I43" i="1"/>
  <c r="I38" i="1"/>
  <c r="T105" i="4"/>
  <c r="L53" i="7"/>
  <c r="I52" i="7"/>
  <c r="I54" i="7"/>
  <c r="T53" i="4"/>
  <c r="T88" i="4"/>
  <c r="I55" i="2"/>
  <c r="T37" i="4"/>
  <c r="I56" i="2"/>
  <c r="I45" i="2"/>
  <c r="I28" i="2"/>
  <c r="I18" i="2"/>
  <c r="I28" i="1"/>
  <c r="I32" i="1"/>
  <c r="T95" i="4"/>
  <c r="I51" i="7"/>
  <c r="I58" i="7"/>
  <c r="L54" i="7"/>
  <c r="T38" i="4"/>
  <c r="T75" i="4"/>
  <c r="T47" i="4"/>
  <c r="T48" i="4"/>
  <c r="T102" i="4"/>
  <c r="I54" i="2"/>
  <c r="I41" i="2"/>
  <c r="I26" i="2"/>
  <c r="I26" i="1"/>
  <c r="I44" i="1"/>
  <c r="I39" i="1"/>
  <c r="T72" i="4"/>
  <c r="T94" i="4"/>
  <c r="T93" i="4"/>
  <c r="T78" i="4"/>
  <c r="I55" i="7"/>
  <c r="T40" i="4"/>
  <c r="I49" i="7"/>
  <c r="L52" i="7"/>
  <c r="T74" i="4"/>
  <c r="I17" i="2"/>
  <c r="T103" i="4"/>
  <c r="T51" i="4"/>
  <c r="G44" i="2" l="1"/>
  <c r="F44" i="2"/>
  <c r="E44" i="2"/>
  <c r="D44" i="2"/>
  <c r="C44" i="2"/>
  <c r="H37" i="1"/>
  <c r="L85" i="4"/>
  <c r="M85" i="4"/>
  <c r="N85" i="4"/>
  <c r="O85" i="4"/>
  <c r="P85" i="4"/>
  <c r="Q85" i="4"/>
  <c r="R85" i="4"/>
  <c r="S85" i="4"/>
  <c r="K85" i="4"/>
  <c r="Q72" i="4"/>
  <c r="R72" i="4" s="1"/>
  <c r="S72" i="4" s="1"/>
  <c r="O72" i="4"/>
  <c r="N72" i="4" s="1"/>
  <c r="M72" i="4" s="1"/>
  <c r="L72" i="4" s="1"/>
  <c r="J50" i="4"/>
  <c r="P37" i="4"/>
  <c r="N37" i="4"/>
  <c r="D13" i="4"/>
  <c r="C13" i="4" s="1"/>
  <c r="H18" i="4" s="1"/>
  <c r="I18" i="4" s="1"/>
  <c r="J18" i="4" s="1"/>
  <c r="C12" i="4"/>
  <c r="H57" i="4" s="1"/>
  <c r="I57" i="4" s="1"/>
  <c r="J57" i="4" s="1"/>
  <c r="K57" i="4" s="1"/>
  <c r="D8" i="4"/>
  <c r="C8" i="4" s="1"/>
  <c r="C7" i="4"/>
  <c r="H44" i="1"/>
  <c r="H43" i="1"/>
  <c r="H41" i="1"/>
  <c r="H40" i="1"/>
  <c r="H38" i="1"/>
  <c r="H29" i="1"/>
  <c r="H31" i="1"/>
  <c r="H32" i="1"/>
  <c r="H33" i="1"/>
  <c r="H35" i="1"/>
  <c r="H36" i="1"/>
  <c r="H28" i="1"/>
  <c r="H26" i="1"/>
  <c r="H25" i="1"/>
  <c r="D27" i="1"/>
  <c r="E27" i="1"/>
  <c r="E39" i="1" s="1"/>
  <c r="E42" i="1" s="1"/>
  <c r="E45" i="1" s="1"/>
  <c r="E17" i="2" s="1"/>
  <c r="E19" i="2" s="1"/>
  <c r="E21" i="2" s="1"/>
  <c r="F27" i="1"/>
  <c r="F39" i="1" s="1"/>
  <c r="F42" i="1" s="1"/>
  <c r="F45" i="1" s="1"/>
  <c r="F17" i="2" s="1"/>
  <c r="F19" i="2" s="1"/>
  <c r="F21" i="2" s="1"/>
  <c r="G27" i="1"/>
  <c r="G39" i="1" s="1"/>
  <c r="G42" i="1" s="1"/>
  <c r="G45" i="1" s="1"/>
  <c r="G17" i="2" s="1"/>
  <c r="G19" i="2" s="1"/>
  <c r="G21" i="2" s="1"/>
  <c r="C27" i="1"/>
  <c r="C39" i="1" s="1"/>
  <c r="C42" i="1" s="1"/>
  <c r="C45" i="1" s="1"/>
  <c r="C17" i="2" s="1"/>
  <c r="C19" i="2" s="1"/>
  <c r="C21" i="2" s="1"/>
  <c r="C9" i="2"/>
  <c r="L57" i="4" l="1"/>
  <c r="K73" i="4"/>
  <c r="K18" i="4"/>
  <c r="L18" i="4" s="1"/>
  <c r="M18" i="4" s="1"/>
  <c r="N18" i="4" s="1"/>
  <c r="J38" i="4"/>
  <c r="J39" i="4" s="1"/>
  <c r="Q37" i="4"/>
  <c r="M37" i="4"/>
  <c r="H27" i="1"/>
  <c r="D52" i="2"/>
  <c r="E52" i="2"/>
  <c r="F52" i="2"/>
  <c r="G52" i="2"/>
  <c r="J40" i="4" l="1"/>
  <c r="J44" i="4" s="1"/>
  <c r="J43" i="4"/>
  <c r="N38" i="4"/>
  <c r="N39" i="4" s="1"/>
  <c r="R37" i="4"/>
  <c r="K74" i="4"/>
  <c r="K78" i="4" s="1"/>
  <c r="L37" i="4"/>
  <c r="M38" i="4"/>
  <c r="M57" i="4"/>
  <c r="L73" i="4"/>
  <c r="C26" i="4"/>
  <c r="Q2" i="4"/>
  <c r="R2" i="4" s="1"/>
  <c r="S2" i="4" s="1"/>
  <c r="K75" i="4" l="1"/>
  <c r="K79" i="4" s="1"/>
  <c r="N40" i="4"/>
  <c r="N44" i="4" s="1"/>
  <c r="N43" i="4"/>
  <c r="L74" i="4"/>
  <c r="L78" i="4" s="1"/>
  <c r="N57" i="4"/>
  <c r="M73" i="4"/>
  <c r="M39" i="4"/>
  <c r="M43" i="4" s="1"/>
  <c r="S37" i="4"/>
  <c r="K37" i="4"/>
  <c r="L38" i="4"/>
  <c r="K82" i="4"/>
  <c r="K80" i="4"/>
  <c r="K86" i="4"/>
  <c r="J45" i="4"/>
  <c r="J92" i="4" s="1"/>
  <c r="J100" i="4" s="1"/>
  <c r="J51" i="4"/>
  <c r="J95" i="4" s="1"/>
  <c r="J103" i="4" s="1"/>
  <c r="A1" i="4"/>
  <c r="A1" i="2"/>
  <c r="A7" i="9"/>
  <c r="C3" i="1"/>
  <c r="C3" i="7"/>
  <c r="C3" i="6"/>
  <c r="C2" i="2"/>
  <c r="C2" i="1" s="1"/>
  <c r="G7" i="7"/>
  <c r="F7" i="7"/>
  <c r="E7" i="7"/>
  <c r="D7" i="7"/>
  <c r="G6" i="7"/>
  <c r="F6" i="7"/>
  <c r="E6" i="7"/>
  <c r="D6" i="7"/>
  <c r="G8" i="4"/>
  <c r="G12" i="4"/>
  <c r="G7" i="4"/>
  <c r="G13" i="4"/>
  <c r="M51" i="4" l="1"/>
  <c r="K83" i="4"/>
  <c r="K88" i="4"/>
  <c r="K89" i="4" s="1"/>
  <c r="N73" i="4"/>
  <c r="M40" i="4"/>
  <c r="M44" i="4" s="1"/>
  <c r="M74" i="4"/>
  <c r="M78" i="4" s="1"/>
  <c r="M75" i="4"/>
  <c r="M79" i="4" s="1"/>
  <c r="M80" i="4" s="1"/>
  <c r="L39" i="4"/>
  <c r="L43" i="4" s="1"/>
  <c r="L75" i="4"/>
  <c r="L79" i="4" s="1"/>
  <c r="L80" i="4" s="1"/>
  <c r="C23" i="4"/>
  <c r="K38" i="4"/>
  <c r="L86" i="4"/>
  <c r="N45" i="4"/>
  <c r="N51" i="4"/>
  <c r="C2" i="6"/>
  <c r="C2" i="7"/>
  <c r="L40" i="4" l="1"/>
  <c r="L44" i="4" s="1"/>
  <c r="K39" i="4"/>
  <c r="K43" i="4" s="1"/>
  <c r="K40" i="4"/>
  <c r="K44" i="4" s="1"/>
  <c r="L51" i="4"/>
  <c r="L45" i="4"/>
  <c r="L92" i="4" s="1"/>
  <c r="L100" i="4" s="1"/>
  <c r="N74" i="4"/>
  <c r="N78" i="4" s="1"/>
  <c r="M45" i="4"/>
  <c r="M92" i="4" s="1"/>
  <c r="M100" i="4" s="1"/>
  <c r="L82" i="4"/>
  <c r="M86" i="4"/>
  <c r="M82" i="4"/>
  <c r="M83" i="4" s="1"/>
  <c r="D8" i="7"/>
  <c r="E8" i="7"/>
  <c r="F8" i="7"/>
  <c r="G8" i="7"/>
  <c r="G9" i="6"/>
  <c r="F9" i="6"/>
  <c r="E9" i="6"/>
  <c r="D9" i="6"/>
  <c r="I8" i="6"/>
  <c r="G8" i="6"/>
  <c r="F8" i="6"/>
  <c r="E8" i="6"/>
  <c r="D8" i="6"/>
  <c r="G53" i="6"/>
  <c r="F53" i="6"/>
  <c r="E53" i="6"/>
  <c r="D53" i="6"/>
  <c r="C53" i="6"/>
  <c r="D3" i="6"/>
  <c r="E3" i="6" s="1"/>
  <c r="D11" i="2"/>
  <c r="E11" i="2"/>
  <c r="C11" i="2"/>
  <c r="D10" i="2"/>
  <c r="E10" i="2"/>
  <c r="F10" i="2"/>
  <c r="G10" i="2"/>
  <c r="C10" i="2"/>
  <c r="G35" i="2"/>
  <c r="G11" i="2" s="1"/>
  <c r="F35" i="2"/>
  <c r="F11" i="2" s="1"/>
  <c r="D9" i="2"/>
  <c r="E9" i="2"/>
  <c r="F9" i="2"/>
  <c r="G9" i="2"/>
  <c r="H14" i="1"/>
  <c r="H34" i="1" s="1"/>
  <c r="H10" i="1"/>
  <c r="N86" i="4" l="1"/>
  <c r="M88" i="4"/>
  <c r="M89" i="4" s="1"/>
  <c r="L88" i="4"/>
  <c r="L89" i="4" s="1"/>
  <c r="L83" i="4"/>
  <c r="I10" i="1"/>
  <c r="J10" i="1" s="1"/>
  <c r="K10" i="1" s="1"/>
  <c r="H30" i="1"/>
  <c r="K51" i="4"/>
  <c r="K45" i="4"/>
  <c r="K92" i="4" s="1"/>
  <c r="K100" i="4" s="1"/>
  <c r="N75" i="4"/>
  <c r="N79" i="4" s="1"/>
  <c r="N80" i="4" s="1"/>
  <c r="N92" i="4" s="1"/>
  <c r="N100" i="4" s="1"/>
  <c r="D9" i="7"/>
  <c r="G9" i="7"/>
  <c r="F9" i="7"/>
  <c r="E9" i="7"/>
  <c r="H9" i="6"/>
  <c r="J8" i="6"/>
  <c r="F3" i="6"/>
  <c r="I14" i="1"/>
  <c r="J14" i="1" s="1"/>
  <c r="K14" i="1" s="1"/>
  <c r="N82" i="4" l="1"/>
  <c r="H39" i="1"/>
  <c r="H42" i="1" s="1"/>
  <c r="H45" i="1" s="1"/>
  <c r="H17" i="2" s="1"/>
  <c r="H19" i="2" s="1"/>
  <c r="I9" i="6"/>
  <c r="J9" i="6" s="1"/>
  <c r="K8" i="6"/>
  <c r="G3" i="6"/>
  <c r="H25" i="2" l="1"/>
  <c r="H55" i="2"/>
  <c r="H22" i="2"/>
  <c r="H24" i="2"/>
  <c r="H52" i="2" s="1"/>
  <c r="N88" i="4"/>
  <c r="N89" i="4" s="1"/>
  <c r="N83" i="4"/>
  <c r="K9" i="6"/>
  <c r="H3" i="6"/>
  <c r="H21" i="2" l="1"/>
  <c r="H28" i="2"/>
  <c r="H51" i="2"/>
  <c r="I3" i="6"/>
  <c r="H31" i="2" l="1"/>
  <c r="H56" i="2" s="1"/>
  <c r="H53" i="2"/>
  <c r="J3" i="6"/>
  <c r="K3" i="6" l="1"/>
  <c r="A1" i="7" l="1"/>
  <c r="A1" i="1" l="1"/>
  <c r="A1" i="6"/>
  <c r="D54" i="2" l="1"/>
  <c r="E54" i="2"/>
  <c r="F54" i="2"/>
  <c r="G54" i="2"/>
  <c r="O19" i="4"/>
  <c r="O58" i="4"/>
  <c r="O57" i="4" s="1"/>
  <c r="C51" i="2"/>
  <c r="D6" i="1"/>
  <c r="E6" i="1"/>
  <c r="F6" i="1"/>
  <c r="G6" i="1"/>
  <c r="D7" i="1"/>
  <c r="E7" i="1"/>
  <c r="F7" i="1"/>
  <c r="G7" i="1"/>
  <c r="F8" i="1"/>
  <c r="G8" i="1"/>
  <c r="D9" i="1"/>
  <c r="E9" i="1"/>
  <c r="F9" i="1"/>
  <c r="G9" i="1"/>
  <c r="D10" i="1"/>
  <c r="E10" i="1"/>
  <c r="F10" i="1"/>
  <c r="D11" i="1"/>
  <c r="E11" i="1"/>
  <c r="F11" i="1"/>
  <c r="G11" i="1"/>
  <c r="D12" i="1"/>
  <c r="E12" i="1"/>
  <c r="F12" i="1"/>
  <c r="G12" i="1"/>
  <c r="F13" i="1"/>
  <c r="G13" i="1"/>
  <c r="D14" i="1"/>
  <c r="E14" i="1"/>
  <c r="F14" i="1"/>
  <c r="D15" i="1"/>
  <c r="E15" i="1"/>
  <c r="F15" i="1"/>
  <c r="G15" i="1"/>
  <c r="D16" i="1"/>
  <c r="E16" i="1"/>
  <c r="F16" i="1"/>
  <c r="G16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D3" i="2"/>
  <c r="D38" i="1"/>
  <c r="D39" i="1" s="1"/>
  <c r="D42" i="1" s="1"/>
  <c r="D45" i="1" s="1"/>
  <c r="D17" i="2" s="1"/>
  <c r="D19" i="2" s="1"/>
  <c r="D21" i="2" s="1"/>
  <c r="O73" i="4" l="1"/>
  <c r="P19" i="4"/>
  <c r="Q19" i="4" s="1"/>
  <c r="R19" i="4" s="1"/>
  <c r="S19" i="4" s="1"/>
  <c r="O18" i="4"/>
  <c r="G51" i="2"/>
  <c r="G7" i="6"/>
  <c r="E51" i="2"/>
  <c r="E7" i="6"/>
  <c r="F51" i="2"/>
  <c r="F7" i="6"/>
  <c r="D3" i="1"/>
  <c r="D3" i="7"/>
  <c r="D2" i="2"/>
  <c r="C13" i="6"/>
  <c r="G6" i="6"/>
  <c r="E6" i="6"/>
  <c r="F6" i="6"/>
  <c r="C12" i="6"/>
  <c r="E11" i="6"/>
  <c r="E12" i="6"/>
  <c r="E13" i="6"/>
  <c r="G12" i="6"/>
  <c r="G13" i="6"/>
  <c r="F12" i="6"/>
  <c r="F13" i="6"/>
  <c r="P58" i="4"/>
  <c r="Q58" i="4" s="1"/>
  <c r="R58" i="4" s="1"/>
  <c r="S58" i="4" s="1"/>
  <c r="F11" i="6"/>
  <c r="C11" i="6"/>
  <c r="G11" i="6"/>
  <c r="E3" i="2"/>
  <c r="C55" i="2"/>
  <c r="G55" i="2"/>
  <c r="F55" i="2"/>
  <c r="E55" i="2"/>
  <c r="G56" i="2"/>
  <c r="F56" i="2"/>
  <c r="E56" i="2"/>
  <c r="C56" i="2"/>
  <c r="G53" i="2"/>
  <c r="G8" i="2"/>
  <c r="F53" i="2"/>
  <c r="F8" i="2"/>
  <c r="E53" i="2"/>
  <c r="E8" i="2"/>
  <c r="C53" i="2"/>
  <c r="C8" i="2"/>
  <c r="G6" i="2"/>
  <c r="G7" i="2"/>
  <c r="F6" i="2"/>
  <c r="F7" i="2"/>
  <c r="E6" i="2"/>
  <c r="E7" i="2"/>
  <c r="C6" i="2"/>
  <c r="C7" i="2"/>
  <c r="D17" i="1"/>
  <c r="E17" i="1"/>
  <c r="P18" i="4" l="1"/>
  <c r="O38" i="4"/>
  <c r="O39" i="4" s="1"/>
  <c r="O74" i="4"/>
  <c r="O78" i="4" s="1"/>
  <c r="P57" i="4"/>
  <c r="D2" i="1"/>
  <c r="D2" i="7"/>
  <c r="D2" i="6"/>
  <c r="E3" i="1"/>
  <c r="E3" i="7"/>
  <c r="E2" i="2"/>
  <c r="F3" i="2"/>
  <c r="C13" i="2"/>
  <c r="C12" i="2"/>
  <c r="D12" i="2"/>
  <c r="E12" i="2"/>
  <c r="F12" i="2"/>
  <c r="G12" i="2"/>
  <c r="O75" i="4" l="1"/>
  <c r="O79" i="4" s="1"/>
  <c r="O40" i="4"/>
  <c r="O44" i="4" s="1"/>
  <c r="O43" i="4"/>
  <c r="Q57" i="4"/>
  <c r="P73" i="4"/>
  <c r="O80" i="4"/>
  <c r="O82" i="4"/>
  <c r="O86" i="4"/>
  <c r="Q18" i="4"/>
  <c r="P38" i="4"/>
  <c r="P39" i="4" s="1"/>
  <c r="E2" i="6"/>
  <c r="E2" i="7"/>
  <c r="E2" i="1"/>
  <c r="F2" i="2"/>
  <c r="F3" i="1"/>
  <c r="F3" i="7"/>
  <c r="F13" i="2"/>
  <c r="E13" i="2"/>
  <c r="G13" i="2"/>
  <c r="D13" i="2"/>
  <c r="G3" i="2"/>
  <c r="H3" i="4" s="1"/>
  <c r="R57" i="4" l="1"/>
  <c r="Q73" i="4"/>
  <c r="O83" i="4"/>
  <c r="O88" i="4"/>
  <c r="O89" i="4" s="1"/>
  <c r="P40" i="4"/>
  <c r="P44" i="4" s="1"/>
  <c r="P43" i="4"/>
  <c r="P74" i="4"/>
  <c r="P78" i="4" s="1"/>
  <c r="O51" i="4"/>
  <c r="O45" i="4"/>
  <c r="O92" i="4" s="1"/>
  <c r="O100" i="4" s="1"/>
  <c r="R18" i="4"/>
  <c r="Q38" i="4"/>
  <c r="Q39" i="4" s="1"/>
  <c r="D51" i="2"/>
  <c r="D7" i="6"/>
  <c r="F2" i="6"/>
  <c r="F2" i="1"/>
  <c r="F2" i="7"/>
  <c r="G2" i="2"/>
  <c r="G3" i="1"/>
  <c r="G3" i="7"/>
  <c r="D6" i="6"/>
  <c r="D13" i="6"/>
  <c r="D12" i="6"/>
  <c r="D11" i="6"/>
  <c r="D55" i="2"/>
  <c r="D53" i="2"/>
  <c r="D8" i="2"/>
  <c r="D6" i="2"/>
  <c r="D56" i="2"/>
  <c r="D7" i="2"/>
  <c r="H3" i="2"/>
  <c r="P86" i="4" l="1"/>
  <c r="P51" i="4"/>
  <c r="P45" i="4"/>
  <c r="Q40" i="4"/>
  <c r="Q44" i="4" s="1"/>
  <c r="Q43" i="4"/>
  <c r="S18" i="4"/>
  <c r="S38" i="4" s="1"/>
  <c r="R38" i="4"/>
  <c r="Q74" i="4"/>
  <c r="Q78" i="4" s="1"/>
  <c r="P75" i="4"/>
  <c r="P79" i="4" s="1"/>
  <c r="P82" i="4" s="1"/>
  <c r="S57" i="4"/>
  <c r="S73" i="4" s="1"/>
  <c r="R73" i="4"/>
  <c r="G2" i="6"/>
  <c r="G2" i="1"/>
  <c r="G2" i="7"/>
  <c r="I3" i="4"/>
  <c r="J3" i="4" s="1"/>
  <c r="H2" i="2"/>
  <c r="H3" i="1"/>
  <c r="H3" i="7"/>
  <c r="I3" i="2"/>
  <c r="P88" i="4" l="1"/>
  <c r="R74" i="4"/>
  <c r="R78" i="4" s="1"/>
  <c r="R75" i="4"/>
  <c r="R79" i="4" s="1"/>
  <c r="S74" i="4"/>
  <c r="S78" i="4" s="1"/>
  <c r="Q86" i="4"/>
  <c r="Q75" i="4"/>
  <c r="Q79" i="4" s="1"/>
  <c r="Q80" i="4" s="1"/>
  <c r="R39" i="4"/>
  <c r="R43" i="4" s="1"/>
  <c r="P80" i="4"/>
  <c r="P83" i="4" s="1"/>
  <c r="Q51" i="4"/>
  <c r="Q45" i="4"/>
  <c r="S39" i="4"/>
  <c r="S43" i="4" s="1"/>
  <c r="K3" i="4"/>
  <c r="H2" i="7"/>
  <c r="H2" i="6"/>
  <c r="H2" i="1"/>
  <c r="I3" i="7"/>
  <c r="I2" i="2"/>
  <c r="I3" i="1"/>
  <c r="J3" i="2"/>
  <c r="Q82" i="4" l="1"/>
  <c r="R40" i="4"/>
  <c r="R44" i="4" s="1"/>
  <c r="S75" i="4"/>
  <c r="S79" i="4" s="1"/>
  <c r="S86" i="4"/>
  <c r="S80" i="4"/>
  <c r="S82" i="4"/>
  <c r="P92" i="4"/>
  <c r="P100" i="4" s="1"/>
  <c r="S40" i="4"/>
  <c r="S44" i="4" s="1"/>
  <c r="R82" i="4"/>
  <c r="R86" i="4"/>
  <c r="R80" i="4"/>
  <c r="Q88" i="4"/>
  <c r="Q89" i="4" s="1"/>
  <c r="Q83" i="4"/>
  <c r="R45" i="4"/>
  <c r="R92" i="4" s="1"/>
  <c r="R51" i="4"/>
  <c r="Q92" i="4"/>
  <c r="L3" i="4"/>
  <c r="S51" i="4"/>
  <c r="P89" i="4"/>
  <c r="J3" i="7"/>
  <c r="J2" i="2"/>
  <c r="J3" i="1"/>
  <c r="I2" i="7"/>
  <c r="I2" i="6"/>
  <c r="I2" i="1"/>
  <c r="K3" i="2"/>
  <c r="Q100" i="4" l="1"/>
  <c r="S45" i="4"/>
  <c r="S92" i="4" s="1"/>
  <c r="S100" i="4" s="1"/>
  <c r="R100" i="4"/>
  <c r="S83" i="4"/>
  <c r="S88" i="4"/>
  <c r="S89" i="4" s="1"/>
  <c r="M3" i="4"/>
  <c r="R83" i="4"/>
  <c r="R88" i="4"/>
  <c r="R89" i="4" s="1"/>
  <c r="K3" i="1"/>
  <c r="K3" i="7"/>
  <c r="K2" i="2"/>
  <c r="J2" i="7"/>
  <c r="J2" i="1"/>
  <c r="J2" i="6"/>
  <c r="N3" i="4" l="1"/>
  <c r="K2" i="1"/>
  <c r="K2" i="7"/>
  <c r="K2" i="6"/>
  <c r="O3" i="4" l="1"/>
  <c r="C22" i="4" l="1"/>
  <c r="O47" i="4" s="1"/>
  <c r="P3" i="4"/>
  <c r="O48" i="4" l="1"/>
  <c r="O93" i="4"/>
  <c r="C61" i="4"/>
  <c r="P47" i="4"/>
  <c r="Q3" i="4"/>
  <c r="B61" i="4"/>
  <c r="J47" i="4"/>
  <c r="K50" i="4"/>
  <c r="K47" i="4"/>
  <c r="L47" i="4"/>
  <c r="M47" i="4"/>
  <c r="N47" i="4"/>
  <c r="N48" i="4" l="1"/>
  <c r="N93" i="4"/>
  <c r="J93" i="4"/>
  <c r="J53" i="4"/>
  <c r="J48" i="4"/>
  <c r="P48" i="4"/>
  <c r="P93" i="4"/>
  <c r="L93" i="4"/>
  <c r="L48" i="4"/>
  <c r="K93" i="4"/>
  <c r="K48" i="4"/>
  <c r="K53" i="4"/>
  <c r="R3" i="4"/>
  <c r="Q47" i="4"/>
  <c r="M93" i="4"/>
  <c r="M48" i="4"/>
  <c r="O101" i="4"/>
  <c r="O102" i="4" s="1"/>
  <c r="O94" i="4"/>
  <c r="L50" i="4"/>
  <c r="K95" i="4"/>
  <c r="K103" i="4" s="1"/>
  <c r="S3" i="4" l="1"/>
  <c r="S47" i="4" s="1"/>
  <c r="R47" i="4"/>
  <c r="J54" i="4"/>
  <c r="J96" i="4"/>
  <c r="J94" i="4"/>
  <c r="J101" i="4"/>
  <c r="J102" i="4" s="1"/>
  <c r="M50" i="4"/>
  <c r="L95" i="4"/>
  <c r="L103" i="4" s="1"/>
  <c r="P94" i="4"/>
  <c r="P101" i="4"/>
  <c r="P102" i="4" s="1"/>
  <c r="K54" i="4"/>
  <c r="K96" i="4"/>
  <c r="K94" i="4"/>
  <c r="K101" i="4"/>
  <c r="K102" i="4" s="1"/>
  <c r="M101" i="4"/>
  <c r="M102" i="4" s="1"/>
  <c r="M94" i="4"/>
  <c r="L94" i="4"/>
  <c r="L101" i="4"/>
  <c r="L102" i="4" s="1"/>
  <c r="N94" i="4"/>
  <c r="N101" i="4"/>
  <c r="N102" i="4" s="1"/>
  <c r="L53" i="4"/>
  <c r="Q93" i="4"/>
  <c r="Q48" i="4"/>
  <c r="Q94" i="4" l="1"/>
  <c r="Q101" i="4"/>
  <c r="Q102" i="4" s="1"/>
  <c r="K97" i="4"/>
  <c r="K104" i="4"/>
  <c r="K105" i="4" s="1"/>
  <c r="J104" i="4"/>
  <c r="J105" i="4" s="1"/>
  <c r="J97" i="4"/>
  <c r="N50" i="4"/>
  <c r="M95" i="4"/>
  <c r="M103" i="4" s="1"/>
  <c r="M53" i="4"/>
  <c r="L54" i="4"/>
  <c r="L96" i="4"/>
  <c r="R93" i="4"/>
  <c r="R48" i="4"/>
  <c r="S93" i="4"/>
  <c r="S48" i="4"/>
  <c r="O50" i="4" l="1"/>
  <c r="N95" i="4"/>
  <c r="N103" i="4" s="1"/>
  <c r="N53" i="4"/>
  <c r="L97" i="4"/>
  <c r="L104" i="4"/>
  <c r="L105" i="4" s="1"/>
  <c r="S101" i="4"/>
  <c r="S102" i="4" s="1"/>
  <c r="S94" i="4"/>
  <c r="R101" i="4"/>
  <c r="R102" i="4" s="1"/>
  <c r="R94" i="4"/>
  <c r="M96" i="4"/>
  <c r="M54" i="4"/>
  <c r="N54" i="4" l="1"/>
  <c r="N96" i="4"/>
  <c r="M97" i="4"/>
  <c r="M104" i="4"/>
  <c r="M105" i="4" s="1"/>
  <c r="P50" i="4"/>
  <c r="O95" i="4"/>
  <c r="O103" i="4" s="1"/>
  <c r="O53" i="4"/>
  <c r="O54" i="4" l="1"/>
  <c r="O96" i="4"/>
  <c r="Q50" i="4"/>
  <c r="P95" i="4"/>
  <c r="P103" i="4" s="1"/>
  <c r="P53" i="4"/>
  <c r="N97" i="4"/>
  <c r="N104" i="4"/>
  <c r="N105" i="4" s="1"/>
  <c r="R50" i="4" l="1"/>
  <c r="Q95" i="4"/>
  <c r="Q103" i="4" s="1"/>
  <c r="Q53" i="4"/>
  <c r="O97" i="4"/>
  <c r="O104" i="4"/>
  <c r="O105" i="4" s="1"/>
  <c r="P54" i="4"/>
  <c r="P96" i="4"/>
  <c r="S50" i="4" l="1"/>
  <c r="R95" i="4"/>
  <c r="R103" i="4" s="1"/>
  <c r="R53" i="4"/>
  <c r="P97" i="4"/>
  <c r="P104" i="4"/>
  <c r="P105" i="4" s="1"/>
  <c r="Q54" i="4"/>
  <c r="Q96" i="4"/>
  <c r="Q104" i="4" l="1"/>
  <c r="Q105" i="4" s="1"/>
  <c r="Q97" i="4"/>
  <c r="R54" i="4"/>
  <c r="R96" i="4"/>
  <c r="S95" i="4"/>
  <c r="S103" i="4" s="1"/>
  <c r="S53" i="4"/>
  <c r="R97" i="4" l="1"/>
  <c r="R104" i="4"/>
  <c r="R105" i="4" s="1"/>
  <c r="S96" i="4"/>
  <c r="S54" i="4"/>
  <c r="S97" i="4" l="1"/>
  <c r="S104" i="4"/>
  <c r="S105" i="4" s="1"/>
  <c r="H36" i="2" l="1"/>
  <c r="H38" i="2" s="1"/>
  <c r="H40" i="2" l="1"/>
  <c r="H41" i="2" s="1"/>
  <c r="H47" i="2" l="1"/>
  <c r="H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tc={7871CDA2-251D-4BD8-B227-E65EA7AD45E0}</author>
    <author>tc={60565572-0F2C-4E20-8944-19E6C2BF02BD}</author>
    <author>tc={2BF85314-ED29-4647-B13E-FC6E4B8AA6AE}</author>
  </authors>
  <commentList>
    <comment ref="B44" authorId="0" shapeId="0" xr:uid="{7871CDA2-251D-4BD8-B227-E65EA7AD45E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of treasury shares</t>
      </text>
    </comment>
    <comment ref="F44" authorId="1" shapeId="0" xr:uid="{60565572-0F2C-4E20-8944-19E6C2BF02BD}">
      <text>
        <t>[Threaded comment]
Your version of Excel allows you to read this threaded comment; however, any edits to it will get removed if the file is opened in a newer version of Excel. Learn more: https://go.microsoft.com/fwlink/?linkid=870924
Comment:
    Discrepancy between 2018 and 2019 ARs on 2018 shares outstanding, but this seems to make more sense</t>
      </text>
    </comment>
    <comment ref="G51" authorId="2" shapeId="0" xr:uid="{2BF85314-ED29-4647-B13E-FC6E4B8AA6AE}">
      <text>
        <t>[Threaded comment]
Your version of Excel allows you to read this threaded comment; however, any edits to it will get removed if the file is opened in a newer version of Excel. Learn more: https://go.microsoft.com/fwlink/?linkid=870924
Comment:
    Decrease of 1.5 percentage points from 58.1% in 2018 to 56.6%,
mainly due to:
• the increase of Enoxaparin biosimilar sales, which added lower
margins in 2019 after the launch of the product in five new markets;
and
• the increase in the LMWH raw material prices (due to the African
swine fever), which, in 2019, were running around 44% over 2018
prices.
• ROVI expects this upward trend in low-molecular-weight heparin raw material
prices to increase during 2020. 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tc={4445CCC0-0BFF-4B68-B59E-C79992857DCE}</author>
    <author>tc={3867620D-EE99-4C40-A339-7DEBA62576D6}</author>
  </authors>
  <commentList>
    <comment ref="B9" authorId="0" shapeId="0" xr:uid="{4445CCC0-0BFF-4B68-B59E-C79992857DCE}">
      <text>
        <t>[Threaded comment]
Your version of Excel allows you to read this threaded comment; however, any edits to it will get removed if the file is opened in a newer version of Excel. Learn more: https://go.microsoft.com/fwlink/?linkid=870924
Comment:
    Realistically this would be more likely tied in to specific drug launches given a lot of it is capitalised R&amp;D</t>
      </text>
    </comment>
    <comment ref="G62" authorId="1" shapeId="0" xr:uid="{3867620D-EE99-4C40-A339-7DEBA62576D6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17,411 lease liabilities (0 in 2018)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tc={198FAC28-6B37-4BAA-9427-62CD8DD463E4}</author>
  </authors>
  <commentList>
    <comment ref="C46" authorId="0" shapeId="0" xr:uid="{198FAC28-6B37-4BAA-9427-62CD8DD463E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617 other financial income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tc={AFAB550C-0B8E-4876-BE11-D53496397746}</author>
  </authors>
  <commentList>
    <comment ref="B17" authorId="0" shapeId="0" xr:uid="{AFAB550C-0B8E-4876-BE11-D53496397746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of discounts to the National Health System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tc={77B56892-DCF3-4031-8AD3-2DC2410017AD}</author>
    <author>tc={E6FB80FE-A05E-42E2-921C-73A8A9FCBD36}</author>
    <author>tc={7652B98C-C59A-4CBB-A49D-3ECEFD5AF955}</author>
    <author>tc={0C321305-C7A0-4F9B-9F18-A37BFF98102A}</author>
    <author>tc={00FA7312-3394-4AC2-AA10-ED0B5EF9EC0E}</author>
  </authors>
  <commentList>
    <comment ref="C12" authorId="0" shapeId="0" xr:uid="{77B56892-DCF3-4031-8AD3-2DC2410017AD}">
      <text>
        <t>[Threaded comment]
Your version of Excel allows you to read this threaded comment; however, any edits to it will get removed if the file is opened in a newer version of Excel. Learn more: https://go.microsoft.com/fwlink/?linkid=870924
Comment:
    2015-2019 CAGR of 20%</t>
      </text>
    </comment>
    <comment ref="C13" authorId="1" shapeId="0" xr:uid="{E6FB80FE-A05E-42E2-921C-73A8A9FCBD36}">
      <text>
        <t>[Threaded comment]
Your version of Excel allows you to read this threaded comment; however, any edits to it will get removed if the file is opened in a newer version of Excel. Learn more: https://go.microsoft.com/fwlink/?linkid=870924
Comment:
    2015-2019 CAGR of 8.5%</t>
      </text>
    </comment>
    <comment ref="B31" authorId="2" shapeId="0" xr:uid="{7652B98C-C59A-4CBB-A49D-3ECEFD5AF955}">
      <text>
        <t>[Threaded comment]
Your version of Excel allows you to read this threaded comment; however, any edits to it will get removed if the file is opened in a newer version of Excel. Learn more: https://go.microsoft.com/fwlink/?linkid=870924
Comment:
    Impact of price pressure etc.</t>
      </text>
    </comment>
    <comment ref="B50" authorId="3" shapeId="0" xr:uid="{0C321305-C7A0-4F9B-9F18-A37BFF98102A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to fade down after peak</t>
      </text>
    </comment>
    <comment ref="C63" authorId="4" shapeId="0" xr:uid="{00FA7312-3394-4AC2-AA10-ED0B5EF9EC0E}">
      <text>
        <t>[Threaded comment]
Your version of Excel allows you to read this threaded comment; however, any edits to it will get removed if the file is opened in a newer version of Excel. Learn more: https://go.microsoft.com/fwlink/?linkid=870924
Comment:
    US would be a full indirect market</t>
      </text>
    </comment>
  </commentList>
</comments>
</file>

<file path=xl/sharedStrings.xml><?xml version="1.0" encoding="utf-8"?>
<sst xmlns="http://schemas.openxmlformats.org/spreadsheetml/2006/main" count="312" uniqueCount="225">
  <si>
    <t>Currency</t>
  </si>
  <si>
    <t>Units</t>
  </si>
  <si>
    <t>Income Statement</t>
  </si>
  <si>
    <t>Revenue</t>
  </si>
  <si>
    <t>Recognition of government grants and other</t>
  </si>
  <si>
    <t>Total revenue</t>
  </si>
  <si>
    <t>Cost of sales</t>
  </si>
  <si>
    <t>Gross profit</t>
  </si>
  <si>
    <t>Gross margin</t>
  </si>
  <si>
    <t>Gross margin ex pipeline</t>
  </si>
  <si>
    <t>R&amp;D expenses</t>
  </si>
  <si>
    <t>R&amp;D % of sales</t>
  </si>
  <si>
    <t>SG&amp;A % of sales ex pipeline</t>
  </si>
  <si>
    <t>Other expenses</t>
  </si>
  <si>
    <t>Share of profit of a joint venture</t>
  </si>
  <si>
    <t>EBITDA</t>
  </si>
  <si>
    <t>EBITDA margin</t>
  </si>
  <si>
    <t>Depreciation and amortisation</t>
  </si>
  <si>
    <t>D&amp;A % of sales</t>
  </si>
  <si>
    <t>EBIT</t>
  </si>
  <si>
    <t>EBIT margin</t>
  </si>
  <si>
    <t>Finance income</t>
  </si>
  <si>
    <t>Finance costs</t>
  </si>
  <si>
    <t>Finance costs - net</t>
  </si>
  <si>
    <t>Profit before income tax</t>
  </si>
  <si>
    <t xml:space="preserve">Income tax </t>
  </si>
  <si>
    <t>Net income</t>
  </si>
  <si>
    <t>Per-share metrics</t>
  </si>
  <si>
    <t>Year-end shares outstanding</t>
  </si>
  <si>
    <t>Weighted-average shares outstanding</t>
  </si>
  <si>
    <t>Earnings per share</t>
  </si>
  <si>
    <t>Dividend per share</t>
  </si>
  <si>
    <t>Dividend payout ratio</t>
  </si>
  <si>
    <t>Balance Sheet</t>
  </si>
  <si>
    <t>Property, Plant and Equipment</t>
  </si>
  <si>
    <t>Intangible assets</t>
  </si>
  <si>
    <t>Deferred tax assets</t>
  </si>
  <si>
    <t>Other non-current assets</t>
  </si>
  <si>
    <t>Inventories</t>
  </si>
  <si>
    <t>Trade and other receivables</t>
  </si>
  <si>
    <t>Other current assets</t>
  </si>
  <si>
    <t>Cash and cash equivalents</t>
  </si>
  <si>
    <t>Total assets</t>
  </si>
  <si>
    <t>Financial debt</t>
  </si>
  <si>
    <t>Deferred income tax liabilities</t>
  </si>
  <si>
    <t>Current liabilities</t>
  </si>
  <si>
    <t>Trade and other payables</t>
  </si>
  <si>
    <t>Total liabilities</t>
  </si>
  <si>
    <t>Balance sheet assumptions</t>
  </si>
  <si>
    <t>Opening balance</t>
  </si>
  <si>
    <t>Other</t>
  </si>
  <si>
    <t>Closing balance</t>
  </si>
  <si>
    <t>Depreciation % of prior year balance</t>
  </si>
  <si>
    <t>Amortisation % of prior year balance</t>
  </si>
  <si>
    <t>Financial expense</t>
  </si>
  <si>
    <t>Cash and equivalents</t>
  </si>
  <si>
    <t>Interest income</t>
  </si>
  <si>
    <t>Net debt</t>
  </si>
  <si>
    <t>Equity</t>
  </si>
  <si>
    <t>Dividends</t>
  </si>
  <si>
    <t>Cash flow statement</t>
  </si>
  <si>
    <t>Cash flows from operating activities</t>
  </si>
  <si>
    <t>Net cash generated from (used in) operating activities</t>
  </si>
  <si>
    <t>Cash flows from investing activities</t>
  </si>
  <si>
    <t>Purchases of intangible assets</t>
  </si>
  <si>
    <t>Purchases of property, plant and equipment</t>
  </si>
  <si>
    <t>Interest received</t>
  </si>
  <si>
    <t xml:space="preserve">Net cash generated from (used in) investing activities </t>
  </si>
  <si>
    <t>Cash flows from financing activities</t>
  </si>
  <si>
    <t>Interest paid</t>
  </si>
  <si>
    <t>Dividends paid</t>
  </si>
  <si>
    <t xml:space="preserve">Net cash generated from (used in) financing activities </t>
  </si>
  <si>
    <t>Intangible capex/sales</t>
  </si>
  <si>
    <t>Tangible capex/sales</t>
  </si>
  <si>
    <t>Total Revenues</t>
  </si>
  <si>
    <t>Sale of goods</t>
  </si>
  <si>
    <t>Hibor</t>
  </si>
  <si>
    <t>Sales in Spain</t>
  </si>
  <si>
    <t>International sales</t>
  </si>
  <si>
    <t>Enoxaparin biosimilar (Enoxaparin Becat)</t>
  </si>
  <si>
    <t>Vytorin &amp; Absorcol &amp; Orvatez</t>
  </si>
  <si>
    <t>Corlentor</t>
  </si>
  <si>
    <t>Ulunar &amp; Hirobriz</t>
  </si>
  <si>
    <t>Medikinet &amp; Medicebran</t>
  </si>
  <si>
    <t>Neparvis</t>
  </si>
  <si>
    <t>Thymanax</t>
  </si>
  <si>
    <t>Exxiv</t>
  </si>
  <si>
    <t>Volutsa</t>
  </si>
  <si>
    <t>DORIA (risk-adjusted)</t>
  </si>
  <si>
    <t>Contrast agents and other hospital products</t>
  </si>
  <si>
    <t>Non prescription pharmaceutical products ("OTC") and Other</t>
  </si>
  <si>
    <t>Sale of services (toll manufacturing)</t>
  </si>
  <si>
    <t>Revenue from distribution licenses</t>
  </si>
  <si>
    <t>LAI/market</t>
  </si>
  <si>
    <t>US</t>
  </si>
  <si>
    <t>EU</t>
  </si>
  <si>
    <t>Total</t>
  </si>
  <si>
    <t>Europe</t>
  </si>
  <si>
    <t>Market size (€ mn)</t>
  </si>
  <si>
    <t>Growth</t>
  </si>
  <si>
    <t>Probability of success</t>
  </si>
  <si>
    <t>Peak year</t>
  </si>
  <si>
    <t>Peak market share</t>
  </si>
  <si>
    <t>Direct sales share</t>
  </si>
  <si>
    <t>Indirect sales share</t>
  </si>
  <si>
    <t>Royalty rate on indirect sales</t>
  </si>
  <si>
    <t>Gross margin on direct sales</t>
  </si>
  <si>
    <t>Gross margin on indirect sales</t>
  </si>
  <si>
    <t>Annual decline in gross margin after peak</t>
  </si>
  <si>
    <t>Commercial costs (€ mn)</t>
  </si>
  <si>
    <t>Manufacturing and logistics costs (% of revenue)</t>
  </si>
  <si>
    <t>DORIA market share</t>
  </si>
  <si>
    <t xml:space="preserve">  - of which direct</t>
  </si>
  <si>
    <t xml:space="preserve">  - of which indirect</t>
  </si>
  <si>
    <t>Revenues to ROVI</t>
  </si>
  <si>
    <t>Direct sales</t>
  </si>
  <si>
    <t>Royalty on indirect sales</t>
  </si>
  <si>
    <t>Commercial costs</t>
  </si>
  <si>
    <t>Manufacturing and logistics costs</t>
  </si>
  <si>
    <t>SG&amp;A</t>
  </si>
  <si>
    <t>Neparvis is a specialty product from Novartis indicated for the treatment of adult patients with symptomatic chronic heart failure and reduced ejection fraction.</t>
  </si>
  <si>
    <t>Volutsa is a specialty product from Astellas Pharma indicated for the treatment of moderate to severe storage symptoms and voiding symptoms associated with benign prostatic hyperplasia.</t>
  </si>
  <si>
    <t>Medicebran and Medikinet are specialty products from Medice indicated for the treatment of ADHD in children and teenagers.</t>
  </si>
  <si>
    <t>Vytorin, Orvatez and Absorcol, the first of the five licenses of MSD, are indicated for the treatment of hypercholesterolemia.</t>
  </si>
  <si>
    <t>Hirobriz Breezhaler and Ulunar Breezhaler are both products from Novartis indicated for the treatment of COPD (Chronic Obstructive Pulmonary Disease)</t>
  </si>
  <si>
    <t>EUR:USD FX Rate</t>
  </si>
  <si>
    <t>$bn</t>
  </si>
  <si>
    <t>%</t>
  </si>
  <si>
    <t xml:space="preserve">Total schizophrenia market size </t>
  </si>
  <si>
    <t>DORIA Market Analysis</t>
  </si>
  <si>
    <t xml:space="preserve">US </t>
  </si>
  <si>
    <t xml:space="preserve">EU </t>
  </si>
  <si>
    <t>Long Acting Injectibles (LAI) market size</t>
  </si>
  <si>
    <t>US &amp; Europe Combined</t>
  </si>
  <si>
    <t>US &amp; Europe Combined - Risk Adjusted</t>
  </si>
  <si>
    <t>Revenue growth assumptions</t>
  </si>
  <si>
    <t>Revenue build up</t>
  </si>
  <si>
    <t>Total prescription-based pharmaceutical products</t>
  </si>
  <si>
    <t>Revenue build up - by product and product line</t>
  </si>
  <si>
    <t>Selling, general and admin expenses</t>
  </si>
  <si>
    <t>Income Statement Assumptions</t>
  </si>
  <si>
    <t>Share of profit of JV</t>
  </si>
  <si>
    <t>Non-recurring expenses</t>
  </si>
  <si>
    <t>Effective tax rate</t>
  </si>
  <si>
    <t>Total liabilities and equity</t>
  </si>
  <si>
    <t>Balancing sheet check</t>
  </si>
  <si>
    <t>Calculations</t>
  </si>
  <si>
    <t>Beginning balance</t>
  </si>
  <si>
    <t>Capex</t>
  </si>
  <si>
    <t>Depreciation</t>
  </si>
  <si>
    <t>Amortization</t>
  </si>
  <si>
    <t>Days inventory outstanding</t>
  </si>
  <si>
    <t>Days sales outstanding</t>
  </si>
  <si>
    <t>Days payable outstanding</t>
  </si>
  <si>
    <t>Increase/ (decrease) in non-current debt</t>
  </si>
  <si>
    <t>Increase/ (decrease) in current debt</t>
  </si>
  <si>
    <t>Interest rate on financial liabilities</t>
  </si>
  <si>
    <t>Interest rate on cash and cash equivalents</t>
  </si>
  <si>
    <t>Other non-current liabilities</t>
  </si>
  <si>
    <t>Other current liabilities</t>
  </si>
  <si>
    <t>Depreciation and amortization</t>
  </si>
  <si>
    <t>Beginning cash and cash equivalents</t>
  </si>
  <si>
    <t>Ending cash and cash equivalents</t>
  </si>
  <si>
    <t>Net cash flow</t>
  </si>
  <si>
    <t>Operating working capital</t>
  </si>
  <si>
    <t>Net operating working capital</t>
  </si>
  <si>
    <t>Change in operating working capital</t>
  </si>
  <si>
    <t>Change in other non-current assets</t>
  </si>
  <si>
    <t>Change in other non-current liabilities</t>
  </si>
  <si>
    <t>Net finance costs</t>
  </si>
  <si>
    <t>Investment in joint venture</t>
  </si>
  <si>
    <t>Dividends received from JV</t>
  </si>
  <si>
    <t>JV dividend payout ratio</t>
  </si>
  <si>
    <t>Share of JV profits</t>
  </si>
  <si>
    <t>Dividends from JV</t>
  </si>
  <si>
    <t>Joint venture investments</t>
  </si>
  <si>
    <t>Cash/Debt Assumptions</t>
  </si>
  <si>
    <t>Cash/ Debt and Interest Calculations</t>
  </si>
  <si>
    <t>Ending current financial debt</t>
  </si>
  <si>
    <t>Ending non-current financial debt</t>
  </si>
  <si>
    <t>Issuance/(repayment) of non-current debt</t>
  </si>
  <si>
    <t>Issuance/(repayment) of current debt</t>
  </si>
  <si>
    <t>Features</t>
  </si>
  <si>
    <t>Model Details</t>
  </si>
  <si>
    <t>◦</t>
  </si>
  <si>
    <t>Company name</t>
  </si>
  <si>
    <t>Date</t>
  </si>
  <si>
    <t>Analyst Name</t>
  </si>
  <si>
    <t>Firstname Lastname</t>
  </si>
  <si>
    <t>Circular Switch</t>
  </si>
  <si>
    <t>Tab Structure</t>
  </si>
  <si>
    <t>Formatting</t>
  </si>
  <si>
    <t>IS</t>
  </si>
  <si>
    <t>BS</t>
  </si>
  <si>
    <t>Input</t>
  </si>
  <si>
    <t>CFS and Debt</t>
  </si>
  <si>
    <t>Cash Flow Statement and Debt Schedule</t>
  </si>
  <si>
    <t>Hard coded</t>
  </si>
  <si>
    <t>Formulas</t>
  </si>
  <si>
    <t>Glossary of sector terminology</t>
  </si>
  <si>
    <t>Model for pharmaceuticals company</t>
  </si>
  <si>
    <t>Revenues</t>
  </si>
  <si>
    <t>Pipeline drugs</t>
  </si>
  <si>
    <t>Drugs glossary</t>
  </si>
  <si>
    <t>Revenue forecasts</t>
  </si>
  <si>
    <t>Pipeline Switch</t>
  </si>
  <si>
    <t>LABORATORIOS FARMACÉUTICOS ROVI</t>
  </si>
  <si>
    <t>EUR</t>
  </si>
  <si>
    <t>Thousands</t>
  </si>
  <si>
    <t>This document is for training purposes only. Financial Edge accepts no responsibility or liability for any other purpose or usage.</t>
  </si>
  <si>
    <t>www.fe.training</t>
  </si>
  <si>
    <t>Pipeline Drug</t>
  </si>
  <si>
    <t>Example pipeline drug model</t>
  </si>
  <si>
    <t>Proj.</t>
  </si>
  <si>
    <t>Annual commercial cost inflation before peak</t>
  </si>
  <si>
    <t>Annual decline in commercial costs after peak</t>
  </si>
  <si>
    <t>Hist.</t>
  </si>
  <si>
    <t>DORIA sales (€ thousands)</t>
  </si>
  <si>
    <t>R&amp;D YOY % change</t>
  </si>
  <si>
    <t>Gross profit margin</t>
  </si>
  <si>
    <t>EBITDA profit margin</t>
  </si>
  <si>
    <t>D&amp;A YOY % change</t>
  </si>
  <si>
    <t>Pharmaceuticals Sector Model - Rovi</t>
  </si>
  <si>
    <t>Hibor  - Sales in Spain</t>
  </si>
  <si>
    <t>Hibor - International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</si>
</sst>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/m/yy;@"/>
    <numFmt numFmtId="165" formatCode="0.0%"/>
    <numFmt numFmtId="166" formatCode="#,##0;\(#,##0\)"/>
    <numFmt numFmtId="167" formatCode="mm/yy"/>
    <numFmt numFmtId="168" formatCode="yyyy"/>
    <numFmt numFmtId="169" formatCode="0.0"/>
    <numFmt numFmtId="170" formatCode="#,##0.0_);\(#,##0.0\)"/>
    <numFmt numFmtId="171" formatCode=";;;"/>
    <numFmt numFmtId="172" formatCode="#,##0.0_);\(#,##0.0\)\,0.0_);@_)"/>
    <numFmt numFmtId="173" formatCode="[$-409]d\-mmm\-yy;@"/>
    <numFmt numFmtId="174" formatCode="#,##0.0\ \x_);\(#,##0.0\ \x\);"/>
    <numFmt numFmtId="175" formatCode="#,##0.0_);\(#,##0.0\);0.0_);@_)"/>
    <numFmt numFmtId="176" formatCode="0.0%_);\(0.0%\)"/>
    <numFmt numFmtId="177" formatCode="#,##0.00_);\(#,##0.00\);0.00_);@_)"/>
  </numFmts>
  <fonts count="25" x14ac:knownFonts="1"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2"/>
      <color rgb="FF00206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85393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b/>
      <sz val="12"/>
      <color rgb="FF16326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163260"/>
        <bgColor indexed="64"/>
      </patternFill>
    </fill>
    <fill>
      <patternFill patternType="solid">
        <fgColor rgb="FF1C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0F8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EF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</borders>
  <cellStyleXfs count="24">
    <xf numFmtId="175" fontId="0" fillId="0" borderId="0"/>
    <xf numFmtId="176" fontId="11" fillId="3" borderId="0" applyFont="0" applyFill="0" applyBorder="0" applyAlignment="0" applyProtection="0"/>
    <xf numFmtId="0" fontId="6" fillId="0" borderId="0" applyNumberFormat="0"/>
    <xf numFmtId="0" fontId="6" fillId="2" borderId="1" applyNumberFormat="0"/>
    <xf numFmtId="174" fontId="13" fillId="8" borderId="3" applyNumberFormat="0">
      <protection locked="0"/>
    </xf>
    <xf numFmtId="170" fontId="13" fillId="0" borderId="0" applyNumberFormat="0" applyFill="0" applyBorder="0" applyAlignment="0" applyProtection="0"/>
    <xf numFmtId="0" fontId="10" fillId="5" borderId="0" applyNumberFormat="0" applyFont="0" applyAlignment="0" applyProtection="0">
      <alignment vertical="top"/>
    </xf>
    <xf numFmtId="0" fontId="10" fillId="5" borderId="2" applyFont="0" applyAlignment="0" applyProtection="0">
      <alignment vertical="top"/>
    </xf>
    <xf numFmtId="171" fontId="11" fillId="3" borderId="0" applyFont="0" applyFill="0" applyBorder="0" applyAlignment="0" applyProtection="0"/>
    <xf numFmtId="172" fontId="7" fillId="6" borderId="0" applyNumberFormat="0" applyBorder="0">
      <alignment horizontal="center" vertical="top"/>
    </xf>
    <xf numFmtId="173" fontId="11" fillId="0" borderId="0" applyFont="0" applyFill="0" applyBorder="0" applyAlignment="0" applyProtection="0"/>
    <xf numFmtId="173" fontId="12" fillId="6" borderId="0">
      <alignment horizontal="center"/>
    </xf>
    <xf numFmtId="172" fontId="13" fillId="3" borderId="0" applyNumberFormat="0" applyFill="0" applyBorder="0" applyAlignment="0" applyProtection="0"/>
    <xf numFmtId="172" fontId="14" fillId="7" borderId="0" applyNumberFormat="0" applyFont="0" applyBorder="0" applyAlignment="0" applyProtection="0">
      <alignment vertical="top"/>
    </xf>
    <xf numFmtId="172" fontId="5" fillId="3" borderId="0">
      <alignment horizontal="center"/>
    </xf>
    <xf numFmtId="174" fontId="3" fillId="0" borderId="0" applyFont="0" applyFill="0" applyBorder="0" applyAlignment="0" applyProtection="0"/>
    <xf numFmtId="0" fontId="15" fillId="0" borderId="0"/>
    <xf numFmtId="172" fontId="16" fillId="0" borderId="0" applyNumberFormat="0" applyFill="0" applyBorder="0" applyAlignment="0">
      <alignment vertical="top"/>
    </xf>
    <xf numFmtId="0" fontId="7" fillId="3" borderId="0" applyNumberFormat="0">
      <alignment horizontal="left"/>
    </xf>
    <xf numFmtId="172" fontId="14" fillId="0" borderId="0">
      <alignment vertical="top"/>
    </xf>
    <xf numFmtId="0" fontId="17" fillId="6" borderId="0" applyNumberFormat="0" applyAlignment="0">
      <alignment horizontal="left"/>
    </xf>
    <xf numFmtId="0" fontId="18" fillId="0" borderId="0" applyNumberFormat="0" applyFill="0" applyBorder="0">
      <alignment horizontal="left" vertical="center"/>
    </xf>
    <xf numFmtId="174" fontId="13" fillId="10" borderId="3" applyNumberFormat="0">
      <protection locked="0"/>
    </xf>
    <xf numFmtId="175" fontId="1" fillId="0" borderId="0" applyNumberFormat="0" applyFill="0" applyBorder="0" applyAlignment="0" applyProtection="0"/>
  </cellStyleXfs>
  <cellXfs count="110">
    <xf numFmtId="175" fontId="0" fillId="0" borderId="0" xfId="0"/>
    <xf numFmtId="164" fontId="0" fillId="0" borderId="0" xfId="0" applyNumberFormat="1"/>
    <xf numFmtId="3" fontId="0" fillId="0" borderId="0" xfId="0" applyNumberFormat="1"/>
    <xf numFmtId="175" fontId="0" fillId="0" borderId="0" xfId="0" quotePrefix="1"/>
    <xf numFmtId="3" fontId="2" fillId="0" borderId="0" xfId="0" applyNumberFormat="1" applyFont="1"/>
    <xf numFmtId="166" fontId="6" fillId="0" borderId="0" xfId="2" applyNumberFormat="1"/>
    <xf numFmtId="166" fontId="0" fillId="0" borderId="0" xfId="0" applyNumberFormat="1"/>
    <xf numFmtId="175" fontId="0" fillId="0" borderId="0" xfId="0"/>
    <xf numFmtId="175" fontId="4" fillId="0" borderId="0" xfId="0" applyFont="1"/>
    <xf numFmtId="175" fontId="7" fillId="3" borderId="0" xfId="0" applyFont="1" applyFill="1"/>
    <xf numFmtId="175" fontId="5" fillId="4" borderId="0" xfId="0" applyFont="1" applyFill="1"/>
    <xf numFmtId="175" fontId="5" fillId="3" borderId="0" xfId="0" applyFont="1" applyFill="1"/>
    <xf numFmtId="175" fontId="8" fillId="0" borderId="0" xfId="0" applyFont="1"/>
    <xf numFmtId="167" fontId="5" fillId="4" borderId="0" xfId="0" applyNumberFormat="1" applyFont="1" applyFill="1"/>
    <xf numFmtId="175" fontId="5" fillId="4" borderId="0" xfId="0" applyFont="1" applyFill="1" applyAlignment="1">
      <alignment horizontal="right"/>
    </xf>
    <xf numFmtId="175" fontId="0" fillId="0" borderId="0" xfId="0"/>
    <xf numFmtId="175" fontId="13" fillId="0" borderId="0" xfId="12" applyNumberFormat="1" applyFill="1"/>
    <xf numFmtId="165" fontId="19" fillId="0" borderId="0" xfId="0" applyNumberFormat="1" applyFont="1"/>
    <xf numFmtId="3" fontId="19" fillId="0" borderId="0" xfId="0" applyNumberFormat="1" applyFont="1"/>
    <xf numFmtId="175" fontId="19" fillId="0" borderId="0" xfId="0" applyFont="1"/>
    <xf numFmtId="176" fontId="19" fillId="0" borderId="0" xfId="1" applyFont="1" applyFill="1"/>
    <xf numFmtId="176" fontId="0" fillId="0" borderId="0" xfId="1" applyFont="1" applyFill="1"/>
    <xf numFmtId="177" fontId="13" fillId="0" borderId="0" xfId="12" applyNumberFormat="1" applyFill="1"/>
    <xf numFmtId="175" fontId="20" fillId="0" borderId="0" xfId="0" applyFont="1"/>
    <xf numFmtId="175" fontId="19" fillId="0" borderId="0" xfId="0" applyFont="1" applyFill="1"/>
    <xf numFmtId="175" fontId="0" fillId="0" borderId="0" xfId="0" applyFont="1"/>
    <xf numFmtId="175" fontId="13" fillId="8" borderId="3" xfId="4" applyNumberFormat="1">
      <protection locked="0"/>
    </xf>
    <xf numFmtId="176" fontId="13" fillId="8" borderId="3" xfId="4" applyNumberFormat="1">
      <protection locked="0"/>
    </xf>
    <xf numFmtId="166" fontId="13" fillId="8" borderId="3" xfId="4" applyNumberFormat="1">
      <protection locked="0"/>
    </xf>
    <xf numFmtId="165" fontId="13" fillId="8" borderId="3" xfId="4" applyNumberFormat="1">
      <protection locked="0"/>
    </xf>
    <xf numFmtId="169" fontId="13" fillId="0" borderId="0" xfId="12" applyNumberFormat="1" applyFill="1"/>
    <xf numFmtId="2" fontId="13" fillId="8" borderId="3" xfId="4" applyNumberFormat="1">
      <protection locked="0"/>
    </xf>
    <xf numFmtId="175" fontId="18" fillId="0" borderId="0" xfId="21" applyNumberFormat="1">
      <alignment horizontal="left" vertical="center"/>
    </xf>
    <xf numFmtId="169" fontId="19" fillId="0" borderId="0" xfId="0" applyNumberFormat="1" applyFont="1"/>
    <xf numFmtId="176" fontId="13" fillId="8" borderId="3" xfId="1" applyFont="1" applyFill="1" applyBorder="1" applyProtection="1">
      <protection locked="0"/>
    </xf>
    <xf numFmtId="173" fontId="5" fillId="4" borderId="0" xfId="10" applyFont="1" applyFill="1" applyAlignment="1">
      <alignment horizontal="right"/>
    </xf>
    <xf numFmtId="168" fontId="19" fillId="0" borderId="0" xfId="0" applyNumberFormat="1" applyFont="1"/>
    <xf numFmtId="175" fontId="21" fillId="0" borderId="0" xfId="0" applyFont="1"/>
    <xf numFmtId="175" fontId="18" fillId="0" borderId="0" xfId="21" applyNumberFormat="1" applyFill="1">
      <alignment horizontal="left" vertical="center"/>
    </xf>
    <xf numFmtId="175" fontId="5" fillId="0" borderId="0" xfId="0" applyFont="1" applyFill="1"/>
    <xf numFmtId="175" fontId="0" fillId="0" borderId="0" xfId="0" applyFill="1"/>
    <xf numFmtId="167" fontId="5" fillId="0" borderId="0" xfId="0" applyNumberFormat="1" applyFont="1" applyFill="1"/>
    <xf numFmtId="175" fontId="7" fillId="3" borderId="0" xfId="18" applyNumberFormat="1">
      <alignment horizontal="left"/>
    </xf>
    <xf numFmtId="3" fontId="21" fillId="0" borderId="0" xfId="0" applyNumberFormat="1" applyFont="1"/>
    <xf numFmtId="175" fontId="13" fillId="0" borderId="0" xfId="12" applyNumberFormat="1" applyFont="1" applyFill="1"/>
    <xf numFmtId="175" fontId="4" fillId="0" borderId="0" xfId="0" applyFont="1" applyFill="1"/>
    <xf numFmtId="172" fontId="7" fillId="3" borderId="0" xfId="18" applyNumberFormat="1" applyAlignment="1"/>
    <xf numFmtId="175" fontId="9" fillId="3" borderId="0" xfId="0" applyFont="1" applyFill="1"/>
    <xf numFmtId="172" fontId="17" fillId="6" borderId="0" xfId="20" applyNumberFormat="1" applyAlignment="1"/>
    <xf numFmtId="175" fontId="22" fillId="6" borderId="0" xfId="0" applyFont="1" applyFill="1"/>
    <xf numFmtId="175" fontId="10" fillId="9" borderId="0" xfId="0" applyFont="1" applyFill="1"/>
    <xf numFmtId="175" fontId="10" fillId="5" borderId="0" xfId="6" applyNumberFormat="1" applyFont="1" applyAlignment="1"/>
    <xf numFmtId="172" fontId="23" fillId="5" borderId="0" xfId="6" applyNumberFormat="1" applyFont="1" applyAlignment="1">
      <alignment vertical="center" wrapText="1"/>
    </xf>
    <xf numFmtId="175" fontId="10" fillId="5" borderId="0" xfId="6" applyNumberFormat="1" applyFont="1" applyAlignment="1">
      <alignment horizontal="left" vertical="top"/>
    </xf>
    <xf numFmtId="175" fontId="14" fillId="5" borderId="0" xfId="6" applyNumberFormat="1" applyFont="1" applyAlignment="1">
      <alignment horizontal="center" vertical="top"/>
    </xf>
    <xf numFmtId="175" fontId="0" fillId="5" borderId="0" xfId="6" applyNumberFormat="1" applyFont="1" applyAlignment="1"/>
    <xf numFmtId="175" fontId="10" fillId="5" borderId="0" xfId="6" applyNumberFormat="1" applyFont="1" applyAlignment="1">
      <alignment vertical="top"/>
    </xf>
    <xf numFmtId="175" fontId="14" fillId="5" borderId="0" xfId="6" applyNumberFormat="1" applyFont="1" applyAlignment="1">
      <alignment vertical="top"/>
    </xf>
    <xf numFmtId="175" fontId="10" fillId="5" borderId="0" xfId="6" applyNumberFormat="1" applyFont="1" applyAlignment="1">
      <alignment vertical="top" wrapText="1"/>
    </xf>
    <xf numFmtId="172" fontId="10" fillId="5" borderId="0" xfId="6" applyNumberFormat="1" applyFont="1" applyAlignment="1">
      <alignment vertical="top"/>
    </xf>
    <xf numFmtId="172" fontId="14" fillId="5" borderId="0" xfId="6" applyNumberFormat="1" applyFont="1" applyAlignment="1">
      <alignment horizontal="center" vertical="top"/>
    </xf>
    <xf numFmtId="172" fontId="10" fillId="5" borderId="0" xfId="6" applyNumberFormat="1" applyFont="1" applyAlignment="1"/>
    <xf numFmtId="172" fontId="24" fillId="5" borderId="0" xfId="6" applyNumberFormat="1" applyFont="1" applyAlignment="1">
      <alignment vertical="center" wrapText="1"/>
    </xf>
    <xf numFmtId="175" fontId="10" fillId="5" borderId="2" xfId="6" applyNumberFormat="1" applyFont="1" applyBorder="1" applyAlignment="1">
      <alignment vertical="top"/>
    </xf>
    <xf numFmtId="175" fontId="23" fillId="0" borderId="0" xfId="0" applyFont="1" applyAlignment="1">
      <alignment vertical="center" wrapText="1"/>
    </xf>
    <xf numFmtId="175" fontId="18" fillId="5" borderId="0" xfId="6" applyNumberFormat="1" applyFont="1" applyAlignment="1">
      <alignment vertical="center"/>
    </xf>
    <xf numFmtId="175" fontId="14" fillId="0" borderId="0" xfId="0" applyFont="1" applyAlignment="1">
      <alignment horizontal="center" vertical="top"/>
    </xf>
    <xf numFmtId="175" fontId="10" fillId="0" borderId="0" xfId="0" applyFont="1" applyAlignment="1">
      <alignment vertical="top"/>
    </xf>
    <xf numFmtId="172" fontId="13" fillId="10" borderId="3" xfId="22" applyNumberFormat="1">
      <protection locked="0"/>
    </xf>
    <xf numFmtId="172" fontId="13" fillId="0" borderId="0" xfId="12" applyFill="1" applyBorder="1" applyAlignment="1">
      <alignment vertical="top"/>
    </xf>
    <xf numFmtId="172" fontId="10" fillId="0" borderId="0" xfId="6" applyNumberFormat="1" applyFont="1" applyFill="1" applyAlignment="1"/>
    <xf numFmtId="175" fontId="0" fillId="5" borderId="0" xfId="6" applyNumberFormat="1" applyFont="1" applyAlignment="1">
      <alignment horizontal="left"/>
    </xf>
    <xf numFmtId="175" fontId="10" fillId="0" borderId="0" xfId="0" applyFont="1"/>
    <xf numFmtId="173" fontId="5" fillId="4" borderId="0" xfId="10" applyFont="1" applyFill="1"/>
    <xf numFmtId="175" fontId="9" fillId="0" borderId="0" xfId="0" applyFont="1"/>
    <xf numFmtId="175" fontId="18" fillId="0" borderId="0" xfId="0" applyFont="1" applyAlignment="1">
      <alignment vertical="center"/>
    </xf>
    <xf numFmtId="172" fontId="10" fillId="5" borderId="0" xfId="6" applyNumberFormat="1" applyFont="1" applyAlignment="1">
      <alignment horizontal="left" vertical="top"/>
    </xf>
    <xf numFmtId="175" fontId="14" fillId="5" borderId="2" xfId="6" applyNumberFormat="1" applyFont="1" applyBorder="1" applyAlignment="1">
      <alignment horizontal="center" vertical="top"/>
    </xf>
    <xf numFmtId="175" fontId="10" fillId="5" borderId="2" xfId="6" applyNumberFormat="1" applyFont="1" applyBorder="1" applyAlignment="1"/>
    <xf numFmtId="175" fontId="23" fillId="5" borderId="2" xfId="6" applyNumberFormat="1" applyFont="1" applyBorder="1" applyAlignment="1">
      <alignment vertical="center" wrapText="1"/>
    </xf>
    <xf numFmtId="175" fontId="17" fillId="6" borderId="0" xfId="20" applyNumberFormat="1" applyAlignment="1"/>
    <xf numFmtId="175" fontId="19" fillId="11" borderId="0" xfId="0" applyFont="1" applyFill="1"/>
    <xf numFmtId="169" fontId="19" fillId="11" borderId="0" xfId="0" applyNumberFormat="1" applyFont="1" applyFill="1"/>
    <xf numFmtId="175" fontId="0" fillId="11" borderId="0" xfId="0" applyFill="1"/>
    <xf numFmtId="166" fontId="0" fillId="0" borderId="0" xfId="0" applyNumberFormat="1" applyFill="1"/>
    <xf numFmtId="175" fontId="21" fillId="0" borderId="0" xfId="0" applyFont="1" applyFill="1"/>
    <xf numFmtId="177" fontId="19" fillId="0" borderId="0" xfId="0" applyNumberFormat="1" applyFont="1" applyFill="1"/>
    <xf numFmtId="175" fontId="0" fillId="0" borderId="0" xfId="0"/>
    <xf numFmtId="3" fontId="0" fillId="0" borderId="0" xfId="0" applyNumberFormat="1" applyFill="1"/>
    <xf numFmtId="175" fontId="0" fillId="0" borderId="0" xfId="0"/>
    <xf numFmtId="175" fontId="0" fillId="0" borderId="0" xfId="0" applyFill="1" applyBorder="1"/>
    <xf numFmtId="175" fontId="0" fillId="0" borderId="0" xfId="0"/>
    <xf numFmtId="175" fontId="3" fillId="0" borderId="0" xfId="0" applyFont="1"/>
    <xf numFmtId="175" fontId="0" fillId="0" borderId="0" xfId="0"/>
    <xf numFmtId="175" fontId="0" fillId="0" borderId="0" xfId="0"/>
    <xf numFmtId="175" fontId="0" fillId="0" borderId="0" xfId="0"/>
    <xf numFmtId="175" fontId="0" fillId="0" borderId="0" xfId="0"/>
    <xf numFmtId="175" fontId="0" fillId="0" borderId="0" xfId="0"/>
    <xf numFmtId="175" fontId="19" fillId="12" borderId="0" xfId="0" applyFont="1" applyFill="1"/>
    <xf numFmtId="175" fontId="0" fillId="0" borderId="0" xfId="0"/>
    <xf numFmtId="175" fontId="0" fillId="0" borderId="0" xfId="0"/>
    <xf numFmtId="172" fontId="7" fillId="3" borderId="0" xfId="18" applyNumberFormat="1" applyAlignment="1">
      <alignment horizontal="center"/>
    </xf>
    <xf numFmtId="172" fontId="7" fillId="6" borderId="0" xfId="20" applyNumberFormat="1" applyFont="1" applyAlignment="1">
      <alignment horizontal="center" vertical="center"/>
    </xf>
    <xf numFmtId="172" fontId="10" fillId="5" borderId="0" xfId="6" applyNumberFormat="1" applyFont="1" applyAlignment="1">
      <alignment horizontal="left" vertical="top"/>
    </xf>
    <xf numFmtId="172" fontId="0" fillId="5" borderId="0" xfId="0" applyNumberFormat="1" applyFill="1" applyAlignment="1">
      <alignment horizontal="center" vertical="center" wrapText="1"/>
    </xf>
    <xf numFmtId="172" fontId="1" fillId="5" borderId="0" xfId="23" applyNumberFormat="1" applyFill="1" applyBorder="1" applyAlignment="1">
      <alignment horizontal="center" vertical="center" wrapText="1"/>
    </xf>
    <xf numFmtId="175" fontId="0" fillId="5" borderId="0" xfId="6" applyNumberFormat="1" applyFont="1" applyAlignment="1">
      <alignment horizontal="left"/>
    </xf>
    <xf numFmtId="175" fontId="0" fillId="5" borderId="0" xfId="6" applyNumberFormat="1" applyFont="1" applyAlignment="1"/>
    <xf numFmtId="175" fontId="18" fillId="5" borderId="0" xfId="6" applyNumberFormat="1" applyFont="1" applyAlignment="1">
      <alignment horizontal="left" vertical="center"/>
    </xf>
    <xf numFmtId="173" fontId="0" fillId="5" borderId="0" xfId="6" applyNumberFormat="1" applyFont="1" applyAlignment="1">
      <alignment horizontal="left"/>
    </xf>
  </cellXfs>
  <cellStyles count="24">
    <cellStyle name="Actual" xfId="2" xr:uid="{97E25581-C224-4B27-A13F-1F353340A930}"/>
    <cellStyle name="Assumption" xfId="3" xr:uid="{3187E4D1-476E-4A2B-A7DF-D451914E0590}"/>
    <cellStyle name="b" xfId="5" xr:uid="{12639F8F-C8A8-48AD-B9CE-2730E06ED6B5}"/>
    <cellStyle name="Background Fill" xfId="6" xr:uid="{5C9A1FC9-9195-4324-A608-6DB1E44E08D4}"/>
    <cellStyle name="BG Border" xfId="7" xr:uid="{453E6B1C-DBBD-4610-A661-9033B28E3B75}"/>
    <cellStyle name="Blank" xfId="8" xr:uid="{5EFBBDB1-4EA0-4791-9E62-365F264A19DC}"/>
    <cellStyle name="Cover Title" xfId="9" xr:uid="{B4AE85A9-F608-4FC9-86C2-5012675568DD}"/>
    <cellStyle name="Date" xfId="10" xr:uid="{E0EBD866-050C-4EFC-960A-F9C8CAC0ABB8}"/>
    <cellStyle name="Date Heading" xfId="11" xr:uid="{B4E91571-66F6-42E3-A170-DA1DA54AC75E}"/>
    <cellStyle name="Hard Coded Number" xfId="12" xr:uid="{735B95DA-FF94-492E-83FD-1692ACF5DBDC}"/>
    <cellStyle name="Highlight" xfId="13" xr:uid="{5ECF2C2C-EEC7-4762-84D0-7331BD6CFDA7}"/>
    <cellStyle name="Hist Proj Title" xfId="14" xr:uid="{AEC9CDA8-4DCE-4809-B423-7B735C453C76}"/>
    <cellStyle name="Hyperlink 2" xfId="23" xr:uid="{DA3B4336-E810-4A3D-8804-FABFA760031F}"/>
    <cellStyle name="Input" xfId="4" builtinId="20" customBuiltin="1"/>
    <cellStyle name="Input 2" xfId="22" xr:uid="{4D17C40B-EB54-4C1A-9158-A2022B33CD35}"/>
    <cellStyle name="Multiple" xfId="15" xr:uid="{4A3B63C0-C853-49A0-9238-A8BFFE4531DF}"/>
    <cellStyle name="Normal" xfId="0" builtinId="0" customBuiltin="1"/>
    <cellStyle name="Normal 2" xfId="16" xr:uid="{2C5DBBD8-044E-495C-95ED-A769068DA73B}"/>
    <cellStyle name="Notes and Comments" xfId="17" xr:uid="{72BE53B3-4E7D-4F25-937D-AC2CE6F6AE7A}"/>
    <cellStyle name="Percent" xfId="1" builtinId="5" customBuiltin="1"/>
    <cellStyle name="Primary Title" xfId="18" xr:uid="{638B5DAE-8E18-4FEB-A806-B80DB87F2815}"/>
    <cellStyle name="Row Label" xfId="19" xr:uid="{BC6523AB-225D-41EB-8768-88C01A2F458C}"/>
    <cellStyle name="Secondary Title" xfId="20" xr:uid="{C9B9C399-4D89-4A96-BB6B-E99C8BAA8C6D}"/>
    <cellStyle name="Tertiary Title" xfId="21" xr:uid="{8FD764E0-9774-4350-AD02-D976D0A1963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466724</xdr:colOff>
      <xdr:row>0</xdr:row>
      <xdr:rowOff>1552395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1249A5-D93A-4B3A-8111-EAE63F69A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9385" y="1021080"/>
          <a:ext cx="3720465" cy="531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17</xdr:col>
      <xdr:colOff>2286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D038C2-A28A-4B2F-B867-C5AC4987E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4959" y="123820"/>
          <a:ext cx="408966" cy="3428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borah%20Taylor\AppData\Local\Packages\Microsoft.Office.Desktop_8wekyb3d8bbwe\LocalCache\Roaming\Microsoft\Excel\Burberry%20Financial%20Forecasting%20Full%20Instructor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w%20Jones\AppData\Roaming\Microsoft\AddIns\FE%20Training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Info"/>
      <sheetName val="IS"/>
      <sheetName val="BS"/>
      <sheetName val="CFS"/>
      <sheetName val="Segments"/>
      <sheetName val="Scenarios"/>
      <sheetName val="Benchmark vs Consensus"/>
    </sheetNames>
    <sheetDataSet>
      <sheetData sheetId="0"/>
      <sheetData sheetId="1">
        <row r="10">
          <cell r="N10">
            <v>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"/>
      <sheetName val="Shortcuts"/>
      <sheetName val="Constants"/>
    </sheetNames>
    <definedNames>
      <definedName name="FR"/>
    </defined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nathan Rodgers" id="{7E527EF0-B477-4BDB-9F59-321CA0B74F05}" userId="98b3f7c3c19747b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4" dT="2021-01-20T13:50:30.38" personId="{7E527EF0-B477-4BDB-9F59-321CA0B74F05}" id="{7871CDA2-251D-4BD8-B227-E65EA7AD45E0}">
    <text>Net of treasury shares</text>
  </threadedComment>
  <threadedComment ref="F44" dT="2021-01-20T13:54:12.93" personId="{7E527EF0-B477-4BDB-9F59-321CA0B74F05}" id="{60565572-0F2C-4E20-8944-19E6C2BF02BD}">
    <text>Discrepancy between 2018 and 2019 ARs on 2018 shares outstanding, but this seems to make more sense</text>
  </threadedComment>
  <threadedComment ref="G51" dT="2021-01-15T13:38:32.37" personId="{7E527EF0-B477-4BDB-9F59-321CA0B74F05}" id="{2BF85314-ED29-4647-B13E-FC6E4B8AA6AE}">
    <text>Decrease of 1.5 percentage points from 58.1% in 2018 to 56.6%,
mainly due to:
• the increase of Enoxaparin biosimilar sales, which added lower
margins in 2019 after the launch of the product in five new markets;
and
• the increase in the LMWH raw material prices (due to the African
swine fever), which, in 2019, were running around 44% over 2018
prices.
• ROVI expects this upward trend in low-molecular-weight heparin raw material
prices to increase during 2020. 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9" dT="2021-01-19T14:06:34.73" personId="{7E527EF0-B477-4BDB-9F59-321CA0B74F05}" id="{4445CCC0-0BFF-4B68-B59E-C79992857DCE}">
    <text>Realistically this would be more likely tied in to specific drug launches given a lot of it is capitalised R&amp;D</text>
  </threadedComment>
  <threadedComment ref="G62" dT="2021-01-19T11:52:46.70" personId="{7E527EF0-B477-4BDB-9F59-321CA0B74F05}" id="{3867620D-EE99-4C40-A339-7DEBA62576D6}">
    <text>Includes 17,411 lease liabilities (0 in 2018)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46" dT="2021-01-19T11:56:21.88" personId="{7E527EF0-B477-4BDB-9F59-321CA0B74F05}" id="{198FAC28-6B37-4BAA-9427-62CD8DD463E4}">
    <text>Includes 617 other financial income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17" dT="2021-01-18T09:46:05.99" personId="{7E527EF0-B477-4BDB-9F59-321CA0B74F05}" id="{AFAB550C-0B8E-4876-BE11-D53496397746}">
    <text>Net of discounts to the National Health System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12" dT="2021-01-18T10:18:58.36" personId="{7E527EF0-B477-4BDB-9F59-321CA0B74F05}" id="{77B56892-DCF3-4031-8AD3-2DC2410017AD}">
    <text>2015-2019 CAGR of 20%</text>
  </threadedComment>
  <threadedComment ref="C13" dT="2021-01-18T10:19:11.82" personId="{7E527EF0-B477-4BDB-9F59-321CA0B74F05}" id="{E6FB80FE-A05E-42E2-921C-73A8A9FCBD36}">
    <text>2015-2019 CAGR of 8.5%</text>
  </threadedComment>
  <threadedComment ref="B31" dT="2021-01-20T11:10:03.00" personId="{7E527EF0-B477-4BDB-9F59-321CA0B74F05}" id="{7652B98C-C59A-4CBB-A49D-3ECEFD5AF955}">
    <text>Impact of price pressure etc.</text>
  </threadedComment>
  <threadedComment ref="B50" dT="2021-01-20T11:12:23.92" personId="{7E527EF0-B477-4BDB-9F59-321CA0B74F05}" id="{0C321305-C7A0-4F9B-9F18-A37BFF98102A}">
    <text>Assumed to fade down after peak</text>
  </threadedComment>
  <threadedComment ref="C63" dT="2021-01-18T11:15:35.36" personId="{7E527EF0-B477-4BDB-9F59-321CA0B74F05}" id="{00FA7312-3394-4AC2-AA10-ED0B5EF9EC0E}">
    <text>US would be a full indirect market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CBBE-43FB-44F2-882B-2DE2290EA46D}">
  <dimension ref="A1:U19"/>
  <sheetViews>
    <sheetView showGridLines="0" tabSelected="1" zoomScaleNormal="100" workbookViewId="0">
      <selection sqref="A1:N1"/>
    </sheetView>
  </sheetViews>
  <sheetFormatPr defaultColWidth="9.140625" defaultRowHeight="15" x14ac:dyDescent="0.25"/>
  <cols>
    <col min="1" max="1" width="9.85546875" style="15" customWidth="1"/>
    <col min="2" max="13" width="9.140625" style="15" customWidth="1"/>
    <col min="14" max="14" width="9.85546875" style="15" customWidth="1"/>
    <col min="15" max="26" width="9.140625" style="15" customWidth="1"/>
    <col min="27" max="16384" width="9.140625" style="15"/>
  </cols>
  <sheetData>
    <row r="1" spans="1:21" s="74" customFormat="1" ht="189.75" customHeight="1" x14ac:dyDescent="0.4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5"/>
      <c r="P1" s="15"/>
      <c r="Q1" s="15"/>
      <c r="R1" s="15"/>
      <c r="S1" s="15"/>
      <c r="T1" s="15"/>
      <c r="U1" s="15"/>
    </row>
    <row r="2" spans="1:21" s="67" customFormat="1" ht="7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5"/>
      <c r="P2" s="15"/>
      <c r="Q2" s="15"/>
      <c r="R2" s="15"/>
      <c r="S2" s="15"/>
      <c r="T2" s="15"/>
      <c r="U2" s="15"/>
    </row>
    <row r="3" spans="1:21" s="72" customFormat="1" ht="7.5" customHeight="1" x14ac:dyDescent="0.25">
      <c r="B3" s="75"/>
      <c r="C3" s="75"/>
      <c r="F3" s="64"/>
      <c r="G3" s="64"/>
      <c r="H3" s="64"/>
      <c r="I3" s="64"/>
      <c r="J3" s="64"/>
      <c r="K3" s="64"/>
      <c r="O3" s="15"/>
      <c r="P3" s="15"/>
      <c r="Q3" s="15"/>
      <c r="R3" s="15"/>
      <c r="S3" s="15"/>
      <c r="T3" s="15"/>
      <c r="U3" s="15"/>
    </row>
    <row r="4" spans="1:21" s="72" customFormat="1" ht="15" customHeight="1" x14ac:dyDescent="0.25">
      <c r="A4" s="76"/>
      <c r="B4" s="60"/>
      <c r="C4" s="103"/>
      <c r="D4" s="103"/>
      <c r="E4" s="61"/>
      <c r="F4" s="52"/>
      <c r="G4" s="52"/>
      <c r="H4" s="52"/>
      <c r="I4" s="52"/>
      <c r="J4" s="52"/>
      <c r="K4" s="52"/>
      <c r="L4" s="61"/>
      <c r="M4" s="61"/>
      <c r="N4" s="61"/>
      <c r="O4" s="15"/>
      <c r="P4" s="15"/>
      <c r="Q4" s="15"/>
      <c r="R4" s="15"/>
      <c r="S4" s="15"/>
      <c r="T4" s="15"/>
      <c r="U4" s="15"/>
    </row>
    <row r="5" spans="1:21" s="72" customFormat="1" ht="15" customHeight="1" x14ac:dyDescent="0.25">
      <c r="A5" s="104" t="s">
        <v>209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5"/>
      <c r="P5" s="15"/>
      <c r="Q5" s="15"/>
      <c r="R5" s="15"/>
      <c r="S5" s="15"/>
      <c r="T5" s="15"/>
      <c r="U5" s="15"/>
    </row>
    <row r="6" spans="1:21" s="72" customFormat="1" ht="1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5"/>
      <c r="P6" s="15"/>
      <c r="Q6" s="15"/>
      <c r="R6" s="15"/>
      <c r="S6" s="15"/>
      <c r="T6" s="15"/>
      <c r="U6" s="15"/>
    </row>
    <row r="7" spans="1:21" s="72" customFormat="1" ht="15" customHeight="1" x14ac:dyDescent="0.25">
      <c r="A7" s="104" t="str">
        <f ca="1">"© "&amp;YEAR(TODAY())&amp;" Financial Edge Training"</f>
        <v>© 2021 Financial Edge Training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5"/>
      <c r="P7" s="15"/>
      <c r="Q7" s="15"/>
      <c r="R7" s="15"/>
      <c r="S7" s="15"/>
      <c r="T7" s="15"/>
      <c r="U7" s="15"/>
    </row>
    <row r="8" spans="1:21" s="72" customFormat="1" ht="15" customHeight="1" x14ac:dyDescent="0.25">
      <c r="A8" s="105" t="s">
        <v>210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5"/>
      <c r="P8" s="15"/>
      <c r="Q8" s="15"/>
      <c r="R8" s="15"/>
      <c r="S8" s="15"/>
      <c r="T8" s="15"/>
      <c r="U8" s="15"/>
    </row>
    <row r="9" spans="1:21" s="72" customFormat="1" ht="15" customHeight="1" thickBot="1" x14ac:dyDescent="0.3">
      <c r="A9" s="63"/>
      <c r="B9" s="77"/>
      <c r="C9" s="63"/>
      <c r="D9" s="63"/>
      <c r="E9" s="78"/>
      <c r="F9" s="79"/>
      <c r="G9" s="79"/>
      <c r="H9" s="79"/>
      <c r="I9" s="79"/>
      <c r="J9" s="79"/>
      <c r="K9" s="79"/>
      <c r="L9" s="78"/>
      <c r="M9" s="78"/>
      <c r="N9" s="78"/>
      <c r="O9" s="15"/>
      <c r="P9" s="15"/>
      <c r="Q9" s="15"/>
      <c r="R9" s="15"/>
      <c r="S9" s="15"/>
      <c r="T9" s="15"/>
      <c r="U9" s="15"/>
    </row>
    <row r="10" spans="1:21" s="72" customFormat="1" ht="15" customHeight="1" x14ac:dyDescent="0.25">
      <c r="A10" s="15"/>
      <c r="B10" s="15"/>
      <c r="C10" s="15"/>
      <c r="D10" s="15"/>
      <c r="E10" s="15"/>
      <c r="F10" s="15"/>
      <c r="G10" s="100"/>
      <c r="H10" s="100"/>
      <c r="I10" s="100"/>
      <c r="J10" s="100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s="72" customFormat="1" ht="15" customHeight="1" x14ac:dyDescent="0.25">
      <c r="A11" s="15"/>
      <c r="B11" s="15"/>
      <c r="C11" s="15"/>
      <c r="D11" s="15"/>
      <c r="E11" s="15"/>
      <c r="F11" s="15"/>
      <c r="G11" s="100"/>
      <c r="H11" s="100"/>
      <c r="I11" s="100"/>
      <c r="J11" s="100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s="72" customFormat="1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s="72" customFormat="1" ht="15" customHeight="1" x14ac:dyDescent="0.25">
      <c r="A13" s="15"/>
      <c r="B13" s="15"/>
      <c r="C13" s="15"/>
      <c r="D13" s="15"/>
      <c r="E13" s="15"/>
      <c r="F13" s="15"/>
      <c r="G13" s="100"/>
      <c r="H13" s="100"/>
      <c r="I13" s="100"/>
      <c r="J13" s="100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s="72" customFormat="1" ht="15" customHeight="1" x14ac:dyDescent="0.25">
      <c r="A14" s="15"/>
      <c r="B14" s="15"/>
      <c r="C14" s="15"/>
      <c r="D14" s="15"/>
      <c r="E14" s="15"/>
      <c r="F14" s="15"/>
      <c r="G14" s="100"/>
      <c r="H14" s="100"/>
      <c r="I14" s="100"/>
      <c r="J14" s="100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s="72" customFormat="1" ht="15" customHeight="1" x14ac:dyDescent="0.25">
      <c r="A15" s="15"/>
      <c r="B15" s="15"/>
      <c r="C15" s="15"/>
      <c r="D15" s="15"/>
      <c r="E15" s="15"/>
      <c r="F15" s="15"/>
      <c r="G15" s="100"/>
      <c r="H15" s="100"/>
      <c r="I15" s="100"/>
      <c r="J15" s="100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s="72" customFormat="1" ht="1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s="72" customFormat="1" ht="15" customHeight="1" x14ac:dyDescent="0.25">
      <c r="A17" s="15"/>
      <c r="B17" s="15"/>
      <c r="C17" s="15"/>
      <c r="D17" s="15"/>
      <c r="E17" s="15"/>
      <c r="F17" s="15"/>
      <c r="G17" s="100"/>
      <c r="H17" s="100"/>
      <c r="I17" s="100"/>
      <c r="J17" s="100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s="72" customFormat="1" ht="1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ht="15" customHeight="1" x14ac:dyDescent="0.25"/>
  </sheetData>
  <mergeCells count="9">
    <mergeCell ref="G10:J11"/>
    <mergeCell ref="G13:J15"/>
    <mergeCell ref="G17:J17"/>
    <mergeCell ref="A1:N1"/>
    <mergeCell ref="A2:N2"/>
    <mergeCell ref="C4:D4"/>
    <mergeCell ref="A5:N6"/>
    <mergeCell ref="A7:N7"/>
    <mergeCell ref="A8:N8"/>
  </mergeCells>
  <hyperlinks>
    <hyperlink ref="A8" r:id="rId1" xr:uid="{A6BEA0F0-09A2-436F-BA11-99DC998EC290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2020&amp;C&amp;10Page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ECD4-9350-41FA-AAEB-C906626A873B}">
  <dimension ref="A1:X22"/>
  <sheetViews>
    <sheetView showGridLines="0" zoomScaleNormal="100" workbookViewId="0"/>
  </sheetViews>
  <sheetFormatPr defaultColWidth="9.140625" defaultRowHeight="15" x14ac:dyDescent="0.25"/>
  <cols>
    <col min="1" max="1" width="1.42578125" style="15" customWidth="1"/>
    <col min="2" max="2" width="2.85546875" style="15" customWidth="1"/>
    <col min="3" max="3" width="13.140625" style="15" customWidth="1"/>
    <col min="4" max="4" width="2.85546875" style="15" customWidth="1"/>
    <col min="5" max="7" width="1.42578125" style="15" customWidth="1"/>
    <col min="8" max="8" width="2.85546875" style="15" customWidth="1"/>
    <col min="9" max="9" width="42.85546875" style="15" customWidth="1"/>
    <col min="10" max="11" width="1.42578125" style="15" customWidth="1"/>
    <col min="12" max="12" width="15.5703125" style="15" customWidth="1"/>
    <col min="13" max="14" width="1.42578125" style="15" customWidth="1"/>
    <col min="15" max="15" width="2.85546875" style="15" customWidth="1"/>
    <col min="16" max="16" width="32.5703125" style="15" customWidth="1"/>
    <col min="17" max="17" width="2.85546875" style="15" customWidth="1"/>
    <col min="18" max="18" width="1.42578125" style="15" customWidth="1"/>
    <col min="19" max="22" width="9.140625" style="15"/>
    <col min="23" max="23" width="9.140625" style="15" customWidth="1"/>
    <col min="24" max="16384" width="9.140625" style="15"/>
  </cols>
  <sheetData>
    <row r="1" spans="1:24" ht="45" customHeight="1" x14ac:dyDescent="0.45">
      <c r="A1" s="46" t="s">
        <v>222</v>
      </c>
      <c r="B1" s="46"/>
      <c r="C1" s="46"/>
      <c r="D1" s="46"/>
      <c r="E1" s="46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</row>
    <row r="2" spans="1:24" ht="30" customHeight="1" x14ac:dyDescent="0.35">
      <c r="A2" s="48"/>
      <c r="B2" s="48"/>
      <c r="C2" s="48"/>
      <c r="D2" s="48"/>
      <c r="E2" s="48"/>
      <c r="F2" s="48"/>
      <c r="G2" s="48"/>
      <c r="H2" s="48"/>
      <c r="I2" s="48"/>
      <c r="J2" s="49"/>
      <c r="K2" s="49"/>
      <c r="L2" s="49"/>
      <c r="M2" s="49"/>
      <c r="N2" s="49"/>
      <c r="O2" s="49"/>
      <c r="P2" s="49"/>
      <c r="Q2" s="49"/>
      <c r="R2" s="49"/>
    </row>
    <row r="3" spans="1:24" s="50" customFormat="1" ht="7.5" customHeight="1" x14ac:dyDescent="0.25">
      <c r="S3" s="15"/>
      <c r="T3" s="15"/>
      <c r="U3" s="15"/>
      <c r="V3" s="15"/>
      <c r="W3" s="15"/>
      <c r="X3" s="15"/>
    </row>
    <row r="4" spans="1:24" s="50" customFormat="1" ht="22.5" customHeight="1" x14ac:dyDescent="0.25">
      <c r="A4" s="51"/>
      <c r="B4" s="108" t="s">
        <v>182</v>
      </c>
      <c r="C4" s="108"/>
      <c r="D4" s="108"/>
      <c r="E4" s="108"/>
      <c r="F4" s="108"/>
      <c r="G4" s="108"/>
      <c r="H4" s="108"/>
      <c r="I4" s="108"/>
      <c r="K4" s="51"/>
      <c r="L4" s="108" t="s">
        <v>183</v>
      </c>
      <c r="M4" s="108"/>
      <c r="N4" s="108"/>
      <c r="O4" s="108"/>
      <c r="P4" s="108"/>
      <c r="Q4" s="52"/>
      <c r="R4" s="52"/>
      <c r="S4" s="15"/>
      <c r="T4" s="15"/>
      <c r="U4" s="15"/>
      <c r="V4" s="15"/>
      <c r="W4" s="15"/>
      <c r="X4" s="15"/>
    </row>
    <row r="5" spans="1:24" s="50" customFormat="1" ht="15" customHeight="1" x14ac:dyDescent="0.25">
      <c r="A5" s="53"/>
      <c r="B5" s="54" t="s">
        <v>184</v>
      </c>
      <c r="C5" s="55" t="s">
        <v>200</v>
      </c>
      <c r="D5" s="56"/>
      <c r="E5" s="56"/>
      <c r="F5" s="56"/>
      <c r="G5" s="56"/>
      <c r="H5" s="56"/>
      <c r="I5" s="56"/>
      <c r="K5" s="51"/>
      <c r="L5" s="57" t="s">
        <v>185</v>
      </c>
      <c r="M5" s="57"/>
      <c r="N5" s="107" t="s">
        <v>206</v>
      </c>
      <c r="O5" s="107"/>
      <c r="P5" s="107"/>
      <c r="Q5" s="107"/>
      <c r="R5" s="52"/>
      <c r="S5" s="15"/>
      <c r="T5" s="15"/>
      <c r="U5" s="15"/>
      <c r="V5" s="15"/>
      <c r="W5" s="15"/>
      <c r="X5" s="15"/>
    </row>
    <row r="6" spans="1:24" s="50" customFormat="1" ht="15" customHeight="1" x14ac:dyDescent="0.25">
      <c r="A6" s="58"/>
      <c r="B6" s="54"/>
      <c r="C6" s="55"/>
      <c r="D6" s="56"/>
      <c r="E6" s="56"/>
      <c r="F6" s="56"/>
      <c r="G6" s="56"/>
      <c r="H6" s="56"/>
      <c r="I6" s="56"/>
      <c r="K6" s="53"/>
      <c r="L6" s="57" t="s">
        <v>186</v>
      </c>
      <c r="M6" s="57"/>
      <c r="N6" s="109">
        <v>43830</v>
      </c>
      <c r="O6" s="109"/>
      <c r="P6" s="109"/>
      <c r="Q6" s="109"/>
      <c r="R6" s="52"/>
      <c r="S6" s="15"/>
      <c r="T6" s="15"/>
      <c r="U6" s="15"/>
      <c r="V6" s="15"/>
      <c r="W6" s="15"/>
      <c r="X6" s="15"/>
    </row>
    <row r="7" spans="1:24" s="50" customFormat="1" ht="15" customHeight="1" x14ac:dyDescent="0.25">
      <c r="A7" s="56"/>
      <c r="B7" s="54"/>
      <c r="C7" s="55"/>
      <c r="D7" s="56"/>
      <c r="E7" s="56"/>
      <c r="F7" s="56"/>
      <c r="G7" s="56"/>
      <c r="H7" s="56"/>
      <c r="I7" s="56"/>
      <c r="K7" s="58"/>
      <c r="L7" s="57" t="s">
        <v>0</v>
      </c>
      <c r="M7" s="57"/>
      <c r="N7" s="107" t="s">
        <v>207</v>
      </c>
      <c r="O7" s="107"/>
      <c r="P7" s="107"/>
      <c r="Q7" s="107"/>
      <c r="R7" s="52"/>
      <c r="S7" s="15"/>
      <c r="T7" s="15"/>
      <c r="U7" s="15"/>
      <c r="V7" s="15"/>
      <c r="W7" s="15"/>
      <c r="X7" s="15"/>
    </row>
    <row r="8" spans="1:24" s="50" customFormat="1" ht="15" customHeight="1" x14ac:dyDescent="0.25">
      <c r="A8" s="56"/>
      <c r="B8" s="54"/>
      <c r="C8" s="56"/>
      <c r="D8" s="56"/>
      <c r="E8" s="56"/>
      <c r="F8" s="56"/>
      <c r="G8" s="56"/>
      <c r="H8" s="56"/>
      <c r="I8" s="56"/>
      <c r="K8" s="56"/>
      <c r="L8" s="57" t="s">
        <v>1</v>
      </c>
      <c r="M8" s="57"/>
      <c r="N8" s="107" t="s">
        <v>208</v>
      </c>
      <c r="O8" s="107"/>
      <c r="P8" s="107"/>
      <c r="Q8" s="107"/>
      <c r="R8" s="52"/>
      <c r="S8" s="15"/>
      <c r="T8" s="15"/>
      <c r="U8" s="15"/>
      <c r="V8" s="15"/>
      <c r="W8" s="15"/>
      <c r="X8" s="15"/>
    </row>
    <row r="9" spans="1:24" s="50" customFormat="1" ht="15" customHeight="1" x14ac:dyDescent="0.25">
      <c r="A9" s="59"/>
      <c r="B9" s="60"/>
      <c r="C9" s="59"/>
      <c r="D9" s="59"/>
      <c r="E9" s="59"/>
      <c r="F9" s="59"/>
      <c r="G9" s="59"/>
      <c r="H9" s="59"/>
      <c r="I9" s="59"/>
      <c r="K9" s="56"/>
      <c r="L9" s="57" t="s">
        <v>187</v>
      </c>
      <c r="M9" s="57"/>
      <c r="N9" s="107" t="s">
        <v>188</v>
      </c>
      <c r="O9" s="107"/>
      <c r="P9" s="107"/>
      <c r="Q9" s="107"/>
      <c r="R9" s="52"/>
      <c r="S9" s="15"/>
      <c r="T9" s="15"/>
      <c r="U9" s="15"/>
      <c r="V9" s="15"/>
      <c r="W9" s="15"/>
      <c r="X9" s="15"/>
    </row>
    <row r="10" spans="1:24" s="50" customFormat="1" ht="15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K10" s="56"/>
      <c r="L10" s="57" t="s">
        <v>189</v>
      </c>
      <c r="M10" s="57"/>
      <c r="N10" s="106">
        <v>1</v>
      </c>
      <c r="O10" s="106"/>
      <c r="P10" s="106"/>
      <c r="Q10" s="106"/>
      <c r="R10" s="62"/>
      <c r="S10" s="15"/>
      <c r="T10" s="15"/>
      <c r="U10" s="15"/>
      <c r="V10" s="15"/>
      <c r="W10" s="15"/>
      <c r="X10" s="15"/>
    </row>
    <row r="11" spans="1:24" s="50" customFormat="1" ht="15" customHeight="1" x14ac:dyDescent="0.25">
      <c r="A11" s="61"/>
      <c r="B11" s="61"/>
      <c r="C11" s="61"/>
      <c r="D11" s="61"/>
      <c r="E11" s="61"/>
      <c r="F11" s="61"/>
      <c r="G11" s="61"/>
      <c r="H11" s="61"/>
      <c r="I11" s="61"/>
      <c r="K11" s="56"/>
      <c r="L11" s="57" t="s">
        <v>205</v>
      </c>
      <c r="M11" s="57"/>
      <c r="N11" s="106">
        <v>1</v>
      </c>
      <c r="O11" s="106"/>
      <c r="P11" s="106"/>
      <c r="Q11" s="106"/>
      <c r="R11" s="62"/>
      <c r="S11" s="15"/>
      <c r="T11" s="15"/>
      <c r="U11" s="15"/>
      <c r="V11" s="15"/>
      <c r="W11" s="15"/>
      <c r="X11" s="15"/>
    </row>
    <row r="12" spans="1:24" s="50" customFormat="1" ht="15" customHeight="1" thickBot="1" x14ac:dyDescent="0.3">
      <c r="A12" s="63"/>
      <c r="B12" s="63"/>
      <c r="C12" s="63"/>
      <c r="D12" s="63"/>
      <c r="E12" s="63"/>
      <c r="F12" s="63"/>
      <c r="G12" s="63"/>
      <c r="H12" s="63"/>
      <c r="I12" s="63"/>
      <c r="K12" s="63"/>
      <c r="L12" s="63"/>
      <c r="M12" s="63"/>
      <c r="N12" s="63"/>
      <c r="O12" s="63"/>
      <c r="P12" s="63"/>
      <c r="Q12" s="63"/>
      <c r="R12" s="63"/>
      <c r="S12" s="15"/>
      <c r="T12" s="15"/>
      <c r="U12" s="15"/>
      <c r="V12" s="15"/>
      <c r="W12" s="15"/>
      <c r="X12" s="15"/>
    </row>
    <row r="13" spans="1:24" s="50" customFormat="1" ht="7.5" customHeight="1" x14ac:dyDescent="0.25">
      <c r="K13" s="64"/>
      <c r="L13" s="64"/>
      <c r="M13" s="64"/>
      <c r="N13" s="64"/>
      <c r="O13" s="64"/>
      <c r="P13" s="64"/>
      <c r="Q13" s="64"/>
      <c r="R13" s="64"/>
      <c r="S13" s="15"/>
      <c r="T13" s="15"/>
      <c r="U13" s="15"/>
      <c r="V13" s="15"/>
      <c r="W13" s="15"/>
      <c r="X13" s="15"/>
    </row>
    <row r="14" spans="1:24" s="50" customFormat="1" ht="22.5" customHeight="1" x14ac:dyDescent="0.25">
      <c r="A14" s="55"/>
      <c r="B14" s="108" t="s">
        <v>190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N14" s="51"/>
      <c r="O14" s="108" t="s">
        <v>191</v>
      </c>
      <c r="P14" s="108"/>
      <c r="Q14" s="108"/>
      <c r="R14" s="65"/>
      <c r="S14" s="15"/>
      <c r="T14" s="15"/>
      <c r="U14" s="15"/>
      <c r="V14" s="15"/>
      <c r="W14" s="15"/>
      <c r="X14" s="15"/>
    </row>
    <row r="15" spans="1:24" s="50" customFormat="1" ht="15" customHeight="1" x14ac:dyDescent="0.25">
      <c r="A15" s="56"/>
      <c r="B15" s="106" t="s">
        <v>192</v>
      </c>
      <c r="C15" s="106"/>
      <c r="D15" s="106" t="s">
        <v>2</v>
      </c>
      <c r="E15" s="106"/>
      <c r="F15" s="106"/>
      <c r="G15" s="106"/>
      <c r="H15" s="106"/>
      <c r="I15" s="106"/>
      <c r="J15" s="106"/>
      <c r="K15" s="106"/>
      <c r="L15" s="106"/>
      <c r="N15" s="53"/>
      <c r="O15" s="66"/>
      <c r="P15" s="67"/>
      <c r="Q15" s="67"/>
      <c r="R15" s="56"/>
      <c r="S15" s="15"/>
      <c r="T15" s="15"/>
      <c r="U15" s="15"/>
      <c r="V15" s="15"/>
      <c r="W15" s="15"/>
      <c r="X15" s="15"/>
    </row>
    <row r="16" spans="1:24" s="50" customFormat="1" ht="15" customHeight="1" x14ac:dyDescent="0.25">
      <c r="A16" s="56"/>
      <c r="B16" s="106" t="s">
        <v>193</v>
      </c>
      <c r="C16" s="106"/>
      <c r="D16" s="106" t="s">
        <v>33</v>
      </c>
      <c r="E16" s="106"/>
      <c r="F16" s="106"/>
      <c r="G16" s="106"/>
      <c r="H16" s="106"/>
      <c r="I16" s="106"/>
      <c r="J16" s="106"/>
      <c r="K16" s="106"/>
      <c r="L16" s="106"/>
      <c r="N16" s="58"/>
      <c r="O16" s="66"/>
      <c r="P16" s="68" t="s">
        <v>194</v>
      </c>
      <c r="Q16" s="67"/>
      <c r="R16" s="56"/>
      <c r="S16" s="15"/>
      <c r="T16" s="15"/>
      <c r="U16" s="15"/>
      <c r="V16" s="15"/>
      <c r="W16" s="15"/>
      <c r="X16" s="15"/>
    </row>
    <row r="17" spans="1:24" s="50" customFormat="1" ht="15" customHeight="1" x14ac:dyDescent="0.25">
      <c r="A17" s="56"/>
      <c r="B17" s="106" t="s">
        <v>195</v>
      </c>
      <c r="C17" s="106"/>
      <c r="D17" s="106" t="s">
        <v>196</v>
      </c>
      <c r="E17" s="106"/>
      <c r="F17" s="106"/>
      <c r="G17" s="106"/>
      <c r="H17" s="106"/>
      <c r="I17" s="106"/>
      <c r="J17" s="106"/>
      <c r="K17" s="106"/>
      <c r="L17" s="106"/>
      <c r="N17" s="56"/>
      <c r="O17" s="66"/>
      <c r="P17" s="69" t="s">
        <v>197</v>
      </c>
      <c r="Q17" s="67"/>
      <c r="R17" s="56"/>
      <c r="S17" s="15"/>
      <c r="T17" s="15"/>
      <c r="U17" s="15"/>
      <c r="V17" s="15"/>
      <c r="W17" s="15"/>
      <c r="X17" s="15"/>
    </row>
    <row r="18" spans="1:24" s="50" customFormat="1" ht="15" customHeight="1" x14ac:dyDescent="0.25">
      <c r="A18" s="56"/>
      <c r="B18" s="106" t="s">
        <v>201</v>
      </c>
      <c r="C18" s="106"/>
      <c r="D18" s="106" t="s">
        <v>204</v>
      </c>
      <c r="E18" s="106"/>
      <c r="F18" s="106"/>
      <c r="G18" s="106"/>
      <c r="H18" s="106"/>
      <c r="I18" s="106"/>
      <c r="J18" s="106"/>
      <c r="K18" s="106"/>
      <c r="L18" s="106"/>
      <c r="N18" s="56"/>
      <c r="O18" s="66"/>
      <c r="P18" s="15" t="s">
        <v>198</v>
      </c>
      <c r="Q18" s="67"/>
      <c r="R18" s="56"/>
      <c r="S18" s="15"/>
      <c r="T18" s="15"/>
      <c r="U18" s="15"/>
      <c r="V18" s="15"/>
      <c r="W18" s="15"/>
      <c r="X18" s="15"/>
    </row>
    <row r="19" spans="1:24" s="50" customFormat="1" ht="15" customHeight="1" x14ac:dyDescent="0.25">
      <c r="A19" s="61"/>
      <c r="B19" s="106" t="s">
        <v>202</v>
      </c>
      <c r="C19" s="106"/>
      <c r="D19" s="106" t="s">
        <v>212</v>
      </c>
      <c r="E19" s="106"/>
      <c r="F19" s="106"/>
      <c r="G19" s="106"/>
      <c r="H19" s="106"/>
      <c r="I19" s="106"/>
      <c r="J19" s="106"/>
      <c r="K19" s="106"/>
      <c r="L19" s="106"/>
      <c r="N19" s="61"/>
      <c r="O19" s="70"/>
      <c r="P19" s="70"/>
      <c r="Q19" s="70"/>
      <c r="R19" s="61"/>
      <c r="S19" s="15"/>
      <c r="T19" s="15"/>
      <c r="U19" s="15"/>
      <c r="V19" s="15"/>
      <c r="W19" s="15"/>
      <c r="X19" s="15"/>
    </row>
    <row r="20" spans="1:24" s="50" customFormat="1" ht="15" customHeight="1" x14ac:dyDescent="0.25">
      <c r="A20" s="61"/>
      <c r="B20" s="71" t="s">
        <v>203</v>
      </c>
      <c r="C20" s="71"/>
      <c r="D20" s="71" t="s">
        <v>199</v>
      </c>
      <c r="E20" s="71"/>
      <c r="F20" s="71"/>
      <c r="G20" s="71"/>
      <c r="H20" s="71"/>
      <c r="I20" s="71"/>
      <c r="J20" s="71"/>
      <c r="K20" s="71"/>
      <c r="L20" s="71"/>
      <c r="N20" s="61"/>
      <c r="O20" s="70"/>
      <c r="P20" s="70"/>
      <c r="Q20" s="70"/>
      <c r="R20" s="61"/>
      <c r="S20" s="15"/>
      <c r="T20" s="15"/>
      <c r="U20" s="15"/>
      <c r="V20" s="15"/>
      <c r="W20" s="15"/>
      <c r="X20" s="15"/>
    </row>
    <row r="21" spans="1:24" ht="15.75" thickBot="1" x14ac:dyDescent="0.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N21" s="63"/>
      <c r="O21" s="63"/>
      <c r="P21" s="63"/>
      <c r="Q21" s="63"/>
      <c r="R21" s="63"/>
    </row>
    <row r="22" spans="1:24" x14ac:dyDescent="0.25">
      <c r="Q22" s="72"/>
    </row>
  </sheetData>
  <mergeCells count="21">
    <mergeCell ref="N8:Q8"/>
    <mergeCell ref="B4:I4"/>
    <mergeCell ref="L4:P4"/>
    <mergeCell ref="N5:Q5"/>
    <mergeCell ref="N6:Q6"/>
    <mergeCell ref="N7:Q7"/>
    <mergeCell ref="N9:Q9"/>
    <mergeCell ref="N10:Q10"/>
    <mergeCell ref="B14:L14"/>
    <mergeCell ref="O14:Q14"/>
    <mergeCell ref="B15:C15"/>
    <mergeCell ref="D15:L15"/>
    <mergeCell ref="B19:C19"/>
    <mergeCell ref="D19:L19"/>
    <mergeCell ref="N11:Q11"/>
    <mergeCell ref="B16:C16"/>
    <mergeCell ref="D16:L16"/>
    <mergeCell ref="B17:C17"/>
    <mergeCell ref="D17:L17"/>
    <mergeCell ref="B18:C18"/>
    <mergeCell ref="D18:L18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2020&amp;C&amp;10Page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4162-755B-470E-B063-9FA8A5E414A1}">
  <dimension ref="A1:R26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1.7109375" customWidth="1"/>
    <col min="2" max="2" width="41.42578125" customWidth="1"/>
    <col min="3" max="11" width="10.7109375" customWidth="1"/>
  </cols>
  <sheetData>
    <row r="1" spans="1:13" ht="50.1" customHeight="1" x14ac:dyDescent="0.45">
      <c r="A1" s="9" t="str">
        <f>Info!A1</f>
        <v>Pharmaceuticals Sector Model - Rovi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5"/>
      <c r="M1" s="15"/>
    </row>
    <row r="2" spans="1:13" x14ac:dyDescent="0.25">
      <c r="A2" s="10"/>
      <c r="B2" s="10"/>
      <c r="C2" s="14" t="str">
        <f>IF(C3&gt;Info!$N$6,"Proj.","Hist.")</f>
        <v>Hist.</v>
      </c>
      <c r="D2" s="14" t="str">
        <f>IF(D3&gt;Info!$N$6,"Proj.","Hist.")</f>
        <v>Hist.</v>
      </c>
      <c r="E2" s="14" t="str">
        <f>IF(E3&gt;Info!$N$6,"Proj.","Hist.")</f>
        <v>Hist.</v>
      </c>
      <c r="F2" s="14" t="str">
        <f>IF(F3&gt;Info!$N$6,"Proj.","Hist.")</f>
        <v>Hist.</v>
      </c>
      <c r="G2" s="14" t="str">
        <f>IF(G3&gt;Info!$N$6,"Proj.","Hist.")</f>
        <v>Hist.</v>
      </c>
      <c r="H2" s="14" t="str">
        <f>IF(H3&gt;Info!$N$6,"Proj.","Hist.")</f>
        <v>Proj.</v>
      </c>
      <c r="I2" s="14" t="str">
        <f>IF(I3&gt;Info!$N$6,"Proj.","Hist.")</f>
        <v>Proj.</v>
      </c>
      <c r="J2" s="14" t="str">
        <f>IF(J3&gt;Info!$N$6,"Proj.","Hist.")</f>
        <v>Proj.</v>
      </c>
      <c r="K2" s="14" t="str">
        <f>IF(K3&gt;Info!$N$6,"Proj.","Hist.")</f>
        <v>Proj.</v>
      </c>
      <c r="L2" s="15"/>
      <c r="M2" s="15"/>
    </row>
    <row r="3" spans="1:13" ht="21" x14ac:dyDescent="0.35">
      <c r="A3" s="80" t="s">
        <v>2</v>
      </c>
      <c r="B3" s="10"/>
      <c r="C3" s="73">
        <v>42369</v>
      </c>
      <c r="D3" s="73">
        <f t="shared" ref="D3:K3" si="0">EOMONTH(C3,12)</f>
        <v>42735</v>
      </c>
      <c r="E3" s="73">
        <f t="shared" si="0"/>
        <v>43100</v>
      </c>
      <c r="F3" s="73">
        <f t="shared" si="0"/>
        <v>43465</v>
      </c>
      <c r="G3" s="73">
        <f t="shared" si="0"/>
        <v>43830</v>
      </c>
      <c r="H3" s="73">
        <f t="shared" si="0"/>
        <v>44196</v>
      </c>
      <c r="I3" s="73">
        <f t="shared" si="0"/>
        <v>44561</v>
      </c>
      <c r="J3" s="73">
        <f t="shared" si="0"/>
        <v>44926</v>
      </c>
      <c r="K3" s="73">
        <f t="shared" si="0"/>
        <v>45291</v>
      </c>
      <c r="L3" s="1"/>
      <c r="M3" s="1"/>
    </row>
    <row r="5" spans="1:13" s="15" customFormat="1" ht="15.75" x14ac:dyDescent="0.25">
      <c r="A5" s="12" t="s">
        <v>140</v>
      </c>
    </row>
    <row r="6" spans="1:13" x14ac:dyDescent="0.25">
      <c r="A6" s="15"/>
      <c r="B6" s="19" t="s">
        <v>9</v>
      </c>
      <c r="C6" s="21">
        <f>C22/C19</f>
        <v>0.60702126539848844</v>
      </c>
      <c r="D6" s="21">
        <f>D22/D19</f>
        <v>0.58000914775879908</v>
      </c>
      <c r="E6" s="21">
        <f>E22/E19</f>
        <v>0.60279572062979414</v>
      </c>
      <c r="F6" s="21">
        <f>F22/F19</f>
        <v>0.57803267178277429</v>
      </c>
      <c r="G6" s="21">
        <f>G22/G19</f>
        <v>0.56438923503711469</v>
      </c>
      <c r="H6" s="27">
        <v>0.56999999999999995</v>
      </c>
      <c r="I6" s="27">
        <v>0.56999999999999995</v>
      </c>
      <c r="J6" s="27">
        <v>0.56999999999999995</v>
      </c>
      <c r="K6" s="27">
        <v>0.56999999999999995</v>
      </c>
      <c r="L6" s="15"/>
      <c r="M6" s="15"/>
    </row>
    <row r="7" spans="1:13" x14ac:dyDescent="0.25">
      <c r="B7" s="19" t="s">
        <v>11</v>
      </c>
      <c r="C7" s="21">
        <f>-C24/C19</f>
        <v>6.6597576724246113E-2</v>
      </c>
      <c r="D7" s="21">
        <f>-D24/D19</f>
        <v>6.5537693265150035E-2</v>
      </c>
      <c r="E7" s="21">
        <f>-E24/E19</f>
        <v>0.10183329488436473</v>
      </c>
      <c r="F7" s="21">
        <f>-F24/F19</f>
        <v>0.1062243059952951</v>
      </c>
      <c r="G7" s="21">
        <f>-G24/G19</f>
        <v>7.6619176234040937E-2</v>
      </c>
      <c r="H7" s="27">
        <v>0.06</v>
      </c>
      <c r="I7" s="27">
        <v>0.06</v>
      </c>
      <c r="J7" s="27">
        <v>0.06</v>
      </c>
      <c r="K7" s="27">
        <v>0.06</v>
      </c>
    </row>
    <row r="8" spans="1:13" x14ac:dyDescent="0.25">
      <c r="B8" s="19" t="s">
        <v>12</v>
      </c>
      <c r="C8" s="21">
        <f>-C25/C19</f>
        <v>0.41162087433861899</v>
      </c>
      <c r="D8" s="21">
        <f>-D25/D19</f>
        <v>0.3820314023064349</v>
      </c>
      <c r="E8" s="21">
        <f>-E25/E19</f>
        <v>0.39106566122613762</v>
      </c>
      <c r="F8" s="21">
        <f>-F25/F19</f>
        <v>0.37142416557027974</v>
      </c>
      <c r="G8" s="21">
        <f>-G25/G19</f>
        <v>0.32812324329412257</v>
      </c>
      <c r="H8" s="27">
        <v>0.35</v>
      </c>
      <c r="I8" s="27">
        <v>0.35</v>
      </c>
      <c r="J8" s="27">
        <v>0.35</v>
      </c>
      <c r="K8" s="27">
        <v>0.35</v>
      </c>
    </row>
    <row r="9" spans="1:13" s="15" customFormat="1" x14ac:dyDescent="0.25">
      <c r="B9" s="15" t="s">
        <v>13</v>
      </c>
      <c r="C9" s="91">
        <f>C26</f>
        <v>0</v>
      </c>
      <c r="D9" s="91">
        <f>D26</f>
        <v>3997</v>
      </c>
      <c r="E9" s="91">
        <f>E26</f>
        <v>0</v>
      </c>
      <c r="F9" s="91">
        <f>F26</f>
        <v>-1094</v>
      </c>
      <c r="G9" s="91">
        <f>G26</f>
        <v>0</v>
      </c>
      <c r="H9" s="28">
        <v>0</v>
      </c>
      <c r="I9" s="28">
        <v>0</v>
      </c>
      <c r="J9" s="28">
        <v>0</v>
      </c>
      <c r="K9" s="28">
        <v>0</v>
      </c>
    </row>
    <row r="10" spans="1:13" s="15" customFormat="1" x14ac:dyDescent="0.25">
      <c r="B10" s="15" t="s">
        <v>141</v>
      </c>
      <c r="C10" s="91">
        <f>C35</f>
        <v>0</v>
      </c>
      <c r="D10" s="91">
        <f>D27</f>
        <v>71</v>
      </c>
      <c r="E10" s="91">
        <f>E27</f>
        <v>-567</v>
      </c>
      <c r="F10" s="91">
        <f>F27</f>
        <v>24</v>
      </c>
      <c r="G10" s="91">
        <f>G27</f>
        <v>-195</v>
      </c>
      <c r="H10" s="28">
        <v>0</v>
      </c>
      <c r="I10" s="28">
        <v>0</v>
      </c>
      <c r="J10" s="28">
        <v>0</v>
      </c>
      <c r="K10" s="28">
        <v>0</v>
      </c>
    </row>
    <row r="11" spans="1:13" s="15" customFormat="1" x14ac:dyDescent="0.25">
      <c r="B11" s="15" t="s">
        <v>142</v>
      </c>
      <c r="C11" s="21">
        <f>C35</f>
        <v>0</v>
      </c>
      <c r="D11" s="21">
        <f>D35</f>
        <v>0</v>
      </c>
      <c r="E11" s="21">
        <f>E35</f>
        <v>0</v>
      </c>
      <c r="F11" s="21">
        <f>F35</f>
        <v>-106</v>
      </c>
      <c r="G11" s="21">
        <f>G35</f>
        <v>108</v>
      </c>
      <c r="H11" s="28">
        <v>0</v>
      </c>
      <c r="I11" s="28">
        <v>0</v>
      </c>
      <c r="J11" s="28">
        <v>0</v>
      </c>
      <c r="K11" s="28">
        <v>0</v>
      </c>
    </row>
    <row r="12" spans="1:13" x14ac:dyDescent="0.25">
      <c r="B12" s="19" t="s">
        <v>143</v>
      </c>
      <c r="C12" s="21">
        <f>-C40/C38</f>
        <v>5.211024978466839E-2</v>
      </c>
      <c r="D12" s="21">
        <f>-D40/D38</f>
        <v>6.4306721182124674E-2</v>
      </c>
      <c r="E12" s="21">
        <f>-E40/E38</f>
        <v>1.6036982079671271E-2</v>
      </c>
      <c r="F12" s="21">
        <f>-F40/F38</f>
        <v>-7.2841726618705041E-2</v>
      </c>
      <c r="G12" s="21">
        <f>-G40/G38</f>
        <v>6.224928366762178E-2</v>
      </c>
      <c r="H12" s="27">
        <v>0.09</v>
      </c>
      <c r="I12" s="27">
        <v>0.1</v>
      </c>
      <c r="J12" s="27">
        <v>0.1</v>
      </c>
      <c r="K12" s="27">
        <v>0.1</v>
      </c>
    </row>
    <row r="13" spans="1:13" x14ac:dyDescent="0.25">
      <c r="A13" s="15"/>
      <c r="B13" s="19" t="s">
        <v>32</v>
      </c>
      <c r="C13" s="21">
        <f>C48/C47</f>
        <v>0.34760174668080168</v>
      </c>
      <c r="D13" s="21">
        <f>D48/D47</f>
        <v>0.34392552416727351</v>
      </c>
      <c r="E13" s="21">
        <f>E48/E47</f>
        <v>0.34519317904993907</v>
      </c>
      <c r="F13" s="21">
        <f>F48/F47</f>
        <v>0.2284210896898575</v>
      </c>
      <c r="G13" s="21">
        <f>G48/G47</f>
        <v>0.24602189799607874</v>
      </c>
      <c r="H13" s="29">
        <v>0.25</v>
      </c>
      <c r="I13" s="29">
        <v>0.25</v>
      </c>
      <c r="J13" s="29">
        <v>0.25</v>
      </c>
      <c r="K13" s="29">
        <v>0.25</v>
      </c>
    </row>
    <row r="14" spans="1:13" s="15" customFormat="1" x14ac:dyDescent="0.25">
      <c r="H14" s="28"/>
      <c r="I14" s="28"/>
      <c r="J14" s="28"/>
      <c r="K14" s="28"/>
    </row>
    <row r="15" spans="1:13" s="15" customFormat="1" x14ac:dyDescent="0.25"/>
    <row r="16" spans="1:13" s="7" customFormat="1" ht="15.75" x14ac:dyDescent="0.25">
      <c r="A16" s="12" t="s">
        <v>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8" s="19" customFormat="1" x14ac:dyDescent="0.25">
      <c r="B17" s="91" t="s">
        <v>3</v>
      </c>
      <c r="C17" s="91">
        <f>Revenues!C45</f>
        <v>246008</v>
      </c>
      <c r="D17" s="93">
        <f>Revenues!D45</f>
        <v>265167</v>
      </c>
      <c r="E17" s="93">
        <f>Revenues!E45</f>
        <v>275651</v>
      </c>
      <c r="F17" s="93">
        <f>Revenues!F45</f>
        <v>303202</v>
      </c>
      <c r="G17" s="93">
        <f>Revenues!G45</f>
        <v>381312</v>
      </c>
      <c r="H17" s="93">
        <f>Revenues!H45</f>
        <v>417303.38999999996</v>
      </c>
      <c r="I17" s="95" t="str">
        <f ca="1">_xlfn.FORMULATEXT(H17)</f>
        <v>=Revenues!H45</v>
      </c>
      <c r="J17" s="95"/>
      <c r="K17" s="95"/>
      <c r="L17" s="91"/>
      <c r="M17" s="18"/>
    </row>
    <row r="18" spans="1:18" x14ac:dyDescent="0.25">
      <c r="A18" s="15"/>
      <c r="B18" s="91" t="s">
        <v>4</v>
      </c>
      <c r="C18" s="16">
        <v>1013</v>
      </c>
      <c r="D18" s="16">
        <v>1565</v>
      </c>
      <c r="E18" s="16">
        <v>1773</v>
      </c>
      <c r="F18" s="16">
        <v>1587</v>
      </c>
      <c r="G18" s="16">
        <v>1151</v>
      </c>
      <c r="H18" s="91">
        <f>G18</f>
        <v>1151</v>
      </c>
      <c r="I18" s="97" t="str">
        <f t="shared" ref="I18:I19" ca="1" si="1">_xlfn.FORMULATEXT(H18)</f>
        <v>=G18</v>
      </c>
      <c r="J18" s="95"/>
      <c r="K18" s="95"/>
      <c r="L18" s="96"/>
      <c r="M18" s="4"/>
      <c r="R18" s="37"/>
    </row>
    <row r="19" spans="1:18" s="37" customFormat="1" x14ac:dyDescent="0.25">
      <c r="B19" s="91" t="s">
        <v>5</v>
      </c>
      <c r="C19" s="91">
        <f>SUM(C17:C18)</f>
        <v>247021</v>
      </c>
      <c r="D19" s="95">
        <f t="shared" ref="D19:H19" si="2">SUM(D17:D18)</f>
        <v>266732</v>
      </c>
      <c r="E19" s="95">
        <f t="shared" si="2"/>
        <v>277424</v>
      </c>
      <c r="F19" s="95">
        <f t="shared" si="2"/>
        <v>304789</v>
      </c>
      <c r="G19" s="95">
        <f t="shared" si="2"/>
        <v>382463</v>
      </c>
      <c r="H19" s="95">
        <f t="shared" si="2"/>
        <v>418454.38999999996</v>
      </c>
      <c r="I19" s="97" t="str">
        <f t="shared" ca="1" si="1"/>
        <v>=SUM(H17:H18)</v>
      </c>
      <c r="J19" s="95"/>
      <c r="K19" s="95"/>
      <c r="L19" s="96"/>
      <c r="M19" s="43"/>
    </row>
    <row r="20" spans="1:18" x14ac:dyDescent="0.25">
      <c r="B20" s="91"/>
      <c r="H20" s="40"/>
      <c r="I20" s="40"/>
      <c r="J20" s="40"/>
      <c r="K20" s="40"/>
      <c r="L20" s="96"/>
      <c r="R20" s="37"/>
    </row>
    <row r="21" spans="1:18" x14ac:dyDescent="0.25">
      <c r="A21" s="15"/>
      <c r="B21" s="91" t="s">
        <v>6</v>
      </c>
      <c r="C21" s="91">
        <f>C22-C19</f>
        <v>-97074</v>
      </c>
      <c r="D21" s="95">
        <f t="shared" ref="D21:H21" si="3">D22-D19</f>
        <v>-112025</v>
      </c>
      <c r="E21" s="95">
        <f t="shared" si="3"/>
        <v>-110194</v>
      </c>
      <c r="F21" s="95">
        <f t="shared" si="3"/>
        <v>-128611</v>
      </c>
      <c r="G21" s="95">
        <f t="shared" si="3"/>
        <v>-166605</v>
      </c>
      <c r="H21" s="95">
        <f t="shared" si="3"/>
        <v>-179935.38769999999</v>
      </c>
      <c r="I21" s="97" t="str">
        <f t="shared" ref="I21:I22" ca="1" si="4">_xlfn.FORMULATEXT(H21)</f>
        <v>=H22-H19</v>
      </c>
      <c r="J21" s="95"/>
      <c r="K21" s="95"/>
      <c r="L21" s="96"/>
      <c r="M21" s="15"/>
      <c r="R21" s="37"/>
    </row>
    <row r="22" spans="1:18" s="37" customFormat="1" x14ac:dyDescent="0.25">
      <c r="B22" s="91" t="s">
        <v>7</v>
      </c>
      <c r="C22" s="44">
        <v>149947</v>
      </c>
      <c r="D22" s="44">
        <v>154707</v>
      </c>
      <c r="E22" s="44">
        <v>167230</v>
      </c>
      <c r="F22" s="44">
        <v>176178</v>
      </c>
      <c r="G22" s="44">
        <v>215858</v>
      </c>
      <c r="H22" s="91">
        <f>H6*(H19-Revenues!H37)+IF(Pipeline=1,'Pipeline Drug'!I101,0)</f>
        <v>238519.00229999996</v>
      </c>
      <c r="I22" s="97" t="str">
        <f t="shared" ca="1" si="4"/>
        <v>=H6*(H19-Revenues!H37)+IF(Pipeline=1,'Pipeline Drug'!I101,0)</v>
      </c>
      <c r="J22" s="95"/>
      <c r="K22" s="95"/>
      <c r="L22" s="96"/>
    </row>
    <row r="23" spans="1:18" x14ac:dyDescent="0.25">
      <c r="B23" s="91"/>
      <c r="H23" s="40"/>
      <c r="I23" s="40"/>
      <c r="J23" s="40"/>
      <c r="K23" s="40"/>
      <c r="L23" s="96"/>
      <c r="R23" s="37"/>
    </row>
    <row r="24" spans="1:18" x14ac:dyDescent="0.25">
      <c r="A24" s="15"/>
      <c r="B24" s="91" t="s">
        <v>10</v>
      </c>
      <c r="C24" s="16">
        <v>-16451</v>
      </c>
      <c r="D24" s="16">
        <v>-17481</v>
      </c>
      <c r="E24" s="16">
        <v>-28251</v>
      </c>
      <c r="F24" s="16">
        <v>-32376</v>
      </c>
      <c r="G24" s="16">
        <v>-29304</v>
      </c>
      <c r="H24" s="91">
        <f>-H7*H19</f>
        <v>-25107.263399999996</v>
      </c>
      <c r="I24" s="97" t="str">
        <f t="shared" ref="I24:I28" ca="1" si="5">_xlfn.FORMULATEXT(H24)</f>
        <v>=-H7*H19</v>
      </c>
      <c r="J24" s="95"/>
      <c r="K24" s="95"/>
      <c r="L24" s="96"/>
      <c r="M24" s="15"/>
      <c r="R24" s="37"/>
    </row>
    <row r="25" spans="1:18" x14ac:dyDescent="0.25">
      <c r="B25" s="91" t="s">
        <v>139</v>
      </c>
      <c r="C25" s="16">
        <v>-101679</v>
      </c>
      <c r="D25" s="16">
        <v>-101900</v>
      </c>
      <c r="E25" s="16">
        <v>-108491</v>
      </c>
      <c r="F25" s="16">
        <v>-113206</v>
      </c>
      <c r="G25" s="16">
        <v>-125495</v>
      </c>
      <c r="H25" s="91">
        <f>-H8*(H19-Revenues!H37)+'Pipeline Drug'!I103</f>
        <v>-146459.03649999999</v>
      </c>
      <c r="I25" s="97" t="str">
        <f t="shared" ca="1" si="5"/>
        <v>=-H8*(H19-Revenues!H37)+'Pipeline Drug'!I103</v>
      </c>
      <c r="J25" s="95"/>
      <c r="K25" s="95"/>
      <c r="L25" s="96"/>
      <c r="R25" s="37"/>
    </row>
    <row r="26" spans="1:18" x14ac:dyDescent="0.25">
      <c r="B26" s="91" t="s">
        <v>13</v>
      </c>
      <c r="C26" s="5"/>
      <c r="D26" s="16">
        <v>3997</v>
      </c>
      <c r="E26" s="16">
        <v>0</v>
      </c>
      <c r="F26" s="16">
        <v>-1094</v>
      </c>
      <c r="G26" s="16">
        <v>0</v>
      </c>
      <c r="H26" s="91">
        <f>H9</f>
        <v>0</v>
      </c>
      <c r="I26" s="97" t="str">
        <f t="shared" ca="1" si="5"/>
        <v>=H9</v>
      </c>
      <c r="J26" s="95"/>
      <c r="K26" s="95"/>
      <c r="L26" s="96"/>
      <c r="R26" s="37"/>
    </row>
    <row r="27" spans="1:18" x14ac:dyDescent="0.25">
      <c r="B27" s="91" t="s">
        <v>14</v>
      </c>
      <c r="C27" s="16">
        <v>0</v>
      </c>
      <c r="D27" s="16">
        <v>71</v>
      </c>
      <c r="E27" s="16">
        <v>-567</v>
      </c>
      <c r="F27" s="16">
        <v>24</v>
      </c>
      <c r="G27" s="16">
        <v>-195</v>
      </c>
      <c r="H27" s="91">
        <f>H10</f>
        <v>0</v>
      </c>
      <c r="I27" s="97" t="str">
        <f t="shared" ca="1" si="5"/>
        <v>=H10</v>
      </c>
      <c r="J27" s="95"/>
      <c r="K27" s="95"/>
      <c r="L27" s="96"/>
      <c r="R27" s="37"/>
    </row>
    <row r="28" spans="1:18" s="19" customFormat="1" x14ac:dyDescent="0.25">
      <c r="B28" s="91" t="s">
        <v>15</v>
      </c>
      <c r="C28" s="91">
        <f>C22+SUM(C24:C27)</f>
        <v>31817</v>
      </c>
      <c r="D28" s="95">
        <f t="shared" ref="D28:H28" si="6">D22+SUM(D24:D27)</f>
        <v>39394</v>
      </c>
      <c r="E28" s="95">
        <f t="shared" si="6"/>
        <v>29921</v>
      </c>
      <c r="F28" s="95">
        <f t="shared" si="6"/>
        <v>29526</v>
      </c>
      <c r="G28" s="95">
        <f t="shared" si="6"/>
        <v>60864</v>
      </c>
      <c r="H28" s="95">
        <f t="shared" si="6"/>
        <v>66952.70239999998</v>
      </c>
      <c r="I28" s="97" t="str">
        <f t="shared" ca="1" si="5"/>
        <v>=H22+SUM(H24:H27)</v>
      </c>
      <c r="J28" s="95"/>
      <c r="K28" s="95"/>
      <c r="L28" s="96"/>
    </row>
    <row r="29" spans="1:18" x14ac:dyDescent="0.25">
      <c r="B29" s="91"/>
      <c r="H29" s="40"/>
      <c r="I29" s="40"/>
      <c r="J29" s="40"/>
      <c r="K29" s="40"/>
      <c r="L29" s="96"/>
      <c r="R29" s="37"/>
    </row>
    <row r="30" spans="1:18" x14ac:dyDescent="0.25">
      <c r="B30" s="91" t="s">
        <v>17</v>
      </c>
      <c r="C30" s="16">
        <v>-9975</v>
      </c>
      <c r="D30" s="16">
        <v>-11023</v>
      </c>
      <c r="E30" s="16">
        <v>-11479</v>
      </c>
      <c r="F30" s="16">
        <v>-12044</v>
      </c>
      <c r="G30" s="16">
        <v>-18216</v>
      </c>
      <c r="H30" s="98"/>
      <c r="I30" s="97"/>
      <c r="J30" s="24"/>
      <c r="K30" s="24"/>
      <c r="L30" s="96"/>
      <c r="R30" s="37"/>
    </row>
    <row r="31" spans="1:18" s="24" customFormat="1" x14ac:dyDescent="0.25">
      <c r="B31" s="91" t="s">
        <v>19</v>
      </c>
      <c r="C31" s="91">
        <f>C28+C30</f>
        <v>21842</v>
      </c>
      <c r="D31" s="95">
        <f t="shared" ref="D31:H31" si="7">D28+D30</f>
        <v>28371</v>
      </c>
      <c r="E31" s="95">
        <f t="shared" si="7"/>
        <v>18442</v>
      </c>
      <c r="F31" s="95">
        <f t="shared" si="7"/>
        <v>17482</v>
      </c>
      <c r="G31" s="95">
        <f t="shared" si="7"/>
        <v>42648</v>
      </c>
      <c r="H31" s="95">
        <f t="shared" si="7"/>
        <v>66952.70239999998</v>
      </c>
      <c r="I31" s="97" t="str">
        <f t="shared" ref="I31" ca="1" si="8">_xlfn.FORMULATEXT(H31)</f>
        <v>=H28+H30</v>
      </c>
      <c r="J31" s="95"/>
      <c r="K31" s="40"/>
      <c r="L31" s="96"/>
    </row>
    <row r="32" spans="1:18" x14ac:dyDescent="0.25">
      <c r="B32" s="91"/>
      <c r="H32" s="40"/>
      <c r="I32" s="40"/>
      <c r="J32" s="40"/>
      <c r="K32" s="40"/>
      <c r="L32" s="96"/>
    </row>
    <row r="33" spans="1:18" x14ac:dyDescent="0.25">
      <c r="B33" s="91" t="s">
        <v>21</v>
      </c>
      <c r="C33" s="16">
        <v>837</v>
      </c>
      <c r="D33" s="16">
        <v>426</v>
      </c>
      <c r="E33" s="16">
        <v>93</v>
      </c>
      <c r="F33" s="16">
        <v>16</v>
      </c>
      <c r="G33" s="16">
        <v>51</v>
      </c>
      <c r="H33" s="98"/>
      <c r="I33" s="97"/>
      <c r="J33" s="24"/>
      <c r="K33" s="24"/>
      <c r="L33" s="96"/>
    </row>
    <row r="34" spans="1:18" x14ac:dyDescent="0.25">
      <c r="B34" s="91" t="s">
        <v>22</v>
      </c>
      <c r="C34" s="16">
        <v>-1781</v>
      </c>
      <c r="D34" s="16">
        <v>-915</v>
      </c>
      <c r="E34" s="16">
        <v>-1013</v>
      </c>
      <c r="F34" s="16">
        <v>-712</v>
      </c>
      <c r="G34" s="16">
        <v>-927</v>
      </c>
      <c r="H34" s="98"/>
      <c r="I34" s="97"/>
      <c r="J34" s="24"/>
      <c r="K34" s="24"/>
      <c r="L34" s="96"/>
    </row>
    <row r="35" spans="1:18" x14ac:dyDescent="0.25">
      <c r="B35" s="91" t="s">
        <v>142</v>
      </c>
      <c r="C35" s="16">
        <v>0</v>
      </c>
      <c r="D35" s="16">
        <v>0</v>
      </c>
      <c r="E35" s="16">
        <v>0</v>
      </c>
      <c r="F35" s="16">
        <f>-83-23</f>
        <v>-106</v>
      </c>
      <c r="G35" s="16">
        <f>-51+159</f>
        <v>108</v>
      </c>
      <c r="H35" s="40">
        <f>H11</f>
        <v>0</v>
      </c>
      <c r="I35" s="97" t="str">
        <f t="shared" ref="I35:I36" ca="1" si="9">_xlfn.FORMULATEXT(H35)</f>
        <v>=H11</v>
      </c>
      <c r="J35" s="40"/>
      <c r="K35" s="40"/>
      <c r="L35" s="96"/>
    </row>
    <row r="36" spans="1:18" x14ac:dyDescent="0.25">
      <c r="B36" s="91" t="s">
        <v>23</v>
      </c>
      <c r="C36" s="91">
        <f>SUM(C33:C35)</f>
        <v>-944</v>
      </c>
      <c r="D36" s="95">
        <f t="shared" ref="D36:H36" si="10">SUM(D33:D35)</f>
        <v>-489</v>
      </c>
      <c r="E36" s="95">
        <f t="shared" si="10"/>
        <v>-920</v>
      </c>
      <c r="F36" s="95">
        <f t="shared" si="10"/>
        <v>-802</v>
      </c>
      <c r="G36" s="95">
        <f t="shared" si="10"/>
        <v>-768</v>
      </c>
      <c r="H36" s="95">
        <f t="shared" si="10"/>
        <v>0</v>
      </c>
      <c r="I36" s="97" t="str">
        <f t="shared" ca="1" si="9"/>
        <v>=SUM(H33:H35)</v>
      </c>
      <c r="J36" s="95"/>
      <c r="K36" s="95"/>
      <c r="L36" s="96"/>
    </row>
    <row r="37" spans="1:18" x14ac:dyDescent="0.25">
      <c r="B37" s="91"/>
      <c r="C37" s="91"/>
      <c r="D37" s="91"/>
      <c r="E37" s="91"/>
      <c r="F37" s="91"/>
      <c r="G37" s="91"/>
      <c r="H37" s="91"/>
      <c r="I37" s="95"/>
      <c r="J37" s="95"/>
      <c r="K37" s="95"/>
      <c r="L37" s="96"/>
    </row>
    <row r="38" spans="1:18" x14ac:dyDescent="0.25">
      <c r="B38" s="91" t="s">
        <v>24</v>
      </c>
      <c r="C38" s="91">
        <f>C31+C36</f>
        <v>20898</v>
      </c>
      <c r="D38" s="95">
        <f t="shared" ref="D38:H38" si="11">D31+D36</f>
        <v>27882</v>
      </c>
      <c r="E38" s="95">
        <f t="shared" si="11"/>
        <v>17522</v>
      </c>
      <c r="F38" s="95">
        <f t="shared" si="11"/>
        <v>16680</v>
      </c>
      <c r="G38" s="95">
        <f t="shared" si="11"/>
        <v>41880</v>
      </c>
      <c r="H38" s="95">
        <f t="shared" si="11"/>
        <v>66952.70239999998</v>
      </c>
      <c r="I38" s="97" t="str">
        <f ca="1">_xlfn.FORMULATEXT(H38)</f>
        <v>=H31+H36</v>
      </c>
      <c r="J38" s="95"/>
      <c r="K38" s="95"/>
      <c r="L38" s="96"/>
    </row>
    <row r="39" spans="1:18" x14ac:dyDescent="0.25">
      <c r="B39" s="91"/>
      <c r="H39" s="40"/>
      <c r="I39" s="40"/>
      <c r="J39" s="40"/>
      <c r="K39" s="40"/>
      <c r="L39" s="96"/>
    </row>
    <row r="40" spans="1:18" x14ac:dyDescent="0.25">
      <c r="B40" s="91" t="s">
        <v>25</v>
      </c>
      <c r="C40" s="16">
        <v>-1089</v>
      </c>
      <c r="D40" s="16">
        <v>-1793</v>
      </c>
      <c r="E40" s="16">
        <v>-281</v>
      </c>
      <c r="F40" s="16">
        <v>1215</v>
      </c>
      <c r="G40" s="16">
        <v>-2607</v>
      </c>
      <c r="H40" s="24">
        <f>-H12*H38</f>
        <v>-6025.743215999998</v>
      </c>
      <c r="I40" s="97" t="str">
        <f t="shared" ref="I40:I41" ca="1" si="12">_xlfn.FORMULATEXT(H40)</f>
        <v>=-H12*H38</v>
      </c>
      <c r="J40" s="24"/>
      <c r="K40" s="24"/>
      <c r="L40" s="96"/>
    </row>
    <row r="41" spans="1:18" s="25" customFormat="1" x14ac:dyDescent="0.25">
      <c r="B41" s="91" t="s">
        <v>26</v>
      </c>
      <c r="C41" s="91">
        <f>C38+C40</f>
        <v>19809</v>
      </c>
      <c r="D41" s="95">
        <f t="shared" ref="D41:H41" si="13">D38+D40</f>
        <v>26089</v>
      </c>
      <c r="E41" s="95">
        <f t="shared" si="13"/>
        <v>17241</v>
      </c>
      <c r="F41" s="95">
        <f t="shared" si="13"/>
        <v>17895</v>
      </c>
      <c r="G41" s="95">
        <f t="shared" si="13"/>
        <v>39273</v>
      </c>
      <c r="H41" s="95">
        <f t="shared" si="13"/>
        <v>60926.959183999985</v>
      </c>
      <c r="I41" s="97" t="str">
        <f t="shared" ca="1" si="12"/>
        <v>=H38+H40</v>
      </c>
      <c r="J41" s="95"/>
      <c r="K41" s="95"/>
      <c r="L41" s="96"/>
    </row>
    <row r="42" spans="1:18" x14ac:dyDescent="0.25">
      <c r="B42" s="19"/>
      <c r="H42" s="40"/>
      <c r="I42" s="40"/>
      <c r="J42" s="40"/>
      <c r="K42" s="40"/>
      <c r="L42" s="96"/>
    </row>
    <row r="43" spans="1:18" s="37" customFormat="1" x14ac:dyDescent="0.25">
      <c r="B43" s="8" t="s">
        <v>27</v>
      </c>
      <c r="H43" s="85"/>
      <c r="I43" s="85"/>
      <c r="J43" s="85"/>
      <c r="K43" s="85"/>
      <c r="L43" s="96"/>
    </row>
    <row r="44" spans="1:18" x14ac:dyDescent="0.25">
      <c r="A44" s="15"/>
      <c r="B44" s="91" t="s">
        <v>28</v>
      </c>
      <c r="C44" s="16">
        <f>50000-676.136</f>
        <v>49323.864000000001</v>
      </c>
      <c r="D44" s="16">
        <f>50000-717.546</f>
        <v>49282.453999999998</v>
      </c>
      <c r="E44" s="16">
        <f>50000-685.183</f>
        <v>49314.817000000003</v>
      </c>
      <c r="F44" s="16">
        <f>56068.965-695.055</f>
        <v>55373.909999999996</v>
      </c>
      <c r="G44" s="16">
        <f>56068.965-686.956</f>
        <v>55382.008999999998</v>
      </c>
      <c r="H44" s="91">
        <f>G44</f>
        <v>55382.008999999998</v>
      </c>
      <c r="I44" s="97" t="str">
        <f t="shared" ref="I44:I45" ca="1" si="14">_xlfn.FORMULATEXT(H44)</f>
        <v>=G44</v>
      </c>
      <c r="J44" s="95"/>
      <c r="K44" s="95"/>
      <c r="L44" s="96"/>
      <c r="R44" s="37"/>
    </row>
    <row r="45" spans="1:18" x14ac:dyDescent="0.25">
      <c r="A45" s="15"/>
      <c r="B45" s="91" t="s">
        <v>29</v>
      </c>
      <c r="C45" s="16">
        <v>49537</v>
      </c>
      <c r="D45" s="16">
        <v>49031</v>
      </c>
      <c r="E45" s="16">
        <v>49308</v>
      </c>
      <c r="F45" s="16">
        <v>51223</v>
      </c>
      <c r="G45" s="16">
        <v>55180</v>
      </c>
      <c r="H45" s="95">
        <f>G45</f>
        <v>55180</v>
      </c>
      <c r="I45" s="97" t="str">
        <f t="shared" ca="1" si="14"/>
        <v>=G45</v>
      </c>
      <c r="J45" s="95"/>
      <c r="K45" s="95"/>
      <c r="L45" s="96"/>
      <c r="R45" s="37"/>
    </row>
    <row r="46" spans="1:18" x14ac:dyDescent="0.25">
      <c r="B46" s="91"/>
      <c r="H46" s="40"/>
      <c r="I46" s="40"/>
      <c r="J46" s="40"/>
      <c r="K46" s="40"/>
      <c r="L46" s="96"/>
    </row>
    <row r="47" spans="1:18" x14ac:dyDescent="0.25">
      <c r="A47" s="15"/>
      <c r="B47" s="91" t="s">
        <v>30</v>
      </c>
      <c r="C47" s="91">
        <f>C41/C45</f>
        <v>0.39988291580031088</v>
      </c>
      <c r="D47" s="95">
        <f t="shared" ref="D47:H47" si="15">D41/D45</f>
        <v>0.53209194183271813</v>
      </c>
      <c r="E47" s="95">
        <f t="shared" si="15"/>
        <v>0.34965928449744466</v>
      </c>
      <c r="F47" s="95">
        <f t="shared" si="15"/>
        <v>0.34935478203150927</v>
      </c>
      <c r="G47" s="95">
        <f t="shared" si="15"/>
        <v>0.71172526277636827</v>
      </c>
      <c r="H47" s="95">
        <f t="shared" si="15"/>
        <v>1.1041493146792314</v>
      </c>
      <c r="I47" s="97" t="str">
        <f t="shared" ref="I47:I48" ca="1" si="16">_xlfn.FORMULATEXT(H47)</f>
        <v>=H41/H45</v>
      </c>
      <c r="J47" s="95"/>
      <c r="K47" s="95"/>
      <c r="L47" s="96"/>
    </row>
    <row r="48" spans="1:18" x14ac:dyDescent="0.25">
      <c r="A48" s="15"/>
      <c r="B48" s="91" t="s">
        <v>31</v>
      </c>
      <c r="C48" s="22">
        <v>0.13900000000000001</v>
      </c>
      <c r="D48" s="22">
        <v>0.183</v>
      </c>
      <c r="E48" s="22">
        <v>0.1207</v>
      </c>
      <c r="F48" s="22">
        <v>7.9799999999999996E-2</v>
      </c>
      <c r="G48" s="22">
        <v>0.17510000000000001</v>
      </c>
      <c r="H48" s="86">
        <f>H13*H47</f>
        <v>0.27603732866980785</v>
      </c>
      <c r="I48" s="97" t="str">
        <f t="shared" ca="1" si="16"/>
        <v>=H13*H47</v>
      </c>
      <c r="J48" s="86"/>
      <c r="K48" s="86"/>
      <c r="L48" s="96"/>
      <c r="R48" s="37"/>
    </row>
    <row r="49" spans="1:18" x14ac:dyDescent="0.25">
      <c r="B49" s="91"/>
      <c r="I49" s="95"/>
      <c r="J49" s="95"/>
      <c r="K49" s="95"/>
      <c r="L49" s="96"/>
    </row>
    <row r="50" spans="1:18" x14ac:dyDescent="0.25">
      <c r="B50" s="91"/>
      <c r="I50" s="95"/>
      <c r="J50" s="95"/>
      <c r="K50" s="95"/>
      <c r="L50" s="96"/>
    </row>
    <row r="51" spans="1:18" x14ac:dyDescent="0.25">
      <c r="A51" s="15"/>
      <c r="B51" s="91" t="s">
        <v>219</v>
      </c>
      <c r="C51" s="21">
        <f t="shared" ref="C51:H51" si="17">C22/C19</f>
        <v>0.60702126539848844</v>
      </c>
      <c r="D51" s="21">
        <f t="shared" si="17"/>
        <v>0.58000914775879908</v>
      </c>
      <c r="E51" s="21">
        <f t="shared" si="17"/>
        <v>0.60279572062979414</v>
      </c>
      <c r="F51" s="21">
        <f t="shared" si="17"/>
        <v>0.57803267178277429</v>
      </c>
      <c r="G51" s="21">
        <f t="shared" si="17"/>
        <v>0.56438923503711469</v>
      </c>
      <c r="H51" s="21">
        <f t="shared" si="17"/>
        <v>0.56999999999999995</v>
      </c>
      <c r="I51" s="97" t="str">
        <f t="shared" ref="I51:I56" ca="1" si="18">_xlfn.FORMULATEXT(H51)</f>
        <v>=H22/H19</v>
      </c>
      <c r="J51" s="21"/>
      <c r="K51" s="21"/>
      <c r="L51" s="96"/>
      <c r="M51" s="15"/>
      <c r="R51" s="37"/>
    </row>
    <row r="52" spans="1:18" x14ac:dyDescent="0.25">
      <c r="A52" s="15"/>
      <c r="B52" s="91" t="s">
        <v>218</v>
      </c>
      <c r="C52" s="21"/>
      <c r="D52" s="21">
        <f>D24/C24-1</f>
        <v>6.2610175673211366E-2</v>
      </c>
      <c r="E52" s="21">
        <f>E24/D24-1</f>
        <v>0.61609747726102615</v>
      </c>
      <c r="F52" s="21">
        <f>F24/E24-1</f>
        <v>0.14601253052989271</v>
      </c>
      <c r="G52" s="21">
        <f>G24/F24-1</f>
        <v>-9.4885100074128981E-2</v>
      </c>
      <c r="H52" s="21">
        <f>H24/G24-1</f>
        <v>-0.1432137796887798</v>
      </c>
      <c r="I52" s="97" t="str">
        <f t="shared" ca="1" si="18"/>
        <v>=H24/G24-1</v>
      </c>
      <c r="J52" s="21"/>
      <c r="K52" s="21"/>
      <c r="L52" s="96"/>
      <c r="M52" s="15"/>
      <c r="R52" s="37"/>
    </row>
    <row r="53" spans="1:18" x14ac:dyDescent="0.25">
      <c r="B53" s="91" t="s">
        <v>220</v>
      </c>
      <c r="C53" s="21">
        <f t="shared" ref="C53:H53" si="19">C28/C19</f>
        <v>0.12880281433562329</v>
      </c>
      <c r="D53" s="21">
        <f t="shared" si="19"/>
        <v>0.14769131562767121</v>
      </c>
      <c r="E53" s="21">
        <f t="shared" si="19"/>
        <v>0.10785296153180692</v>
      </c>
      <c r="F53" s="21">
        <f t="shared" si="19"/>
        <v>9.6873574833737444E-2</v>
      </c>
      <c r="G53" s="21">
        <f t="shared" si="19"/>
        <v>0.15913696226824556</v>
      </c>
      <c r="H53" s="21">
        <f t="shared" si="19"/>
        <v>0.15999999999999998</v>
      </c>
      <c r="I53" s="97" t="str">
        <f t="shared" ca="1" si="18"/>
        <v>=H28/H19</v>
      </c>
      <c r="J53" s="21"/>
      <c r="K53" s="21"/>
      <c r="L53" s="96"/>
      <c r="R53" s="37"/>
    </row>
    <row r="54" spans="1:18" x14ac:dyDescent="0.25">
      <c r="B54" s="91" t="s">
        <v>221</v>
      </c>
      <c r="C54" s="21"/>
      <c r="D54" s="21">
        <f>D30/C30-1</f>
        <v>0.10506265664160397</v>
      </c>
      <c r="E54" s="21">
        <f>E30/D30-1</f>
        <v>4.1368048625600951E-2</v>
      </c>
      <c r="F54" s="21">
        <f>F30/E30-1</f>
        <v>4.9220315358480704E-2</v>
      </c>
      <c r="G54" s="21">
        <f>G30/F30-1</f>
        <v>0.51245433410826968</v>
      </c>
      <c r="H54" s="21">
        <f>H30/G30-1</f>
        <v>-1</v>
      </c>
      <c r="I54" s="97" t="str">
        <f t="shared" ca="1" si="18"/>
        <v>=H30/G30-1</v>
      </c>
      <c r="J54" s="21"/>
      <c r="K54" s="21"/>
      <c r="L54" s="96"/>
      <c r="R54" s="37"/>
    </row>
    <row r="55" spans="1:18" x14ac:dyDescent="0.25">
      <c r="B55" s="91" t="s">
        <v>18</v>
      </c>
      <c r="C55" s="21">
        <f t="shared" ref="C55:H55" si="20">-C30/C19</f>
        <v>4.0381182166698379E-2</v>
      </c>
      <c r="D55" s="21">
        <f t="shared" si="20"/>
        <v>4.1326125099350658E-2</v>
      </c>
      <c r="E55" s="21">
        <f t="shared" si="20"/>
        <v>4.1377097871849587E-2</v>
      </c>
      <c r="F55" s="21">
        <f t="shared" si="20"/>
        <v>3.9515861792912471E-2</v>
      </c>
      <c r="G55" s="21">
        <f t="shared" si="20"/>
        <v>4.762813657791734E-2</v>
      </c>
      <c r="H55" s="21">
        <f t="shared" si="20"/>
        <v>0</v>
      </c>
      <c r="I55" s="97" t="str">
        <f t="shared" ca="1" si="18"/>
        <v>=-H30/H19</v>
      </c>
      <c r="J55" s="21"/>
      <c r="K55" s="21"/>
      <c r="L55" s="96"/>
      <c r="R55" s="37"/>
    </row>
    <row r="56" spans="1:18" x14ac:dyDescent="0.25">
      <c r="B56" s="91" t="s">
        <v>20</v>
      </c>
      <c r="C56" s="21">
        <f t="shared" ref="C56:H56" si="21">C31/C19</f>
        <v>8.8421632168924916E-2</v>
      </c>
      <c r="D56" s="21">
        <f t="shared" si="21"/>
        <v>0.10636519052832057</v>
      </c>
      <c r="E56" s="21">
        <f t="shared" si="21"/>
        <v>6.6475863659957321E-2</v>
      </c>
      <c r="F56" s="21">
        <f t="shared" si="21"/>
        <v>5.7357713040824966E-2</v>
      </c>
      <c r="G56" s="21">
        <f t="shared" si="21"/>
        <v>0.11150882569032822</v>
      </c>
      <c r="H56" s="21">
        <f t="shared" si="21"/>
        <v>0.15999999999999998</v>
      </c>
      <c r="I56" s="97" t="str">
        <f t="shared" ca="1" si="18"/>
        <v>=H31/H19</v>
      </c>
      <c r="J56" s="21"/>
      <c r="K56" s="21"/>
      <c r="L56" s="96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38702-2686-45D7-94AE-EE261099DEC4}">
  <dimension ref="A1:U7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5" x14ac:dyDescent="0.25"/>
  <cols>
    <col min="1" max="1" width="1.7109375" style="15" customWidth="1"/>
    <col min="2" max="2" width="55" style="15" customWidth="1"/>
    <col min="3" max="11" width="10.7109375" style="15" customWidth="1"/>
    <col min="12" max="16384" width="9" style="15"/>
  </cols>
  <sheetData>
    <row r="1" spans="1:21" ht="50.1" customHeight="1" x14ac:dyDescent="0.45">
      <c r="A1" s="42" t="str">
        <f>IS!A1</f>
        <v>Pharmaceuticals Sector Model - Rovi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1" x14ac:dyDescent="0.25">
      <c r="A2" s="10"/>
      <c r="B2" s="10"/>
      <c r="C2" s="14" t="str">
        <f>IS!C2</f>
        <v>Hist.</v>
      </c>
      <c r="D2" s="14" t="str">
        <f>IS!D2</f>
        <v>Hist.</v>
      </c>
      <c r="E2" s="14" t="str">
        <f>IS!E2</f>
        <v>Hist.</v>
      </c>
      <c r="F2" s="14" t="str">
        <f>IS!F2</f>
        <v>Hist.</v>
      </c>
      <c r="G2" s="14" t="str">
        <f>IS!G2</f>
        <v>Hist.</v>
      </c>
      <c r="H2" s="14" t="str">
        <f>IS!H2</f>
        <v>Proj.</v>
      </c>
      <c r="I2" s="14" t="str">
        <f>IS!I2</f>
        <v>Proj.</v>
      </c>
      <c r="J2" s="14" t="str">
        <f>IS!J2</f>
        <v>Proj.</v>
      </c>
      <c r="K2" s="14" t="str">
        <f>IS!K2</f>
        <v>Proj.</v>
      </c>
    </row>
    <row r="3" spans="1:21" ht="21" x14ac:dyDescent="0.35">
      <c r="A3" s="80" t="s">
        <v>33</v>
      </c>
      <c r="B3" s="10"/>
      <c r="C3" s="73">
        <f>IS!C3</f>
        <v>42369</v>
      </c>
      <c r="D3" s="73">
        <f t="shared" ref="D3:K3" si="0">EOMONTH(C3,12)</f>
        <v>42735</v>
      </c>
      <c r="E3" s="73">
        <f t="shared" si="0"/>
        <v>43100</v>
      </c>
      <c r="F3" s="73">
        <f t="shared" si="0"/>
        <v>43465</v>
      </c>
      <c r="G3" s="73">
        <f t="shared" si="0"/>
        <v>43830</v>
      </c>
      <c r="H3" s="73">
        <f t="shared" si="0"/>
        <v>44196</v>
      </c>
      <c r="I3" s="73">
        <f t="shared" si="0"/>
        <v>44561</v>
      </c>
      <c r="J3" s="73">
        <f t="shared" si="0"/>
        <v>44926</v>
      </c>
      <c r="K3" s="73">
        <f t="shared" si="0"/>
        <v>45291</v>
      </c>
      <c r="L3" s="1"/>
      <c r="M3" s="1"/>
      <c r="N3" s="1"/>
      <c r="O3" s="1"/>
      <c r="P3" s="1"/>
      <c r="Q3" s="1"/>
      <c r="R3" s="1"/>
      <c r="S3" s="1"/>
      <c r="T3" s="1"/>
      <c r="U3" s="1"/>
    </row>
    <row r="5" spans="1:21" customFormat="1" ht="15.75" x14ac:dyDescent="0.25">
      <c r="A5" s="12" t="s">
        <v>48</v>
      </c>
      <c r="B5" s="19"/>
      <c r="C5" s="15"/>
      <c r="D5" s="15"/>
      <c r="E5" s="15"/>
      <c r="F5" s="15"/>
      <c r="G5" s="15"/>
      <c r="H5" s="15"/>
      <c r="I5" s="15"/>
      <c r="J5" s="15"/>
      <c r="K5" s="15"/>
    </row>
    <row r="6" spans="1:21" customFormat="1" x14ac:dyDescent="0.25">
      <c r="A6" s="15"/>
      <c r="B6" s="91" t="s">
        <v>73</v>
      </c>
      <c r="C6" s="91"/>
      <c r="D6" s="21">
        <f>D18/IS!D19</f>
        <v>3.6291108678373797E-2</v>
      </c>
      <c r="E6" s="21">
        <f>E18/IS!E19</f>
        <v>5.3823749927908185E-2</v>
      </c>
      <c r="F6" s="21">
        <f>F18/IS!F19</f>
        <v>5.3774906574712344E-2</v>
      </c>
      <c r="G6" s="21">
        <f>G18/IS!G19</f>
        <v>6.771635426171943E-2</v>
      </c>
      <c r="H6" s="29">
        <v>0.06</v>
      </c>
      <c r="I6" s="29">
        <v>0.06</v>
      </c>
      <c r="J6" s="29">
        <v>0.05</v>
      </c>
      <c r="K6" s="29">
        <v>0.05</v>
      </c>
    </row>
    <row r="7" spans="1:21" customFormat="1" x14ac:dyDescent="0.25">
      <c r="A7" s="15"/>
      <c r="B7" s="91" t="s">
        <v>72</v>
      </c>
      <c r="C7" s="91"/>
      <c r="D7" s="21">
        <f>D24/IS!D19</f>
        <v>3.1477288064424215E-2</v>
      </c>
      <c r="E7" s="21">
        <f>E24/IS!E19</f>
        <v>1.806620912394025E-2</v>
      </c>
      <c r="F7" s="21">
        <f>F24/IS!F19</f>
        <v>3.3035969145868128E-2</v>
      </c>
      <c r="G7" s="21">
        <f>G24/IS!G19</f>
        <v>3.8241607684926383E-2</v>
      </c>
      <c r="H7" s="29">
        <v>3.5000000000000003E-2</v>
      </c>
      <c r="I7" s="29">
        <v>3.5000000000000003E-2</v>
      </c>
      <c r="J7" s="29">
        <v>3.5000000000000003E-2</v>
      </c>
      <c r="K7" s="29">
        <v>3.5000000000000003E-2</v>
      </c>
      <c r="N7" s="37"/>
    </row>
    <row r="8" spans="1:21" customFormat="1" x14ac:dyDescent="0.25">
      <c r="A8" s="15"/>
      <c r="B8" s="91" t="s">
        <v>52</v>
      </c>
      <c r="C8" s="91"/>
      <c r="D8" s="21" t="e">
        <f>-D19/C20</f>
        <v>#DIV/0!</v>
      </c>
      <c r="E8" s="21" t="e">
        <f>-E19/D20</f>
        <v>#DIV/0!</v>
      </c>
      <c r="F8" s="21" t="e">
        <f>-F19/E20</f>
        <v>#DIV/0!</v>
      </c>
      <c r="G8" s="21" t="e">
        <f>-G19/F20</f>
        <v>#DIV/0!</v>
      </c>
      <c r="H8" s="27">
        <v>0.12</v>
      </c>
      <c r="I8" s="27">
        <f>H8</f>
        <v>0.12</v>
      </c>
      <c r="J8" s="27">
        <f>I8</f>
        <v>0.12</v>
      </c>
      <c r="K8" s="27">
        <f>J8</f>
        <v>0.12</v>
      </c>
    </row>
    <row r="9" spans="1:21" customFormat="1" x14ac:dyDescent="0.25">
      <c r="B9" s="91" t="s">
        <v>53</v>
      </c>
      <c r="C9" s="91"/>
      <c r="D9" s="21" t="e">
        <f>-D25/C26</f>
        <v>#DIV/0!</v>
      </c>
      <c r="E9" s="21" t="e">
        <f>-E25/D26</f>
        <v>#DIV/0!</v>
      </c>
      <c r="F9" s="21" t="e">
        <f>-F25/E26</f>
        <v>#DIV/0!</v>
      </c>
      <c r="G9" s="21" t="e">
        <f>-G25/F26</f>
        <v>#DIV/0!</v>
      </c>
      <c r="H9" s="27" t="e">
        <f>G9+1%</f>
        <v>#DIV/0!</v>
      </c>
      <c r="I9" s="27" t="e">
        <f>H9+1%</f>
        <v>#DIV/0!</v>
      </c>
      <c r="J9" s="27" t="e">
        <f>I9+1%</f>
        <v>#DIV/0!</v>
      </c>
      <c r="K9" s="27" t="e">
        <f>J9+1%</f>
        <v>#DIV/0!</v>
      </c>
    </row>
    <row r="10" spans="1:21" x14ac:dyDescent="0.25">
      <c r="B10" s="91" t="s">
        <v>172</v>
      </c>
      <c r="C10" s="91"/>
      <c r="D10" s="91"/>
      <c r="E10" s="91"/>
      <c r="F10" s="91"/>
      <c r="G10" s="91"/>
      <c r="H10" s="27">
        <v>0</v>
      </c>
      <c r="I10" s="27">
        <v>0</v>
      </c>
      <c r="J10" s="27">
        <v>0</v>
      </c>
      <c r="K10" s="27">
        <v>0</v>
      </c>
    </row>
    <row r="11" spans="1:21" customFormat="1" x14ac:dyDescent="0.25">
      <c r="B11" s="91" t="s">
        <v>151</v>
      </c>
      <c r="C11" s="91">
        <f>-C55/IS!C21*365</f>
        <v>240.11099779549622</v>
      </c>
      <c r="D11" s="91">
        <f>-D55/IS!D21*365</f>
        <v>219.55715242133451</v>
      </c>
      <c r="E11" s="91">
        <f>-E55/IS!E21*365</f>
        <v>250.05517541789933</v>
      </c>
      <c r="F11" s="91">
        <f>-F55/IS!F21*365</f>
        <v>269.21697988507981</v>
      </c>
      <c r="G11" s="91">
        <f>-G55/IS!G21*365</f>
        <v>347.92482218420815</v>
      </c>
      <c r="H11" s="28">
        <v>340</v>
      </c>
      <c r="I11" s="28">
        <v>320</v>
      </c>
      <c r="J11" s="28">
        <v>300</v>
      </c>
      <c r="K11" s="28">
        <v>280</v>
      </c>
    </row>
    <row r="12" spans="1:21" customFormat="1" x14ac:dyDescent="0.25">
      <c r="B12" s="91" t="s">
        <v>152</v>
      </c>
      <c r="C12" s="91">
        <f>C56/IS!C19*365</f>
        <v>84.264981519789814</v>
      </c>
      <c r="D12" s="91">
        <f>D56/IS!D19*365</f>
        <v>73.678186344345633</v>
      </c>
      <c r="E12" s="91">
        <f>E56/IS!E19*365</f>
        <v>65.450916286983102</v>
      </c>
      <c r="F12" s="91">
        <f>F56/IS!F19*365</f>
        <v>72.068545780851665</v>
      </c>
      <c r="G12" s="91">
        <f>G56/IS!G19*365</f>
        <v>77.817893495579966</v>
      </c>
      <c r="H12" s="28">
        <v>75</v>
      </c>
      <c r="I12" s="28">
        <v>75</v>
      </c>
      <c r="J12" s="28">
        <v>75</v>
      </c>
      <c r="K12" s="28">
        <v>75</v>
      </c>
    </row>
    <row r="13" spans="1:21" customFormat="1" x14ac:dyDescent="0.25">
      <c r="B13" s="91" t="s">
        <v>153</v>
      </c>
      <c r="C13" s="91">
        <f>C68/(IS!C19-IS!C28)*365</f>
        <v>77.581411126187248</v>
      </c>
      <c r="D13" s="91">
        <f>D68/(IS!D19-IS!D28)*365</f>
        <v>96.094713598254586</v>
      </c>
      <c r="E13" s="91">
        <f>E68/(IS!E19-IS!E28)*365</f>
        <v>78.075134442814829</v>
      </c>
      <c r="F13" s="91">
        <f>F68/(IS!F19-IS!F28)*365</f>
        <v>90.387102516502395</v>
      </c>
      <c r="G13" s="91">
        <f>G68/(IS!G19-IS!G28)*365</f>
        <v>104.31814153650974</v>
      </c>
      <c r="H13" s="28">
        <v>100</v>
      </c>
      <c r="I13" s="28">
        <v>95</v>
      </c>
      <c r="J13" s="28">
        <v>90</v>
      </c>
      <c r="K13" s="28">
        <v>90</v>
      </c>
    </row>
    <row r="15" spans="1:21" ht="15.75" x14ac:dyDescent="0.25">
      <c r="A15" s="12" t="s">
        <v>146</v>
      </c>
      <c r="B15" s="19"/>
    </row>
    <row r="16" spans="1:21" customFormat="1" x14ac:dyDescent="0.25">
      <c r="A16" s="15"/>
      <c r="B16" s="8" t="s">
        <v>34</v>
      </c>
      <c r="C16" s="15"/>
      <c r="D16" s="15"/>
      <c r="E16" s="15"/>
      <c r="F16" s="15"/>
      <c r="G16" s="15"/>
      <c r="H16" s="15"/>
      <c r="I16" s="15"/>
      <c r="J16" s="15"/>
      <c r="K16" s="15"/>
    </row>
    <row r="17" spans="1:14" customFormat="1" x14ac:dyDescent="0.25">
      <c r="A17" s="15"/>
      <c r="B17" s="91" t="s">
        <v>147</v>
      </c>
      <c r="C17" s="6"/>
      <c r="D17" s="19"/>
      <c r="E17" s="19"/>
      <c r="F17" s="19"/>
      <c r="G17" s="19"/>
      <c r="H17" s="24"/>
      <c r="I17" s="24"/>
      <c r="J17" s="24"/>
      <c r="K17" s="24"/>
      <c r="L17" s="91"/>
    </row>
    <row r="18" spans="1:14" customFormat="1" x14ac:dyDescent="0.25">
      <c r="A18" s="15"/>
      <c r="B18" s="91" t="s">
        <v>148</v>
      </c>
      <c r="C18" s="16">
        <v>0</v>
      </c>
      <c r="D18" s="16">
        <v>9680</v>
      </c>
      <c r="E18" s="16">
        <v>14932</v>
      </c>
      <c r="F18" s="16">
        <v>16390</v>
      </c>
      <c r="G18" s="16">
        <v>25899</v>
      </c>
      <c r="H18" s="24"/>
      <c r="I18" s="24"/>
      <c r="J18" s="24"/>
      <c r="K18" s="24"/>
      <c r="L18" s="96"/>
    </row>
    <row r="19" spans="1:14" customFormat="1" x14ac:dyDescent="0.25">
      <c r="A19" s="15"/>
      <c r="B19" s="91" t="s">
        <v>149</v>
      </c>
      <c r="C19" s="16">
        <v>-7993</v>
      </c>
      <c r="D19" s="16">
        <v>-8618</v>
      </c>
      <c r="E19" s="16">
        <v>-8673</v>
      </c>
      <c r="F19" s="16">
        <v>-9547</v>
      </c>
      <c r="G19" s="16">
        <v>-14360</v>
      </c>
      <c r="H19" s="24"/>
      <c r="I19" s="24"/>
      <c r="J19" s="24"/>
      <c r="K19" s="24"/>
      <c r="L19" s="96"/>
      <c r="N19" s="37"/>
    </row>
    <row r="20" spans="1:14" customFormat="1" x14ac:dyDescent="0.25">
      <c r="A20" s="15"/>
      <c r="B20" s="91" t="s">
        <v>51</v>
      </c>
      <c r="C20" s="91"/>
      <c r="D20" s="95"/>
      <c r="E20" s="95"/>
      <c r="F20" s="95"/>
      <c r="G20" s="95"/>
      <c r="H20" s="91"/>
      <c r="I20" s="24"/>
      <c r="J20" s="95"/>
      <c r="K20" s="95"/>
      <c r="L20" s="96"/>
    </row>
    <row r="21" spans="1:14" customFormat="1" x14ac:dyDescent="0.25">
      <c r="B21" s="19"/>
      <c r="H21" s="40"/>
      <c r="I21" s="40"/>
      <c r="J21" s="40"/>
      <c r="K21" s="40"/>
      <c r="L21" s="96"/>
    </row>
    <row r="22" spans="1:14" customFormat="1" x14ac:dyDescent="0.25">
      <c r="A22" s="15"/>
      <c r="B22" s="8" t="s">
        <v>35</v>
      </c>
      <c r="C22" s="15"/>
      <c r="D22" s="15"/>
      <c r="E22" s="15"/>
      <c r="F22" s="15"/>
      <c r="G22" s="15"/>
      <c r="H22" s="40"/>
      <c r="I22" s="40"/>
      <c r="J22" s="40"/>
      <c r="K22" s="40"/>
      <c r="L22" s="96"/>
    </row>
    <row r="23" spans="1:14" customFormat="1" x14ac:dyDescent="0.25">
      <c r="A23" s="15"/>
      <c r="B23" s="91" t="s">
        <v>147</v>
      </c>
      <c r="C23" s="6"/>
      <c r="D23" s="19"/>
      <c r="E23" s="19"/>
      <c r="F23" s="19"/>
      <c r="G23" s="19"/>
      <c r="H23" s="24"/>
      <c r="I23" s="24"/>
      <c r="J23" s="24"/>
      <c r="K23" s="24"/>
      <c r="L23" s="96"/>
    </row>
    <row r="24" spans="1:14" customFormat="1" x14ac:dyDescent="0.25">
      <c r="B24" s="91" t="s">
        <v>148</v>
      </c>
      <c r="C24" s="6"/>
      <c r="D24" s="16">
        <v>8396</v>
      </c>
      <c r="E24" s="16">
        <v>5012</v>
      </c>
      <c r="F24" s="16">
        <v>10069</v>
      </c>
      <c r="G24" s="16">
        <v>14626</v>
      </c>
      <c r="H24" s="24"/>
      <c r="I24" s="24"/>
      <c r="J24" s="24"/>
      <c r="K24" s="24"/>
      <c r="L24" s="96"/>
    </row>
    <row r="25" spans="1:14" customFormat="1" x14ac:dyDescent="0.25">
      <c r="B25" s="91" t="s">
        <v>150</v>
      </c>
      <c r="C25" s="16">
        <v>-1982</v>
      </c>
      <c r="D25" s="16">
        <v>-2405</v>
      </c>
      <c r="E25" s="16">
        <v>-2806</v>
      </c>
      <c r="F25" s="16">
        <v>-2497</v>
      </c>
      <c r="G25" s="16">
        <v>-3856</v>
      </c>
      <c r="H25" s="24"/>
      <c r="I25" s="24"/>
      <c r="J25" s="24"/>
      <c r="K25" s="24"/>
      <c r="L25" s="96"/>
      <c r="N25" s="37"/>
    </row>
    <row r="26" spans="1:14" customFormat="1" x14ac:dyDescent="0.25">
      <c r="B26" s="91" t="s">
        <v>51</v>
      </c>
      <c r="C26" s="91"/>
      <c r="D26" s="95"/>
      <c r="E26" s="95"/>
      <c r="F26" s="95"/>
      <c r="G26" s="95"/>
      <c r="H26" s="91"/>
      <c r="I26" s="24"/>
      <c r="J26" s="95"/>
      <c r="K26" s="95"/>
      <c r="L26" s="96"/>
    </row>
    <row r="27" spans="1:14" customFormat="1" x14ac:dyDescent="0.25">
      <c r="B27" s="19"/>
      <c r="H27" s="40"/>
      <c r="I27" s="40"/>
      <c r="J27" s="40"/>
      <c r="K27" s="40"/>
      <c r="L27" s="96"/>
    </row>
    <row r="28" spans="1:14" x14ac:dyDescent="0.25">
      <c r="B28" s="8" t="s">
        <v>175</v>
      </c>
      <c r="H28" s="40"/>
      <c r="I28" s="40"/>
      <c r="J28" s="40"/>
      <c r="K28" s="40"/>
      <c r="L28" s="96"/>
    </row>
    <row r="29" spans="1:14" x14ac:dyDescent="0.25">
      <c r="B29" s="91" t="s">
        <v>147</v>
      </c>
      <c r="C29" s="91"/>
      <c r="D29" s="91"/>
      <c r="E29" s="91"/>
      <c r="F29" s="91"/>
      <c r="G29" s="91"/>
      <c r="H29" s="91"/>
      <c r="I29" s="24"/>
      <c r="J29" s="95"/>
      <c r="K29" s="95"/>
      <c r="L29" s="96"/>
    </row>
    <row r="30" spans="1:14" x14ac:dyDescent="0.25">
      <c r="B30" s="91" t="s">
        <v>173</v>
      </c>
      <c r="C30" s="91"/>
      <c r="D30" s="91"/>
      <c r="E30" s="91"/>
      <c r="F30" s="91"/>
      <c r="G30" s="91"/>
      <c r="H30" s="91"/>
      <c r="I30" s="24"/>
      <c r="J30" s="95"/>
      <c r="K30" s="95"/>
      <c r="L30" s="96"/>
    </row>
    <row r="31" spans="1:14" x14ac:dyDescent="0.25">
      <c r="B31" s="91" t="s">
        <v>174</v>
      </c>
      <c r="C31" s="91"/>
      <c r="D31" s="91"/>
      <c r="E31" s="91"/>
      <c r="F31" s="91"/>
      <c r="G31" s="91"/>
      <c r="H31" s="91"/>
      <c r="I31" s="24"/>
      <c r="J31" s="95"/>
      <c r="K31" s="95"/>
      <c r="L31" s="96"/>
    </row>
    <row r="32" spans="1:14" x14ac:dyDescent="0.25">
      <c r="B32" s="91" t="s">
        <v>51</v>
      </c>
      <c r="C32" s="91"/>
      <c r="D32" s="91"/>
      <c r="E32" s="91"/>
      <c r="F32" s="91"/>
      <c r="G32" s="91"/>
      <c r="H32" s="91"/>
      <c r="I32" s="24"/>
      <c r="J32" s="95"/>
      <c r="K32" s="95"/>
      <c r="L32" s="96"/>
    </row>
    <row r="33" spans="1:12" x14ac:dyDescent="0.25">
      <c r="B33" s="19"/>
      <c r="C33" s="91"/>
      <c r="D33" s="91"/>
      <c r="E33" s="91"/>
      <c r="F33" s="91"/>
      <c r="G33" s="91"/>
      <c r="H33" s="91"/>
      <c r="I33" s="95"/>
      <c r="J33" s="95"/>
      <c r="K33" s="95"/>
      <c r="L33" s="96"/>
    </row>
    <row r="34" spans="1:12" x14ac:dyDescent="0.25">
      <c r="B34" s="8" t="s">
        <v>58</v>
      </c>
      <c r="C34" s="91"/>
      <c r="D34" s="91"/>
      <c r="E34" s="91"/>
      <c r="F34" s="91"/>
      <c r="G34" s="91"/>
      <c r="H34" s="91"/>
      <c r="I34" s="95"/>
      <c r="J34" s="95"/>
      <c r="K34" s="95"/>
      <c r="L34" s="96"/>
    </row>
    <row r="35" spans="1:12" x14ac:dyDescent="0.25">
      <c r="B35" s="91" t="s">
        <v>49</v>
      </c>
      <c r="C35" s="91"/>
      <c r="D35" s="91"/>
      <c r="E35" s="91"/>
      <c r="F35" s="91"/>
      <c r="G35" s="91"/>
      <c r="H35" s="91"/>
      <c r="I35" s="24"/>
      <c r="J35" s="95"/>
      <c r="K35" s="95"/>
      <c r="L35" s="96"/>
    </row>
    <row r="36" spans="1:12" x14ac:dyDescent="0.25">
      <c r="B36" s="91" t="s">
        <v>26</v>
      </c>
      <c r="C36" s="91"/>
      <c r="D36" s="91"/>
      <c r="E36" s="91"/>
      <c r="F36" s="91"/>
      <c r="G36" s="91"/>
      <c r="H36" s="91"/>
      <c r="I36" s="24"/>
      <c r="J36" s="95"/>
      <c r="K36" s="95"/>
      <c r="L36" s="96"/>
    </row>
    <row r="37" spans="1:12" x14ac:dyDescent="0.25">
      <c r="B37" s="91" t="s">
        <v>59</v>
      </c>
      <c r="C37" s="91"/>
      <c r="D37" s="91"/>
      <c r="E37" s="91"/>
      <c r="F37" s="91"/>
      <c r="G37" s="91"/>
      <c r="H37" s="91"/>
      <c r="I37" s="24"/>
      <c r="J37" s="95"/>
      <c r="K37" s="95"/>
      <c r="L37" s="96"/>
    </row>
    <row r="38" spans="1:12" x14ac:dyDescent="0.25">
      <c r="B38" s="91" t="s">
        <v>51</v>
      </c>
      <c r="C38" s="91"/>
      <c r="D38" s="91"/>
      <c r="E38" s="91"/>
      <c r="F38" s="91"/>
      <c r="G38" s="91"/>
      <c r="H38" s="91"/>
      <c r="I38" s="24"/>
      <c r="J38" s="95"/>
      <c r="K38" s="95"/>
      <c r="L38" s="96"/>
    </row>
    <row r="39" spans="1:12" x14ac:dyDescent="0.25">
      <c r="B39" s="19"/>
      <c r="C39" s="19"/>
      <c r="D39" s="19"/>
      <c r="E39" s="19"/>
      <c r="F39" s="19"/>
      <c r="G39" s="19"/>
      <c r="H39" s="24"/>
      <c r="I39" s="24"/>
      <c r="J39" s="24"/>
      <c r="K39" s="24"/>
      <c r="L39" s="96"/>
    </row>
    <row r="40" spans="1:12" x14ac:dyDescent="0.25">
      <c r="B40" s="23" t="s">
        <v>164</v>
      </c>
      <c r="C40" s="19"/>
      <c r="D40" s="19"/>
      <c r="E40" s="19"/>
      <c r="F40" s="19"/>
      <c r="G40" s="19"/>
      <c r="H40" s="24"/>
      <c r="I40" s="24"/>
      <c r="J40" s="24"/>
      <c r="K40" s="24"/>
      <c r="L40" s="96"/>
    </row>
    <row r="41" spans="1:12" x14ac:dyDescent="0.25">
      <c r="B41" s="91" t="s">
        <v>38</v>
      </c>
      <c r="C41" s="19"/>
      <c r="D41" s="19"/>
      <c r="E41" s="19"/>
      <c r="F41" s="19"/>
      <c r="G41" s="19"/>
      <c r="H41" s="19"/>
      <c r="I41" s="24"/>
      <c r="J41" s="19"/>
      <c r="K41" s="19"/>
      <c r="L41" s="96"/>
    </row>
    <row r="42" spans="1:12" x14ac:dyDescent="0.25">
      <c r="B42" s="91" t="s">
        <v>39</v>
      </c>
      <c r="C42" s="19"/>
      <c r="D42" s="19"/>
      <c r="E42" s="19"/>
      <c r="F42" s="19"/>
      <c r="G42" s="19"/>
      <c r="H42" s="19"/>
      <c r="I42" s="24"/>
      <c r="J42" s="19"/>
      <c r="K42" s="19"/>
      <c r="L42" s="96"/>
    </row>
    <row r="43" spans="1:12" x14ac:dyDescent="0.25">
      <c r="B43" s="91" t="s">
        <v>40</v>
      </c>
      <c r="C43" s="19"/>
      <c r="D43" s="19"/>
      <c r="E43" s="19"/>
      <c r="F43" s="19"/>
      <c r="G43" s="19"/>
      <c r="H43" s="19"/>
      <c r="I43" s="24"/>
      <c r="J43" s="19"/>
      <c r="K43" s="19"/>
      <c r="L43" s="96"/>
    </row>
    <row r="44" spans="1:12" x14ac:dyDescent="0.25">
      <c r="B44" s="91" t="s">
        <v>46</v>
      </c>
      <c r="C44" s="19"/>
      <c r="D44" s="19"/>
      <c r="E44" s="19"/>
      <c r="F44" s="19"/>
      <c r="G44" s="19"/>
      <c r="H44" s="19"/>
      <c r="I44" s="24"/>
      <c r="J44" s="19"/>
      <c r="K44" s="19"/>
      <c r="L44" s="96"/>
    </row>
    <row r="45" spans="1:12" x14ac:dyDescent="0.25">
      <c r="B45" s="91" t="s">
        <v>159</v>
      </c>
      <c r="C45" s="19"/>
      <c r="D45" s="19"/>
      <c r="E45" s="19"/>
      <c r="F45" s="19"/>
      <c r="G45" s="19"/>
      <c r="H45" s="19"/>
      <c r="I45" s="24"/>
      <c r="J45" s="19"/>
      <c r="K45" s="19"/>
      <c r="L45" s="96"/>
    </row>
    <row r="46" spans="1:12" x14ac:dyDescent="0.25">
      <c r="B46" s="91" t="s">
        <v>165</v>
      </c>
      <c r="C46" s="19"/>
      <c r="D46" s="19"/>
      <c r="E46" s="19"/>
      <c r="F46" s="19"/>
      <c r="G46" s="19"/>
      <c r="H46" s="19"/>
      <c r="I46" s="24"/>
      <c r="J46" s="19"/>
      <c r="K46" s="19"/>
      <c r="L46" s="96"/>
    </row>
    <row r="47" spans="1:12" x14ac:dyDescent="0.25">
      <c r="B47" s="19"/>
      <c r="C47" s="2"/>
      <c r="H47" s="40"/>
      <c r="I47" s="40"/>
      <c r="J47" s="40"/>
      <c r="K47" s="40"/>
      <c r="L47" s="96"/>
    </row>
    <row r="48" spans="1:12" customFormat="1" ht="15.75" x14ac:dyDescent="0.25">
      <c r="A48" s="12" t="s">
        <v>33</v>
      </c>
      <c r="B48" s="19"/>
      <c r="C48" s="15"/>
      <c r="D48" s="15"/>
      <c r="E48" s="15"/>
      <c r="F48" s="15"/>
      <c r="G48" s="15"/>
      <c r="H48" s="40"/>
      <c r="I48" s="40"/>
      <c r="J48" s="40"/>
      <c r="K48" s="40"/>
      <c r="L48" s="96"/>
    </row>
    <row r="49" spans="1:16" customFormat="1" x14ac:dyDescent="0.25">
      <c r="A49" s="15"/>
      <c r="B49" s="91" t="s">
        <v>34</v>
      </c>
      <c r="C49" s="16">
        <v>81803</v>
      </c>
      <c r="D49" s="16">
        <v>82822</v>
      </c>
      <c r="E49" s="16">
        <v>89056</v>
      </c>
      <c r="F49" s="16">
        <v>95837</v>
      </c>
      <c r="G49" s="16">
        <v>131608</v>
      </c>
      <c r="H49" s="91"/>
      <c r="I49" s="24"/>
      <c r="J49" s="95"/>
      <c r="K49" s="95"/>
      <c r="L49" s="96"/>
    </row>
    <row r="50" spans="1:16" customFormat="1" x14ac:dyDescent="0.25">
      <c r="A50" s="15"/>
      <c r="B50" s="91" t="s">
        <v>35</v>
      </c>
      <c r="C50" s="16">
        <v>18881</v>
      </c>
      <c r="D50" s="16">
        <v>24872</v>
      </c>
      <c r="E50" s="16">
        <v>27078</v>
      </c>
      <c r="F50" s="16">
        <v>34650</v>
      </c>
      <c r="G50" s="16">
        <v>45079</v>
      </c>
      <c r="H50" s="91"/>
      <c r="I50" s="24"/>
      <c r="J50" s="95"/>
      <c r="K50" s="95"/>
      <c r="L50" s="96"/>
    </row>
    <row r="51" spans="1:16" customFormat="1" x14ac:dyDescent="0.25">
      <c r="A51" s="15"/>
      <c r="B51" s="91" t="s">
        <v>170</v>
      </c>
      <c r="C51" s="16">
        <v>0</v>
      </c>
      <c r="D51" s="16">
        <v>2571</v>
      </c>
      <c r="E51" s="16">
        <v>2054</v>
      </c>
      <c r="F51" s="16">
        <v>2038</v>
      </c>
      <c r="G51" s="16">
        <v>1843</v>
      </c>
      <c r="H51" s="91"/>
      <c r="I51" s="24"/>
      <c r="J51" s="95"/>
      <c r="K51" s="95"/>
      <c r="L51" s="96"/>
    </row>
    <row r="52" spans="1:16" customFormat="1" x14ac:dyDescent="0.25">
      <c r="B52" s="91" t="s">
        <v>36</v>
      </c>
      <c r="C52" s="16">
        <v>8871</v>
      </c>
      <c r="D52" s="16">
        <v>10252</v>
      </c>
      <c r="E52" s="16">
        <v>11893</v>
      </c>
      <c r="F52" s="16">
        <v>16036</v>
      </c>
      <c r="G52" s="16">
        <v>14660</v>
      </c>
      <c r="H52" s="91"/>
      <c r="I52" s="24"/>
      <c r="J52" s="95"/>
      <c r="K52" s="95"/>
      <c r="L52" s="96"/>
    </row>
    <row r="53" spans="1:16" customFormat="1" x14ac:dyDescent="0.25">
      <c r="B53" s="91" t="s">
        <v>37</v>
      </c>
      <c r="C53" s="16">
        <f>139+70</f>
        <v>209</v>
      </c>
      <c r="D53" s="16">
        <f>189+70</f>
        <v>259</v>
      </c>
      <c r="E53" s="16">
        <f>65+69</f>
        <v>134</v>
      </c>
      <c r="F53" s="16">
        <f>65+70</f>
        <v>135</v>
      </c>
      <c r="G53" s="16">
        <f>65+71</f>
        <v>136</v>
      </c>
      <c r="H53" s="91"/>
      <c r="I53" s="24"/>
      <c r="J53" s="95"/>
      <c r="K53" s="95"/>
      <c r="L53" s="96"/>
    </row>
    <row r="54" spans="1:16" customFormat="1" x14ac:dyDescent="0.25">
      <c r="B54" s="24"/>
      <c r="C54" s="6"/>
      <c r="D54" s="6"/>
      <c r="E54" s="6"/>
      <c r="F54" s="6"/>
      <c r="G54" s="6"/>
      <c r="H54" s="91"/>
      <c r="I54" s="95"/>
      <c r="J54" s="95"/>
      <c r="K54" s="95"/>
      <c r="L54" s="96"/>
    </row>
    <row r="55" spans="1:16" customFormat="1" x14ac:dyDescent="0.25">
      <c r="B55" s="91" t="s">
        <v>38</v>
      </c>
      <c r="C55" s="16">
        <v>63859</v>
      </c>
      <c r="D55" s="16">
        <v>67386</v>
      </c>
      <c r="E55" s="16">
        <v>75492</v>
      </c>
      <c r="F55" s="16">
        <v>94861</v>
      </c>
      <c r="G55" s="16">
        <v>158811</v>
      </c>
      <c r="H55" s="91"/>
      <c r="I55" s="24"/>
      <c r="J55" s="95"/>
      <c r="K55" s="95"/>
      <c r="L55" s="96"/>
    </row>
    <row r="56" spans="1:16" customFormat="1" x14ac:dyDescent="0.25">
      <c r="B56" s="91" t="s">
        <v>39</v>
      </c>
      <c r="C56" s="16">
        <v>57028</v>
      </c>
      <c r="D56" s="16">
        <v>53842</v>
      </c>
      <c r="E56" s="16">
        <v>49747</v>
      </c>
      <c r="F56" s="16">
        <v>60180</v>
      </c>
      <c r="G56" s="16">
        <v>81541</v>
      </c>
      <c r="H56" s="91"/>
      <c r="I56" s="24"/>
      <c r="J56" s="95"/>
      <c r="K56" s="95"/>
      <c r="L56" s="96"/>
    </row>
    <row r="57" spans="1:16" x14ac:dyDescent="0.25">
      <c r="B57" s="91" t="s">
        <v>40</v>
      </c>
      <c r="C57" s="16">
        <v>3945</v>
      </c>
      <c r="D57" s="16">
        <v>4466</v>
      </c>
      <c r="E57" s="16">
        <v>2228</v>
      </c>
      <c r="F57" s="16">
        <v>3452</v>
      </c>
      <c r="G57" s="16">
        <v>10107</v>
      </c>
      <c r="H57" s="91"/>
      <c r="I57" s="24"/>
      <c r="J57" s="95"/>
      <c r="K57" s="95"/>
      <c r="L57" s="96"/>
    </row>
    <row r="58" spans="1:16" customFormat="1" x14ac:dyDescent="0.25">
      <c r="B58" s="91" t="s">
        <v>41</v>
      </c>
      <c r="C58" s="16">
        <v>29251</v>
      </c>
      <c r="D58" s="16">
        <v>41378</v>
      </c>
      <c r="E58" s="16">
        <v>40700</v>
      </c>
      <c r="F58" s="16">
        <v>95511</v>
      </c>
      <c r="G58" s="16">
        <v>67426</v>
      </c>
      <c r="H58" s="40"/>
      <c r="I58" s="24"/>
      <c r="J58" s="40"/>
      <c r="K58" s="40"/>
      <c r="L58" s="96"/>
    </row>
    <row r="59" spans="1:16" customFormat="1" x14ac:dyDescent="0.25">
      <c r="B59" s="24"/>
      <c r="C59" s="6"/>
      <c r="D59" s="6"/>
      <c r="E59" s="6"/>
      <c r="F59" s="6"/>
      <c r="G59" s="6"/>
      <c r="H59" s="91"/>
      <c r="I59" s="95"/>
      <c r="J59" s="95"/>
      <c r="K59" s="95"/>
      <c r="L59" s="96"/>
    </row>
    <row r="60" spans="1:16" s="25" customFormat="1" x14ac:dyDescent="0.25">
      <c r="B60" s="91" t="s">
        <v>42</v>
      </c>
      <c r="C60" s="91"/>
      <c r="D60" s="95"/>
      <c r="E60" s="95"/>
      <c r="F60" s="95"/>
      <c r="G60" s="95"/>
      <c r="H60" s="95"/>
      <c r="I60" s="24"/>
      <c r="J60" s="95"/>
      <c r="K60" s="95"/>
      <c r="L60" s="96"/>
    </row>
    <row r="61" spans="1:16" customFormat="1" x14ac:dyDescent="0.25">
      <c r="B61" s="91"/>
      <c r="C61" s="6"/>
      <c r="D61" s="6"/>
      <c r="E61" s="6"/>
      <c r="F61" s="6"/>
      <c r="G61" s="6"/>
      <c r="H61" s="91"/>
      <c r="I61" s="95"/>
      <c r="J61" s="95"/>
      <c r="K61" s="95"/>
      <c r="L61" s="96"/>
    </row>
    <row r="62" spans="1:16" customFormat="1" x14ac:dyDescent="0.25">
      <c r="B62" s="91" t="s">
        <v>43</v>
      </c>
      <c r="C62" s="16">
        <v>32631</v>
      </c>
      <c r="D62" s="16">
        <v>20828</v>
      </c>
      <c r="E62" s="16">
        <v>27029</v>
      </c>
      <c r="F62" s="16">
        <v>16589</v>
      </c>
      <c r="G62" s="16">
        <v>72104</v>
      </c>
      <c r="H62" s="91"/>
      <c r="I62" s="24"/>
      <c r="J62" s="95"/>
      <c r="K62" s="95"/>
      <c r="L62" s="96"/>
      <c r="P62" s="37"/>
    </row>
    <row r="63" spans="1:16" customFormat="1" x14ac:dyDescent="0.25">
      <c r="B63" s="91" t="s">
        <v>44</v>
      </c>
      <c r="C63" s="16">
        <v>1344</v>
      </c>
      <c r="D63" s="16">
        <v>1640</v>
      </c>
      <c r="E63" s="16">
        <v>1438</v>
      </c>
      <c r="F63" s="16">
        <v>1243</v>
      </c>
      <c r="G63" s="16">
        <v>1078</v>
      </c>
      <c r="H63" s="91"/>
      <c r="I63" s="24"/>
      <c r="J63" s="95"/>
      <c r="K63" s="95"/>
      <c r="L63" s="96"/>
    </row>
    <row r="64" spans="1:16" x14ac:dyDescent="0.25">
      <c r="B64" s="91" t="s">
        <v>158</v>
      </c>
      <c r="C64" s="16">
        <v>5861</v>
      </c>
      <c r="D64" s="16">
        <v>5532</v>
      </c>
      <c r="E64" s="16">
        <v>5005</v>
      </c>
      <c r="F64" s="16">
        <v>9884</v>
      </c>
      <c r="G64" s="16">
        <v>8934</v>
      </c>
      <c r="H64" s="91"/>
      <c r="I64" s="24"/>
      <c r="J64" s="95"/>
      <c r="K64" s="95"/>
      <c r="L64" s="96"/>
    </row>
    <row r="65" spans="1:16" customFormat="1" x14ac:dyDescent="0.25">
      <c r="B65" s="91"/>
      <c r="C65" s="6"/>
      <c r="D65" s="6"/>
      <c r="E65" s="6"/>
      <c r="F65" s="6"/>
      <c r="G65" s="6"/>
      <c r="H65" s="91"/>
      <c r="I65" s="95"/>
      <c r="J65" s="95"/>
      <c r="K65" s="95"/>
      <c r="L65" s="96"/>
    </row>
    <row r="66" spans="1:16" customFormat="1" x14ac:dyDescent="0.25">
      <c r="B66" s="91" t="s">
        <v>45</v>
      </c>
      <c r="C66" s="6"/>
      <c r="D66" s="6"/>
      <c r="E66" s="6"/>
      <c r="F66" s="6"/>
      <c r="G66" s="6"/>
      <c r="H66" s="91"/>
      <c r="I66" s="95"/>
      <c r="J66" s="95"/>
      <c r="K66" s="95"/>
      <c r="L66" s="96"/>
    </row>
    <row r="67" spans="1:16" customFormat="1" x14ac:dyDescent="0.25">
      <c r="B67" s="91" t="s">
        <v>43</v>
      </c>
      <c r="C67" s="16">
        <v>10147</v>
      </c>
      <c r="D67" s="16">
        <v>12966</v>
      </c>
      <c r="E67" s="16">
        <v>16208</v>
      </c>
      <c r="F67" s="16">
        <v>17635</v>
      </c>
      <c r="G67" s="16">
        <v>12701</v>
      </c>
      <c r="H67" s="91"/>
      <c r="I67" s="24"/>
      <c r="J67" s="95"/>
      <c r="K67" s="95"/>
      <c r="L67" s="96"/>
      <c r="P67" s="37"/>
    </row>
    <row r="68" spans="1:16" customFormat="1" x14ac:dyDescent="0.25">
      <c r="B68" s="91" t="s">
        <v>46</v>
      </c>
      <c r="C68" s="16">
        <v>45742</v>
      </c>
      <c r="D68" s="16">
        <v>59852</v>
      </c>
      <c r="E68" s="16">
        <v>52942</v>
      </c>
      <c r="F68" s="16">
        <v>68165</v>
      </c>
      <c r="G68" s="16">
        <v>91914</v>
      </c>
      <c r="H68" s="91"/>
      <c r="I68" s="24"/>
      <c r="J68" s="95"/>
      <c r="K68" s="95"/>
      <c r="L68" s="96"/>
      <c r="P68" s="37"/>
    </row>
    <row r="69" spans="1:16" x14ac:dyDescent="0.25">
      <c r="B69" s="91" t="s">
        <v>159</v>
      </c>
      <c r="C69" s="16">
        <v>3337</v>
      </c>
      <c r="D69" s="16">
        <v>3624</v>
      </c>
      <c r="E69" s="16">
        <v>4073</v>
      </c>
      <c r="F69" s="16">
        <v>1712</v>
      </c>
      <c r="G69" s="16">
        <v>2094</v>
      </c>
      <c r="H69" s="91"/>
      <c r="I69" s="24"/>
      <c r="J69" s="95"/>
      <c r="K69" s="95"/>
      <c r="L69" s="96"/>
    </row>
    <row r="70" spans="1:16" customFormat="1" x14ac:dyDescent="0.25">
      <c r="B70" s="91"/>
      <c r="C70" s="6"/>
      <c r="D70" s="6"/>
      <c r="E70" s="6"/>
      <c r="F70" s="6"/>
      <c r="G70" s="6"/>
      <c r="H70" s="91"/>
      <c r="I70" s="95"/>
      <c r="J70" s="95"/>
      <c r="K70" s="95"/>
      <c r="L70" s="96"/>
    </row>
    <row r="71" spans="1:16" s="25" customFormat="1" x14ac:dyDescent="0.25">
      <c r="B71" s="91" t="s">
        <v>47</v>
      </c>
      <c r="C71" s="91"/>
      <c r="D71" s="95"/>
      <c r="E71" s="95"/>
      <c r="F71" s="95"/>
      <c r="G71" s="95"/>
      <c r="H71" s="95"/>
      <c r="I71" s="24"/>
      <c r="J71" s="95"/>
      <c r="K71" s="95"/>
      <c r="L71" s="96"/>
    </row>
    <row r="72" spans="1:16" customFormat="1" x14ac:dyDescent="0.25">
      <c r="B72" s="91"/>
      <c r="C72" s="6"/>
      <c r="D72" s="6"/>
      <c r="E72" s="6"/>
      <c r="F72" s="6"/>
      <c r="G72" s="6"/>
      <c r="H72" s="91"/>
      <c r="I72" s="95"/>
      <c r="J72" s="95"/>
      <c r="K72" s="95"/>
      <c r="L72" s="96"/>
    </row>
    <row r="73" spans="1:16" customFormat="1" x14ac:dyDescent="0.25">
      <c r="B73" s="91" t="s">
        <v>58</v>
      </c>
      <c r="C73" s="16">
        <v>164785</v>
      </c>
      <c r="D73" s="16">
        <v>183406</v>
      </c>
      <c r="E73" s="16">
        <v>191687</v>
      </c>
      <c r="F73" s="16">
        <v>287472</v>
      </c>
      <c r="G73" s="16">
        <v>322386</v>
      </c>
      <c r="H73" s="91"/>
      <c r="I73" s="24"/>
      <c r="J73" s="95"/>
      <c r="K73" s="95"/>
      <c r="L73" s="96"/>
    </row>
    <row r="74" spans="1:16" s="25" customFormat="1" x14ac:dyDescent="0.25">
      <c r="B74" s="91" t="s">
        <v>144</v>
      </c>
      <c r="C74" s="91"/>
      <c r="D74" s="95"/>
      <c r="E74" s="95"/>
      <c r="F74" s="95"/>
      <c r="G74" s="95"/>
      <c r="H74" s="95"/>
      <c r="I74" s="24"/>
      <c r="J74" s="95"/>
      <c r="K74" s="95"/>
      <c r="L74" s="96"/>
    </row>
    <row r="75" spans="1:16" customFormat="1" x14ac:dyDescent="0.25">
      <c r="B75" s="91"/>
      <c r="H75" s="91"/>
      <c r="I75" s="95"/>
      <c r="J75" s="91"/>
      <c r="K75" s="91"/>
      <c r="L75" s="96"/>
    </row>
    <row r="76" spans="1:16" customFormat="1" x14ac:dyDescent="0.25">
      <c r="A76" s="15"/>
      <c r="B76" s="91" t="s">
        <v>145</v>
      </c>
      <c r="C76" s="91"/>
      <c r="D76" s="95"/>
      <c r="E76" s="95"/>
      <c r="F76" s="95"/>
      <c r="G76" s="95"/>
      <c r="H76" s="95"/>
      <c r="I76" s="24"/>
      <c r="J76" s="95"/>
      <c r="K76" s="95"/>
      <c r="L76" s="96"/>
    </row>
    <row r="77" spans="1:16" customFormat="1" x14ac:dyDescent="0.25">
      <c r="B77" s="19"/>
      <c r="I77" s="95"/>
    </row>
    <row r="78" spans="1:16" customFormat="1" x14ac:dyDescent="0.25">
      <c r="A78" s="15"/>
      <c r="B78" s="19"/>
      <c r="C78" s="2"/>
      <c r="D78" s="15"/>
      <c r="E78" s="15"/>
      <c r="F78" s="15"/>
      <c r="G78" s="15"/>
      <c r="H78" s="15"/>
      <c r="I78" s="95"/>
      <c r="J78" s="15"/>
      <c r="K78" s="15"/>
    </row>
    <row r="79" spans="1:16" customFormat="1" x14ac:dyDescent="0.25">
      <c r="A79" s="15"/>
      <c r="B79" s="19"/>
      <c r="C79" s="2"/>
      <c r="D79" s="15"/>
      <c r="E79" s="15"/>
      <c r="F79" s="15"/>
      <c r="G79" s="15"/>
      <c r="H79" s="15"/>
      <c r="I79" s="95"/>
      <c r="J79" s="15"/>
      <c r="K79" s="15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531F-1E3F-447C-A93D-A14B93243254}">
  <dimension ref="A1:U10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5" x14ac:dyDescent="0.25"/>
  <cols>
    <col min="1" max="1" width="1.7109375" style="15" customWidth="1"/>
    <col min="2" max="2" width="55" style="15" customWidth="1"/>
    <col min="3" max="11" width="10.7109375" style="15" customWidth="1"/>
    <col min="12" max="16384" width="9" style="15"/>
  </cols>
  <sheetData>
    <row r="1" spans="1:21" ht="50.1" customHeight="1" x14ac:dyDescent="0.45">
      <c r="A1" s="42" t="str">
        <f>IS!A1</f>
        <v>Pharmaceuticals Sector Model - Rovi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1" x14ac:dyDescent="0.25">
      <c r="A2" s="10"/>
      <c r="B2" s="10"/>
      <c r="C2" s="14" t="str">
        <f>IS!C2</f>
        <v>Hist.</v>
      </c>
      <c r="D2" s="14" t="str">
        <f>IS!D2</f>
        <v>Hist.</v>
      </c>
      <c r="E2" s="14" t="str">
        <f>IS!E2</f>
        <v>Hist.</v>
      </c>
      <c r="F2" s="14" t="str">
        <f>IS!F2</f>
        <v>Hist.</v>
      </c>
      <c r="G2" s="14" t="str">
        <f>IS!G2</f>
        <v>Hist.</v>
      </c>
      <c r="H2" s="14" t="str">
        <f>IS!H2</f>
        <v>Proj.</v>
      </c>
      <c r="I2" s="14" t="str">
        <f>IS!I2</f>
        <v>Proj.</v>
      </c>
      <c r="J2" s="14" t="str">
        <f>IS!J2</f>
        <v>Proj.</v>
      </c>
      <c r="K2" s="14" t="str">
        <f>IS!K2</f>
        <v>Proj.</v>
      </c>
    </row>
    <row r="3" spans="1:21" ht="21" x14ac:dyDescent="0.35">
      <c r="A3" s="80" t="s">
        <v>196</v>
      </c>
      <c r="B3" s="10"/>
      <c r="C3" s="73">
        <f>IS!C3</f>
        <v>42369</v>
      </c>
      <c r="D3" s="73">
        <f>IS!D3</f>
        <v>42735</v>
      </c>
      <c r="E3" s="73">
        <f>IS!E3</f>
        <v>43100</v>
      </c>
      <c r="F3" s="73">
        <f>IS!F3</f>
        <v>43465</v>
      </c>
      <c r="G3" s="73">
        <f>IS!G3</f>
        <v>43830</v>
      </c>
      <c r="H3" s="73">
        <f>IS!H3</f>
        <v>44196</v>
      </c>
      <c r="I3" s="73">
        <f>IS!I3</f>
        <v>44561</v>
      </c>
      <c r="J3" s="73">
        <f>IS!J3</f>
        <v>44926</v>
      </c>
      <c r="K3" s="73">
        <f>IS!K3</f>
        <v>45291</v>
      </c>
      <c r="L3" s="1"/>
      <c r="M3" s="1"/>
      <c r="N3" s="1"/>
      <c r="O3" s="1"/>
      <c r="P3" s="1"/>
      <c r="Q3" s="1"/>
      <c r="R3" s="1"/>
      <c r="S3" s="1"/>
      <c r="T3" s="1"/>
      <c r="U3" s="1"/>
    </row>
    <row r="5" spans="1:21" x14ac:dyDescent="0.25">
      <c r="A5" s="37" t="s">
        <v>176</v>
      </c>
    </row>
    <row r="6" spans="1:21" customFormat="1" x14ac:dyDescent="0.25">
      <c r="B6" s="91" t="s">
        <v>154</v>
      </c>
      <c r="C6" s="91"/>
      <c r="D6" s="91">
        <f>BS!D62-BS!C62</f>
        <v>-11803</v>
      </c>
      <c r="E6" s="91">
        <f>BS!E62-BS!D62</f>
        <v>6201</v>
      </c>
      <c r="F6" s="91">
        <f>BS!F62-BS!E62</f>
        <v>-10440</v>
      </c>
      <c r="G6" s="91">
        <f>BS!G62-BS!F62</f>
        <v>55515</v>
      </c>
      <c r="H6" s="28">
        <v>0</v>
      </c>
      <c r="I6" s="28">
        <v>0</v>
      </c>
      <c r="J6" s="28">
        <v>0</v>
      </c>
      <c r="K6" s="28">
        <v>0</v>
      </c>
      <c r="L6" s="15"/>
      <c r="M6" s="15"/>
      <c r="N6" s="15"/>
      <c r="O6" s="15"/>
      <c r="P6" s="15"/>
    </row>
    <row r="7" spans="1:21" customFormat="1" x14ac:dyDescent="0.25">
      <c r="B7" s="91" t="s">
        <v>155</v>
      </c>
      <c r="C7" s="91"/>
      <c r="D7" s="91">
        <f>BS!D67-BS!C67</f>
        <v>2819</v>
      </c>
      <c r="E7" s="91">
        <f>BS!E67-BS!D67</f>
        <v>3242</v>
      </c>
      <c r="F7" s="91">
        <f>BS!F67-BS!E67</f>
        <v>1427</v>
      </c>
      <c r="G7" s="91">
        <f>BS!G67-BS!F67</f>
        <v>-4934</v>
      </c>
      <c r="H7" s="28">
        <v>0</v>
      </c>
      <c r="I7" s="28">
        <v>0</v>
      </c>
      <c r="J7" s="28">
        <v>0</v>
      </c>
      <c r="K7" s="28">
        <v>0</v>
      </c>
      <c r="L7" s="15"/>
      <c r="M7" s="15"/>
      <c r="N7" s="15"/>
      <c r="O7" s="15"/>
      <c r="P7" s="15"/>
    </row>
    <row r="8" spans="1:21" customFormat="1" x14ac:dyDescent="0.25">
      <c r="B8" s="91" t="s">
        <v>156</v>
      </c>
      <c r="C8" s="91"/>
      <c r="D8" s="21">
        <f>D43/AVERAGE(SUM(BS!C62,BS!C67),SUM(BS!D62,BS!D67))</f>
        <v>0</v>
      </c>
      <c r="E8" s="21">
        <f>E43/AVERAGE(SUM(BS!D62,BS!D67),SUM(BS!E62,BS!E67))</f>
        <v>0</v>
      </c>
      <c r="F8" s="21">
        <f>F43/AVERAGE(SUM(BS!E62,BS!E67),SUM(BS!F62,BS!F67))</f>
        <v>0</v>
      </c>
      <c r="G8" s="21">
        <f>G43/AVERAGE(SUM(BS!F62,BS!F67),SUM(BS!G62,BS!G67))</f>
        <v>0</v>
      </c>
      <c r="H8" s="29">
        <v>1.6E-2</v>
      </c>
      <c r="I8" s="29">
        <v>1.6E-2</v>
      </c>
      <c r="J8" s="29">
        <v>1.6E-2</v>
      </c>
      <c r="K8" s="29">
        <v>1.6E-2</v>
      </c>
      <c r="L8" s="15"/>
      <c r="M8" s="15"/>
      <c r="N8" s="15"/>
      <c r="O8" s="15"/>
      <c r="P8" s="15"/>
    </row>
    <row r="9" spans="1:21" customFormat="1" x14ac:dyDescent="0.25">
      <c r="B9" s="91" t="s">
        <v>157</v>
      </c>
      <c r="C9" s="91"/>
      <c r="D9" s="21" t="e">
        <f>'CFS and Debt Schedule'!D46/AVERAGE('CFS and Debt Schedule'!C45:D45)</f>
        <v>#DIV/0!</v>
      </c>
      <c r="E9" s="21" t="e">
        <f>'CFS and Debt Schedule'!E46/AVERAGE('CFS and Debt Schedule'!D45:E45)</f>
        <v>#DIV/0!</v>
      </c>
      <c r="F9" s="21" t="e">
        <f>'CFS and Debt Schedule'!F46/AVERAGE('CFS and Debt Schedule'!E45:F45)</f>
        <v>#DIV/0!</v>
      </c>
      <c r="G9" s="21" t="e">
        <f>'CFS and Debt Schedule'!G46/AVERAGE('CFS and Debt Schedule'!F45:G45)</f>
        <v>#DIV/0!</v>
      </c>
      <c r="H9" s="29">
        <v>1E-3</v>
      </c>
      <c r="I9" s="29">
        <v>1E-3</v>
      </c>
      <c r="J9" s="29">
        <v>1E-3</v>
      </c>
      <c r="K9" s="29">
        <v>1E-3</v>
      </c>
      <c r="L9" s="15"/>
      <c r="M9" s="15"/>
      <c r="N9" s="15"/>
      <c r="O9" s="15"/>
      <c r="P9" s="15"/>
    </row>
    <row r="10" spans="1:21" ht="15.75" x14ac:dyDescent="0.25">
      <c r="A10" s="12"/>
      <c r="B10" s="19"/>
      <c r="L10" s="15" t="str">
        <f>[2]!FR(K10)</f>
        <v/>
      </c>
    </row>
    <row r="11" spans="1:21" customFormat="1" ht="15.75" x14ac:dyDescent="0.25">
      <c r="A11" s="12" t="s">
        <v>60</v>
      </c>
      <c r="B11" s="19"/>
      <c r="C11" s="15"/>
      <c r="D11" s="15"/>
      <c r="E11" s="15"/>
      <c r="F11" s="15"/>
      <c r="G11" s="15"/>
      <c r="H11" s="15"/>
      <c r="I11" s="15"/>
      <c r="J11" s="15"/>
      <c r="K11" s="15"/>
      <c r="L11" s="95" t="str">
        <f>[2]!FR(K11)</f>
        <v/>
      </c>
    </row>
    <row r="12" spans="1:21" customFormat="1" x14ac:dyDescent="0.25">
      <c r="B12" s="8" t="s">
        <v>61</v>
      </c>
      <c r="C12" s="15"/>
      <c r="D12" s="15"/>
      <c r="E12" s="15"/>
      <c r="F12" s="15"/>
      <c r="G12" s="15"/>
      <c r="H12" s="15"/>
      <c r="I12" s="15"/>
      <c r="J12" s="15"/>
      <c r="K12" s="15"/>
      <c r="L12" s="95" t="str">
        <f>[2]!FR(K12)</f>
        <v/>
      </c>
    </row>
    <row r="13" spans="1:21" customFormat="1" x14ac:dyDescent="0.25">
      <c r="B13" s="91" t="s">
        <v>26</v>
      </c>
      <c r="C13" s="15"/>
      <c r="D13" s="19"/>
      <c r="E13" s="19"/>
      <c r="F13" s="19"/>
      <c r="G13" s="19"/>
      <c r="H13" s="91"/>
      <c r="I13" s="95"/>
      <c r="J13" s="95"/>
      <c r="K13" s="95"/>
      <c r="L13" s="95"/>
    </row>
    <row r="14" spans="1:21" customFormat="1" x14ac:dyDescent="0.25">
      <c r="B14" s="91" t="s">
        <v>160</v>
      </c>
      <c r="C14" s="15"/>
      <c r="D14" s="19"/>
      <c r="E14" s="19"/>
      <c r="F14" s="19"/>
      <c r="G14" s="19"/>
      <c r="H14" s="91"/>
      <c r="I14" s="97"/>
      <c r="J14" s="95"/>
      <c r="K14" s="95"/>
      <c r="L14" s="96"/>
    </row>
    <row r="15" spans="1:21" x14ac:dyDescent="0.25">
      <c r="B15" s="91" t="s">
        <v>169</v>
      </c>
      <c r="D15" s="19"/>
      <c r="E15" s="19"/>
      <c r="F15" s="19"/>
      <c r="G15" s="19"/>
      <c r="H15" s="91"/>
      <c r="I15" s="97"/>
      <c r="J15" s="95"/>
      <c r="K15" s="95"/>
      <c r="L15" s="96"/>
      <c r="N15" s="37"/>
    </row>
    <row r="16" spans="1:21" customFormat="1" x14ac:dyDescent="0.25">
      <c r="B16" s="91" t="s">
        <v>166</v>
      </c>
      <c r="C16" s="15"/>
      <c r="D16" s="16"/>
      <c r="E16" s="16"/>
      <c r="F16" s="16"/>
      <c r="G16" s="16"/>
      <c r="H16" s="91"/>
      <c r="I16" s="97"/>
      <c r="J16" s="95"/>
      <c r="K16" s="95"/>
      <c r="L16" s="96"/>
    </row>
    <row r="17" spans="1:14" customFormat="1" x14ac:dyDescent="0.25">
      <c r="B17" s="91" t="s">
        <v>167</v>
      </c>
      <c r="C17" s="15"/>
      <c r="D17" s="16"/>
      <c r="E17" s="16"/>
      <c r="F17" s="16"/>
      <c r="G17" s="16"/>
      <c r="H17" s="91"/>
      <c r="I17" s="97"/>
      <c r="J17" s="95"/>
      <c r="K17" s="95"/>
      <c r="L17" s="96"/>
    </row>
    <row r="18" spans="1:14" customFormat="1" x14ac:dyDescent="0.25">
      <c r="B18" s="91" t="s">
        <v>168</v>
      </c>
      <c r="C18" s="15"/>
      <c r="D18" s="16"/>
      <c r="E18" s="16"/>
      <c r="F18" s="16"/>
      <c r="G18" s="16"/>
      <c r="H18" s="91"/>
      <c r="I18" s="97"/>
      <c r="J18" s="95"/>
      <c r="K18" s="95"/>
      <c r="L18" s="96"/>
    </row>
    <row r="19" spans="1:14" s="25" customFormat="1" x14ac:dyDescent="0.25">
      <c r="B19" s="91" t="s">
        <v>62</v>
      </c>
      <c r="H19" s="91"/>
      <c r="I19" s="97"/>
      <c r="J19" s="95"/>
      <c r="K19" s="95"/>
      <c r="L19" s="96"/>
    </row>
    <row r="20" spans="1:14" customFormat="1" x14ac:dyDescent="0.25">
      <c r="B20" s="19"/>
      <c r="C20" s="15"/>
      <c r="D20" s="6"/>
      <c r="E20" s="6"/>
      <c r="F20" s="6"/>
      <c r="G20" s="6"/>
      <c r="H20" s="91"/>
      <c r="I20" s="95"/>
      <c r="J20" s="95"/>
      <c r="K20" s="95"/>
      <c r="L20" s="96"/>
    </row>
    <row r="21" spans="1:14" customFormat="1" x14ac:dyDescent="0.25">
      <c r="B21" s="8" t="s">
        <v>63</v>
      </c>
      <c r="C21" s="15"/>
      <c r="D21" s="6"/>
      <c r="E21" s="6"/>
      <c r="F21" s="6"/>
      <c r="G21" s="6"/>
      <c r="H21" s="91"/>
      <c r="I21" s="95"/>
      <c r="J21" s="95"/>
      <c r="K21" s="95"/>
      <c r="L21" s="96"/>
    </row>
    <row r="22" spans="1:14" customFormat="1" x14ac:dyDescent="0.25">
      <c r="B22" s="91" t="s">
        <v>64</v>
      </c>
      <c r="C22" s="15"/>
      <c r="D22" s="16"/>
      <c r="E22" s="16"/>
      <c r="F22" s="16"/>
      <c r="G22" s="16"/>
      <c r="H22" s="91"/>
      <c r="I22" s="97"/>
      <c r="J22" s="95"/>
      <c r="K22" s="95"/>
      <c r="L22" s="96"/>
    </row>
    <row r="23" spans="1:14" customFormat="1" x14ac:dyDescent="0.25">
      <c r="B23" s="91" t="s">
        <v>65</v>
      </c>
      <c r="C23" s="15"/>
      <c r="D23" s="16"/>
      <c r="E23" s="16"/>
      <c r="F23" s="16"/>
      <c r="G23" s="16"/>
      <c r="H23" s="91"/>
      <c r="I23" s="97"/>
      <c r="J23" s="95"/>
      <c r="K23" s="95"/>
      <c r="L23" s="96"/>
    </row>
    <row r="24" spans="1:14" x14ac:dyDescent="0.25">
      <c r="B24" s="91" t="s">
        <v>171</v>
      </c>
      <c r="D24" s="16"/>
      <c r="E24" s="16"/>
      <c r="F24" s="16"/>
      <c r="G24" s="16"/>
      <c r="H24" s="91"/>
      <c r="I24" s="97"/>
      <c r="J24" s="95"/>
      <c r="K24" s="95"/>
      <c r="L24" s="96"/>
    </row>
    <row r="25" spans="1:14" customFormat="1" x14ac:dyDescent="0.25">
      <c r="B25" s="91" t="s">
        <v>66</v>
      </c>
      <c r="C25" s="15"/>
      <c r="D25" s="16"/>
      <c r="E25" s="16"/>
      <c r="F25" s="16"/>
      <c r="G25" s="16"/>
      <c r="H25" s="91"/>
      <c r="I25" s="97"/>
      <c r="J25" s="95"/>
      <c r="K25" s="95"/>
      <c r="L25" s="96"/>
      <c r="N25" s="37"/>
    </row>
    <row r="26" spans="1:14" s="25" customFormat="1" x14ac:dyDescent="0.25">
      <c r="B26" s="91" t="s">
        <v>67</v>
      </c>
      <c r="H26" s="91"/>
      <c r="I26" s="97"/>
      <c r="J26" s="95"/>
      <c r="K26" s="95"/>
      <c r="L26" s="96"/>
    </row>
    <row r="27" spans="1:14" customFormat="1" x14ac:dyDescent="0.25">
      <c r="B27" s="19"/>
      <c r="C27" s="15"/>
      <c r="D27" s="6"/>
      <c r="E27" s="6"/>
      <c r="F27" s="6"/>
      <c r="G27" s="6"/>
      <c r="H27" s="91"/>
      <c r="I27" s="95"/>
      <c r="J27" s="95"/>
      <c r="K27" s="95"/>
      <c r="L27" s="96"/>
    </row>
    <row r="28" spans="1:14" customFormat="1" x14ac:dyDescent="0.25">
      <c r="B28" s="8" t="s">
        <v>68</v>
      </c>
      <c r="C28" s="15"/>
      <c r="D28" s="6"/>
      <c r="E28" s="6"/>
      <c r="F28" s="6"/>
      <c r="G28" s="6"/>
      <c r="H28" s="91"/>
      <c r="I28" s="95"/>
      <c r="J28" s="95"/>
      <c r="K28" s="95"/>
      <c r="L28" s="96"/>
    </row>
    <row r="29" spans="1:14" customFormat="1" x14ac:dyDescent="0.25">
      <c r="B29" s="91" t="s">
        <v>181</v>
      </c>
      <c r="C29" s="15"/>
      <c r="D29" s="16"/>
      <c r="E29" s="16"/>
      <c r="F29" s="16"/>
      <c r="G29" s="16"/>
      <c r="H29" s="91"/>
      <c r="I29" s="97"/>
      <c r="J29" s="95"/>
      <c r="K29" s="95"/>
      <c r="L29" s="96"/>
    </row>
    <row r="30" spans="1:14" customFormat="1" x14ac:dyDescent="0.25">
      <c r="A30" s="15"/>
      <c r="B30" s="91" t="s">
        <v>180</v>
      </c>
      <c r="C30" s="15"/>
      <c r="D30" s="16"/>
      <c r="E30" s="16"/>
      <c r="F30" s="16"/>
      <c r="G30" s="16"/>
      <c r="H30" s="91"/>
      <c r="I30" s="97"/>
      <c r="J30" s="95"/>
      <c r="K30" s="95"/>
      <c r="L30" s="96"/>
    </row>
    <row r="31" spans="1:14" customFormat="1" x14ac:dyDescent="0.25">
      <c r="A31" s="15"/>
      <c r="B31" s="91" t="s">
        <v>69</v>
      </c>
      <c r="C31" s="15"/>
      <c r="D31" s="16"/>
      <c r="E31" s="16"/>
      <c r="F31" s="16"/>
      <c r="G31" s="16"/>
      <c r="H31" s="91"/>
      <c r="I31" s="97"/>
      <c r="J31" s="95"/>
      <c r="K31" s="95"/>
      <c r="L31" s="96"/>
      <c r="N31" s="37"/>
    </row>
    <row r="32" spans="1:14" customFormat="1" x14ac:dyDescent="0.25">
      <c r="A32" s="15"/>
      <c r="B32" s="91" t="s">
        <v>70</v>
      </c>
      <c r="C32" s="15"/>
      <c r="D32" s="16"/>
      <c r="E32" s="16"/>
      <c r="F32" s="16"/>
      <c r="G32" s="16"/>
      <c r="H32" s="91"/>
      <c r="I32" s="97"/>
      <c r="J32" s="95"/>
      <c r="K32" s="95"/>
      <c r="L32" s="96"/>
    </row>
    <row r="33" spans="1:16" s="25" customFormat="1" x14ac:dyDescent="0.25">
      <c r="B33" s="91" t="s">
        <v>71</v>
      </c>
      <c r="H33" s="91"/>
      <c r="I33" s="97"/>
      <c r="J33" s="95"/>
      <c r="K33" s="95"/>
      <c r="L33" s="96"/>
    </row>
    <row r="34" spans="1:16" customFormat="1" x14ac:dyDescent="0.25">
      <c r="A34" s="15"/>
      <c r="B34" s="19"/>
      <c r="C34" s="15"/>
      <c r="D34" s="6"/>
      <c r="E34" s="6"/>
      <c r="F34" s="6"/>
      <c r="G34" s="6"/>
      <c r="H34" s="84"/>
      <c r="I34" s="84"/>
      <c r="J34" s="84"/>
      <c r="K34" s="84"/>
      <c r="L34" s="96"/>
    </row>
    <row r="35" spans="1:16" customFormat="1" x14ac:dyDescent="0.25">
      <c r="A35" s="15"/>
      <c r="B35" s="91" t="s">
        <v>163</v>
      </c>
      <c r="C35" s="15"/>
      <c r="D35" s="16">
        <v>12127</v>
      </c>
      <c r="E35" s="16">
        <v>-678</v>
      </c>
      <c r="F35" s="16">
        <v>54811</v>
      </c>
      <c r="G35" s="16">
        <v>-28085</v>
      </c>
      <c r="H35" s="91"/>
      <c r="I35" s="97"/>
      <c r="J35" s="95"/>
      <c r="K35" s="95"/>
      <c r="L35" s="96"/>
    </row>
    <row r="36" spans="1:16" customFormat="1" x14ac:dyDescent="0.25">
      <c r="A36" s="15"/>
      <c r="B36" s="91"/>
      <c r="C36" s="15"/>
      <c r="D36" s="2"/>
      <c r="E36" s="2"/>
      <c r="F36" s="2"/>
      <c r="G36" s="2"/>
      <c r="H36" s="88"/>
      <c r="I36" s="88"/>
      <c r="J36" s="88"/>
      <c r="K36" s="88"/>
      <c r="L36" s="96"/>
    </row>
    <row r="37" spans="1:16" customFormat="1" x14ac:dyDescent="0.25">
      <c r="A37" s="15"/>
      <c r="B37" s="91" t="s">
        <v>161</v>
      </c>
      <c r="C37" s="91"/>
      <c r="D37" s="91"/>
      <c r="E37" s="91"/>
      <c r="F37" s="91"/>
      <c r="G37" s="91"/>
      <c r="H37" s="91"/>
      <c r="I37" s="97"/>
      <c r="J37" s="95"/>
      <c r="K37" s="95"/>
      <c r="L37" s="96"/>
    </row>
    <row r="38" spans="1:16" customFormat="1" x14ac:dyDescent="0.25">
      <c r="B38" s="91" t="s">
        <v>162</v>
      </c>
      <c r="C38" s="91"/>
      <c r="D38" s="95"/>
      <c r="E38" s="95"/>
      <c r="F38" s="95"/>
      <c r="G38" s="95"/>
      <c r="H38" s="91"/>
      <c r="I38" s="97"/>
      <c r="J38" s="95"/>
      <c r="K38" s="95"/>
      <c r="L38" s="96"/>
    </row>
    <row r="39" spans="1:16" customFormat="1" ht="13.5" customHeight="1" x14ac:dyDescent="0.25">
      <c r="B39" s="19"/>
      <c r="C39" s="91"/>
      <c r="D39" s="91"/>
      <c r="E39" s="91"/>
      <c r="F39" s="91"/>
      <c r="G39" s="91"/>
      <c r="H39" s="91"/>
      <c r="I39" s="95"/>
      <c r="J39" s="95"/>
      <c r="K39" s="95"/>
      <c r="L39" s="96"/>
    </row>
    <row r="40" spans="1:16" customFormat="1" ht="15.75" x14ac:dyDescent="0.25">
      <c r="A40" s="32" t="s">
        <v>177</v>
      </c>
      <c r="B40" s="45"/>
      <c r="C40" s="91"/>
      <c r="D40" s="91"/>
      <c r="E40" s="91"/>
      <c r="F40" s="91"/>
      <c r="G40" s="91"/>
      <c r="H40" s="91"/>
      <c r="I40" s="95"/>
      <c r="J40" s="95"/>
      <c r="K40" s="95"/>
      <c r="L40" s="96"/>
    </row>
    <row r="41" spans="1:16" ht="15.75" x14ac:dyDescent="0.25">
      <c r="A41" s="32"/>
      <c r="B41" s="91" t="s">
        <v>179</v>
      </c>
      <c r="C41" s="91"/>
      <c r="D41" s="95"/>
      <c r="E41" s="95"/>
      <c r="F41" s="95"/>
      <c r="G41" s="95"/>
      <c r="H41" s="95"/>
      <c r="I41" s="97"/>
      <c r="J41" s="95"/>
      <c r="K41" s="95"/>
      <c r="L41" s="96"/>
    </row>
    <row r="42" spans="1:16" ht="15.75" x14ac:dyDescent="0.25">
      <c r="A42" s="32"/>
      <c r="B42" s="91" t="s">
        <v>178</v>
      </c>
      <c r="C42" s="91"/>
      <c r="D42" s="95"/>
      <c r="E42" s="95"/>
      <c r="F42" s="95"/>
      <c r="G42" s="95"/>
      <c r="H42" s="95"/>
      <c r="I42" s="97"/>
      <c r="J42" s="95"/>
      <c r="K42" s="95"/>
      <c r="L42" s="96"/>
    </row>
    <row r="43" spans="1:16" customFormat="1" x14ac:dyDescent="0.25">
      <c r="B43" s="91" t="s">
        <v>54</v>
      </c>
      <c r="C43" s="91"/>
      <c r="D43" s="91"/>
      <c r="E43" s="95"/>
      <c r="F43" s="95"/>
      <c r="G43" s="95"/>
      <c r="H43" s="95"/>
      <c r="I43" s="97"/>
      <c r="J43" s="95"/>
      <c r="K43" s="95"/>
      <c r="L43" s="95"/>
      <c r="M43" s="15"/>
      <c r="N43" s="15"/>
      <c r="O43" s="15"/>
      <c r="P43" s="15"/>
    </row>
    <row r="44" spans="1:16" customFormat="1" x14ac:dyDescent="0.25">
      <c r="B44" s="91"/>
      <c r="C44" s="91"/>
      <c r="D44" s="91"/>
      <c r="E44" s="91"/>
      <c r="F44" s="91"/>
      <c r="G44" s="91"/>
      <c r="H44" s="91"/>
      <c r="I44" s="95"/>
      <c r="J44" s="95"/>
      <c r="K44" s="95"/>
      <c r="L44" s="95"/>
      <c r="M44" s="15"/>
      <c r="N44" s="15"/>
      <c r="O44" s="15"/>
      <c r="P44" s="15"/>
    </row>
    <row r="45" spans="1:16" customFormat="1" x14ac:dyDescent="0.25">
      <c r="B45" s="91" t="s">
        <v>55</v>
      </c>
      <c r="C45" s="91"/>
      <c r="D45" s="95"/>
      <c r="E45" s="95"/>
      <c r="F45" s="95"/>
      <c r="G45" s="95"/>
      <c r="H45" s="95"/>
      <c r="I45" s="97"/>
      <c r="J45" s="95"/>
      <c r="K45" s="95"/>
      <c r="L45" s="95"/>
      <c r="M45" s="15"/>
      <c r="N45" s="15"/>
      <c r="O45" s="15"/>
      <c r="P45" s="15"/>
    </row>
    <row r="46" spans="1:16" customFormat="1" x14ac:dyDescent="0.25">
      <c r="B46" s="91" t="s">
        <v>56</v>
      </c>
      <c r="C46" s="91"/>
      <c r="D46" s="91"/>
      <c r="E46" s="95"/>
      <c r="F46" s="95"/>
      <c r="G46" s="95"/>
      <c r="H46" s="91"/>
      <c r="I46" s="97"/>
      <c r="J46" s="95"/>
      <c r="K46" s="95"/>
      <c r="L46" s="95"/>
      <c r="M46" s="15"/>
      <c r="N46" s="15"/>
      <c r="O46" s="15"/>
      <c r="P46" s="15"/>
    </row>
    <row r="47" spans="1:16" customFormat="1" x14ac:dyDescent="0.25">
      <c r="A47" s="15"/>
      <c r="B47" s="91"/>
      <c r="C47" s="91"/>
      <c r="D47" s="91"/>
      <c r="E47" s="91"/>
      <c r="F47" s="91"/>
      <c r="G47" s="91"/>
      <c r="H47" s="91"/>
      <c r="I47" s="95"/>
      <c r="J47" s="95"/>
      <c r="K47" s="95"/>
      <c r="L47" s="95"/>
    </row>
    <row r="48" spans="1:16" customFormat="1" x14ac:dyDescent="0.25">
      <c r="A48" s="15"/>
      <c r="B48" s="91" t="s">
        <v>57</v>
      </c>
      <c r="C48" s="91"/>
      <c r="D48" s="95"/>
      <c r="E48" s="95"/>
      <c r="F48" s="95"/>
      <c r="G48" s="95"/>
      <c r="H48" s="95"/>
      <c r="I48" s="97"/>
      <c r="J48" s="95"/>
      <c r="K48" s="95"/>
      <c r="L48" s="95"/>
    </row>
    <row r="49" spans="1:12" customFormat="1" x14ac:dyDescent="0.25">
      <c r="A49" s="15"/>
      <c r="B49" s="19"/>
      <c r="C49" s="2"/>
      <c r="D49" s="15"/>
      <c r="E49" s="15"/>
      <c r="F49" s="15"/>
      <c r="G49" s="15"/>
      <c r="H49" s="40"/>
      <c r="I49" s="95" t="str">
        <f>[2]!FR(H49)</f>
        <v/>
      </c>
      <c r="J49" s="40"/>
      <c r="K49" s="40"/>
      <c r="L49" s="95" t="str">
        <f>[2]!FR(K49)</f>
        <v/>
      </c>
    </row>
    <row r="50" spans="1:12" x14ac:dyDescent="0.25">
      <c r="I50" s="95" t="str">
        <f>[2]!FR(H50)</f>
        <v/>
      </c>
      <c r="L50" s="95" t="str">
        <f>[2]!FR(K50)</f>
        <v/>
      </c>
    </row>
    <row r="51" spans="1:12" x14ac:dyDescent="0.25">
      <c r="I51" s="95" t="str">
        <f>[2]!FR(H51)</f>
        <v/>
      </c>
      <c r="L51" s="95" t="str">
        <f>[2]!FR(K51)</f>
        <v/>
      </c>
    </row>
    <row r="52" spans="1:12" customFormat="1" x14ac:dyDescent="0.25">
      <c r="B52" s="19"/>
      <c r="I52" s="95" t="str">
        <f>[2]!FR(H52)</f>
        <v/>
      </c>
      <c r="J52" s="15"/>
      <c r="K52" s="15"/>
      <c r="L52" s="95" t="str">
        <f>[2]!FR(K52)</f>
        <v/>
      </c>
    </row>
    <row r="53" spans="1:12" customFormat="1" x14ac:dyDescent="0.25">
      <c r="B53" s="19"/>
      <c r="I53" s="95" t="str">
        <f>[2]!FR(H53)</f>
        <v/>
      </c>
      <c r="J53" s="15"/>
      <c r="K53" s="15"/>
      <c r="L53" s="95" t="str">
        <f>[2]!FR(K53)</f>
        <v/>
      </c>
    </row>
    <row r="54" spans="1:12" customFormat="1" x14ac:dyDescent="0.25">
      <c r="B54" s="19"/>
      <c r="I54" s="95" t="str">
        <f>[2]!FR(H54)</f>
        <v/>
      </c>
      <c r="J54" s="15"/>
      <c r="K54" s="15"/>
      <c r="L54" s="95" t="str">
        <f>[2]!FR(K54)</f>
        <v/>
      </c>
    </row>
    <row r="55" spans="1:12" customFormat="1" x14ac:dyDescent="0.25">
      <c r="B55" s="19"/>
      <c r="I55" s="95" t="str">
        <f>[2]!FR(H55)</f>
        <v/>
      </c>
      <c r="J55" s="15"/>
      <c r="K55" s="15"/>
    </row>
    <row r="56" spans="1:12" customFormat="1" x14ac:dyDescent="0.25">
      <c r="B56" s="19"/>
      <c r="I56" s="95" t="str">
        <f>[2]!FR(H56)</f>
        <v/>
      </c>
      <c r="J56" s="15"/>
      <c r="K56" s="15"/>
    </row>
    <row r="57" spans="1:12" customFormat="1" x14ac:dyDescent="0.25">
      <c r="B57" s="19"/>
      <c r="I57" s="95" t="str">
        <f>[2]!FR(H57)</f>
        <v/>
      </c>
    </row>
    <row r="58" spans="1:12" customFormat="1" x14ac:dyDescent="0.25">
      <c r="B58" s="19"/>
      <c r="I58" s="95" t="str">
        <f>[2]!FR(H58)</f>
        <v/>
      </c>
    </row>
    <row r="59" spans="1:12" customFormat="1" x14ac:dyDescent="0.25">
      <c r="B59" s="19"/>
    </row>
    <row r="60" spans="1:12" customFormat="1" x14ac:dyDescent="0.25">
      <c r="B60" s="19"/>
    </row>
    <row r="61" spans="1:12" customFormat="1" x14ac:dyDescent="0.25">
      <c r="B61" s="19"/>
    </row>
    <row r="62" spans="1:12" customFormat="1" x14ac:dyDescent="0.25">
      <c r="B62" s="19"/>
    </row>
    <row r="63" spans="1:12" customFormat="1" x14ac:dyDescent="0.25">
      <c r="B63" s="19"/>
    </row>
    <row r="64" spans="1:12" customFormat="1" x14ac:dyDescent="0.25">
      <c r="B64" s="19"/>
    </row>
    <row r="65" spans="2:2" customFormat="1" x14ac:dyDescent="0.25">
      <c r="B65" s="19"/>
    </row>
    <row r="66" spans="2:2" customFormat="1" x14ac:dyDescent="0.25">
      <c r="B66" s="19"/>
    </row>
    <row r="67" spans="2:2" customFormat="1" x14ac:dyDescent="0.25">
      <c r="B67" s="19"/>
    </row>
    <row r="68" spans="2:2" customFormat="1" x14ac:dyDescent="0.25">
      <c r="B68" s="19"/>
    </row>
    <row r="69" spans="2:2" customFormat="1" x14ac:dyDescent="0.25">
      <c r="B69" s="19"/>
    </row>
    <row r="70" spans="2:2" customFormat="1" x14ac:dyDescent="0.25">
      <c r="B70" s="19"/>
    </row>
    <row r="71" spans="2:2" customFormat="1" x14ac:dyDescent="0.25">
      <c r="B71" s="19"/>
    </row>
    <row r="72" spans="2:2" customFormat="1" x14ac:dyDescent="0.25">
      <c r="B72" s="19"/>
    </row>
    <row r="73" spans="2:2" customFormat="1" x14ac:dyDescent="0.25">
      <c r="B73" s="19"/>
    </row>
    <row r="74" spans="2:2" customFormat="1" x14ac:dyDescent="0.25">
      <c r="B74" s="19"/>
    </row>
    <row r="75" spans="2:2" customFormat="1" x14ac:dyDescent="0.25">
      <c r="B75" s="19"/>
    </row>
    <row r="76" spans="2:2" customFormat="1" x14ac:dyDescent="0.25">
      <c r="B76" s="19"/>
    </row>
    <row r="77" spans="2:2" customFormat="1" x14ac:dyDescent="0.25">
      <c r="B77" s="19"/>
    </row>
    <row r="78" spans="2:2" customFormat="1" x14ac:dyDescent="0.25">
      <c r="B78" s="19"/>
    </row>
    <row r="79" spans="2:2" customFormat="1" x14ac:dyDescent="0.25">
      <c r="B79" s="19"/>
    </row>
    <row r="80" spans="2:2" customFormat="1" x14ac:dyDescent="0.25">
      <c r="B80" s="19"/>
    </row>
    <row r="81" spans="2:2" customFormat="1" x14ac:dyDescent="0.25">
      <c r="B81" s="19"/>
    </row>
    <row r="82" spans="2:2" customFormat="1" x14ac:dyDescent="0.25">
      <c r="B82" s="19"/>
    </row>
    <row r="83" spans="2:2" customFormat="1" x14ac:dyDescent="0.25">
      <c r="B83" s="19"/>
    </row>
    <row r="84" spans="2:2" customFormat="1" x14ac:dyDescent="0.25">
      <c r="B84" s="19"/>
    </row>
    <row r="85" spans="2:2" customFormat="1" x14ac:dyDescent="0.25">
      <c r="B85" s="19"/>
    </row>
    <row r="86" spans="2:2" customFormat="1" x14ac:dyDescent="0.25">
      <c r="B86" s="19"/>
    </row>
    <row r="87" spans="2:2" customFormat="1" x14ac:dyDescent="0.25">
      <c r="B87" s="19"/>
    </row>
    <row r="88" spans="2:2" customFormat="1" x14ac:dyDescent="0.25">
      <c r="B88" s="19"/>
    </row>
    <row r="89" spans="2:2" customFormat="1" x14ac:dyDescent="0.25">
      <c r="B89" s="19"/>
    </row>
    <row r="90" spans="2:2" customFormat="1" x14ac:dyDescent="0.25">
      <c r="B90" s="19"/>
    </row>
    <row r="91" spans="2:2" customFormat="1" x14ac:dyDescent="0.25">
      <c r="B91" s="19"/>
    </row>
    <row r="92" spans="2:2" customFormat="1" x14ac:dyDescent="0.25">
      <c r="B92" s="19"/>
    </row>
    <row r="93" spans="2:2" customFormat="1" x14ac:dyDescent="0.25">
      <c r="B93" s="19"/>
    </row>
    <row r="94" spans="2:2" customFormat="1" x14ac:dyDescent="0.25">
      <c r="B94" s="19"/>
    </row>
    <row r="95" spans="2:2" customFormat="1" x14ac:dyDescent="0.25">
      <c r="B95" s="19"/>
    </row>
    <row r="96" spans="2:2" customFormat="1" x14ac:dyDescent="0.25">
      <c r="B96" s="19"/>
    </row>
    <row r="97" spans="2:2" customFormat="1" x14ac:dyDescent="0.25">
      <c r="B97" s="19"/>
    </row>
    <row r="98" spans="2:2" customFormat="1" x14ac:dyDescent="0.25">
      <c r="B98" s="19"/>
    </row>
    <row r="99" spans="2:2" customFormat="1" x14ac:dyDescent="0.25">
      <c r="B99" s="19"/>
    </row>
    <row r="100" spans="2:2" customFormat="1" x14ac:dyDescent="0.25">
      <c r="B100" s="19"/>
    </row>
    <row r="101" spans="2:2" customFormat="1" x14ac:dyDescent="0.25">
      <c r="B101" s="19"/>
    </row>
    <row r="102" spans="2:2" customFormat="1" x14ac:dyDescent="0.25">
      <c r="B102" s="19"/>
    </row>
    <row r="103" spans="2:2" customFormat="1" x14ac:dyDescent="0.25">
      <c r="B103" s="19"/>
    </row>
    <row r="104" spans="2:2" customFormat="1" x14ac:dyDescent="0.25">
      <c r="B104" s="19"/>
    </row>
    <row r="105" spans="2:2" customFormat="1" x14ac:dyDescent="0.25">
      <c r="B105" s="1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zoomScaleNormal="100" workbookViewId="0"/>
  </sheetViews>
  <sheetFormatPr defaultRowHeight="15" outlineLevelRow="1" x14ac:dyDescent="0.25"/>
  <cols>
    <col min="1" max="1" width="1.7109375" customWidth="1"/>
    <col min="2" max="2" width="55" customWidth="1"/>
    <col min="3" max="11" width="10.7109375" customWidth="1"/>
  </cols>
  <sheetData>
    <row r="1" spans="1:21" ht="50.1" customHeight="1" x14ac:dyDescent="0.45">
      <c r="A1" s="42" t="str">
        <f>IS!A1</f>
        <v>Pharmaceuticals Sector Model - Rovi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x14ac:dyDescent="0.25">
      <c r="A2" s="10"/>
      <c r="B2" s="10"/>
      <c r="C2" s="14" t="str">
        <f>IS!C2</f>
        <v>Hist.</v>
      </c>
      <c r="D2" s="14" t="str">
        <f>IS!D2</f>
        <v>Hist.</v>
      </c>
      <c r="E2" s="14" t="str">
        <f>IS!E2</f>
        <v>Hist.</v>
      </c>
      <c r="F2" s="14" t="str">
        <f>IS!F2</f>
        <v>Hist.</v>
      </c>
      <c r="G2" s="14" t="str">
        <f>IS!G2</f>
        <v>Hist.</v>
      </c>
      <c r="H2" s="14" t="str">
        <f>IS!H2</f>
        <v>Proj.</v>
      </c>
      <c r="I2" s="14" t="str">
        <f>IS!I2</f>
        <v>Proj.</v>
      </c>
      <c r="J2" s="14" t="str">
        <f>IS!J2</f>
        <v>Proj.</v>
      </c>
      <c r="K2" s="14" t="str">
        <f>IS!K2</f>
        <v>Proj.</v>
      </c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1" x14ac:dyDescent="0.35">
      <c r="A3" s="80" t="s">
        <v>136</v>
      </c>
      <c r="B3" s="10"/>
      <c r="C3" s="73">
        <f>IS!C3</f>
        <v>42369</v>
      </c>
      <c r="D3" s="73">
        <f>IS!D3</f>
        <v>42735</v>
      </c>
      <c r="E3" s="73">
        <f>IS!E3</f>
        <v>43100</v>
      </c>
      <c r="F3" s="73">
        <f>IS!F3</f>
        <v>43465</v>
      </c>
      <c r="G3" s="73">
        <f>IS!G3</f>
        <v>43830</v>
      </c>
      <c r="H3" s="73">
        <f>IS!H3</f>
        <v>44196</v>
      </c>
      <c r="I3" s="73">
        <f>IS!I3</f>
        <v>44561</v>
      </c>
      <c r="J3" s="73">
        <f>IS!J3</f>
        <v>44926</v>
      </c>
      <c r="K3" s="73">
        <f>IS!K3</f>
        <v>45291</v>
      </c>
      <c r="L3" s="1"/>
      <c r="M3" s="1"/>
      <c r="N3" s="1"/>
      <c r="O3" s="1"/>
      <c r="P3" s="1"/>
      <c r="Q3" s="1"/>
      <c r="R3" s="1"/>
      <c r="S3" s="1"/>
      <c r="T3" s="1"/>
      <c r="U3" s="1"/>
    </row>
    <row r="5" spans="1:21" x14ac:dyDescent="0.25">
      <c r="A5" s="8" t="s">
        <v>135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21" x14ac:dyDescent="0.25">
      <c r="A6" s="15"/>
      <c r="B6" s="91" t="s">
        <v>223</v>
      </c>
      <c r="C6" s="15"/>
      <c r="D6" s="21">
        <f t="shared" ref="D6:G7" si="0">D25/C25-1</f>
        <v>8.644572335780909E-2</v>
      </c>
      <c r="E6" s="21">
        <f t="shared" si="0"/>
        <v>7.3594417857012484E-2</v>
      </c>
      <c r="F6" s="21">
        <f t="shared" si="0"/>
        <v>0.14744364100382823</v>
      </c>
      <c r="G6" s="21">
        <f t="shared" si="0"/>
        <v>3.2413517000044578E-2</v>
      </c>
      <c r="H6" s="27">
        <v>0.03</v>
      </c>
      <c r="I6" s="27">
        <v>0.03</v>
      </c>
      <c r="J6" s="27">
        <v>0.03</v>
      </c>
      <c r="K6" s="27">
        <v>0.03</v>
      </c>
      <c r="L6" s="15"/>
      <c r="M6" s="15"/>
    </row>
    <row r="7" spans="1:21" x14ac:dyDescent="0.25">
      <c r="A7" s="15"/>
      <c r="B7" s="91" t="s">
        <v>224</v>
      </c>
      <c r="C7" s="15"/>
      <c r="D7" s="21">
        <f t="shared" si="0"/>
        <v>7.2331999838364247E-3</v>
      </c>
      <c r="E7" s="21">
        <f t="shared" si="0"/>
        <v>6.2184064831902752E-3</v>
      </c>
      <c r="F7" s="21">
        <f t="shared" si="0"/>
        <v>-5.0277102188907907E-2</v>
      </c>
      <c r="G7" s="21">
        <f t="shared" si="0"/>
        <v>0.1400923593618808</v>
      </c>
      <c r="H7" s="27">
        <v>0.25</v>
      </c>
      <c r="I7" s="27">
        <v>-7.0000000000000007E-2</v>
      </c>
      <c r="J7" s="27">
        <v>-0.03</v>
      </c>
      <c r="K7" s="27">
        <v>-0.03</v>
      </c>
      <c r="L7" s="15"/>
      <c r="M7" s="15"/>
    </row>
    <row r="8" spans="1:21" x14ac:dyDescent="0.25">
      <c r="B8" s="91" t="s">
        <v>79</v>
      </c>
      <c r="C8" s="15"/>
      <c r="D8" s="21"/>
      <c r="E8" s="21"/>
      <c r="F8" s="21">
        <f>F28/E28-1</f>
        <v>19.353970390309556</v>
      </c>
      <c r="G8" s="21">
        <f>G28/F28-1</f>
        <v>1.6735105468491702</v>
      </c>
      <c r="H8" s="27">
        <v>0.31</v>
      </c>
      <c r="I8" s="27">
        <v>0.28000000000000003</v>
      </c>
      <c r="J8" s="27">
        <v>0.25</v>
      </c>
      <c r="K8" s="27">
        <v>0.21</v>
      </c>
      <c r="L8" s="15"/>
      <c r="M8" s="15"/>
    </row>
    <row r="9" spans="1:21" x14ac:dyDescent="0.25">
      <c r="B9" s="91" t="s">
        <v>80</v>
      </c>
      <c r="C9" s="15"/>
      <c r="D9" s="21">
        <f t="shared" ref="D9:E12" si="1">D29/C29-1</f>
        <v>0.37920098846787487</v>
      </c>
      <c r="E9" s="21">
        <f t="shared" si="1"/>
        <v>0.17726281840714297</v>
      </c>
      <c r="F9" s="21">
        <f>F29/E29-1</f>
        <v>-8.5559191335007445E-2</v>
      </c>
      <c r="G9" s="21">
        <f>G29/F29-1</f>
        <v>-0.11775312066574206</v>
      </c>
      <c r="H9" s="27">
        <v>-0.05</v>
      </c>
      <c r="I9" s="27">
        <v>-0.05</v>
      </c>
      <c r="J9" s="27">
        <v>-0.05</v>
      </c>
      <c r="K9" s="27">
        <v>-0.1</v>
      </c>
      <c r="L9" s="15"/>
      <c r="M9" s="15"/>
    </row>
    <row r="10" spans="1:21" x14ac:dyDescent="0.25">
      <c r="B10" s="91" t="s">
        <v>81</v>
      </c>
      <c r="C10" s="15"/>
      <c r="D10" s="21">
        <f t="shared" si="1"/>
        <v>3.1394481730052215E-2</v>
      </c>
      <c r="E10" s="21">
        <f t="shared" si="1"/>
        <v>-0.81584845636613401</v>
      </c>
      <c r="F10" s="21">
        <f t="shared" ref="F10:F16" si="2">F30/E30-1</f>
        <v>-1</v>
      </c>
      <c r="G10" s="21">
        <v>0</v>
      </c>
      <c r="H10" s="27">
        <f>G10</f>
        <v>0</v>
      </c>
      <c r="I10" s="27">
        <f>H10</f>
        <v>0</v>
      </c>
      <c r="J10" s="27">
        <f>I10</f>
        <v>0</v>
      </c>
      <c r="K10" s="27">
        <f>J10</f>
        <v>0</v>
      </c>
      <c r="L10" s="15"/>
      <c r="M10" s="15"/>
    </row>
    <row r="11" spans="1:21" x14ac:dyDescent="0.25">
      <c r="B11" s="91" t="s">
        <v>82</v>
      </c>
      <c r="C11" s="15"/>
      <c r="D11" s="21">
        <f t="shared" si="1"/>
        <v>0.63989810966617511</v>
      </c>
      <c r="E11" s="21">
        <f t="shared" si="1"/>
        <v>0.16890124264224982</v>
      </c>
      <c r="F11" s="21">
        <f t="shared" si="2"/>
        <v>6.861099454469155E-2</v>
      </c>
      <c r="G11" s="21">
        <f>G31/F31-1</f>
        <v>-4.6861705609005821E-2</v>
      </c>
      <c r="H11" s="27">
        <v>7.0000000000000007E-2</v>
      </c>
      <c r="I11" s="27">
        <v>-0.05</v>
      </c>
      <c r="J11" s="27">
        <v>-0.05</v>
      </c>
      <c r="K11" s="27">
        <v>-0.05</v>
      </c>
      <c r="L11" s="15"/>
      <c r="M11" s="15"/>
    </row>
    <row r="12" spans="1:21" x14ac:dyDescent="0.25">
      <c r="B12" s="91" t="s">
        <v>83</v>
      </c>
      <c r="C12" s="15"/>
      <c r="D12" s="21">
        <f t="shared" si="1"/>
        <v>2.0253848231163829E-2</v>
      </c>
      <c r="E12" s="21">
        <f t="shared" si="1"/>
        <v>-3.5733192165167127E-3</v>
      </c>
      <c r="F12" s="21">
        <f t="shared" si="2"/>
        <v>-1.9657325009961535E-2</v>
      </c>
      <c r="G12" s="21">
        <f>G32/F32-1</f>
        <v>-0.21880503996748413</v>
      </c>
      <c r="H12" s="27">
        <v>-0.43</v>
      </c>
      <c r="I12" s="27">
        <v>-0.2</v>
      </c>
      <c r="J12" s="27">
        <v>-0.2</v>
      </c>
      <c r="K12" s="27">
        <v>-0.2</v>
      </c>
      <c r="L12" s="15"/>
      <c r="M12" s="15"/>
    </row>
    <row r="13" spans="1:21" x14ac:dyDescent="0.25">
      <c r="B13" s="91" t="s">
        <v>84</v>
      </c>
      <c r="C13" s="15"/>
      <c r="D13" s="21"/>
      <c r="E13" s="21"/>
      <c r="F13" s="21">
        <f t="shared" si="2"/>
        <v>1.8863104109005748</v>
      </c>
      <c r="G13" s="21">
        <f>G33/F33-1</f>
        <v>0.62440067861621307</v>
      </c>
      <c r="H13" s="27">
        <v>0.32</v>
      </c>
      <c r="I13" s="27">
        <v>0.2</v>
      </c>
      <c r="J13" s="27">
        <v>0.25</v>
      </c>
      <c r="K13" s="27">
        <v>0.1</v>
      </c>
      <c r="L13" s="15"/>
      <c r="M13" s="15"/>
    </row>
    <row r="14" spans="1:21" x14ac:dyDescent="0.25">
      <c r="B14" s="91" t="s">
        <v>85</v>
      </c>
      <c r="C14" s="15"/>
      <c r="D14" s="21">
        <f t="shared" ref="D14:E16" si="3">D34/C34-1</f>
        <v>-0.26020130576713818</v>
      </c>
      <c r="E14" s="21">
        <f t="shared" si="3"/>
        <v>-0.27486670343813202</v>
      </c>
      <c r="F14" s="21">
        <f t="shared" si="2"/>
        <v>-1</v>
      </c>
      <c r="G14" s="21">
        <v>0</v>
      </c>
      <c r="H14" s="34">
        <f>G14</f>
        <v>0</v>
      </c>
      <c r="I14" s="34">
        <f>H14</f>
        <v>0</v>
      </c>
      <c r="J14" s="34">
        <f>I14</f>
        <v>0</v>
      </c>
      <c r="K14" s="34">
        <f>J14</f>
        <v>0</v>
      </c>
      <c r="L14" s="15"/>
      <c r="M14" s="15"/>
    </row>
    <row r="15" spans="1:21" x14ac:dyDescent="0.25">
      <c r="B15" s="91" t="s">
        <v>86</v>
      </c>
      <c r="C15" s="15"/>
      <c r="D15" s="21">
        <f t="shared" si="3"/>
        <v>-8.5016835016834991E-2</v>
      </c>
      <c r="E15" s="21">
        <f t="shared" si="3"/>
        <v>-0.33928242870285186</v>
      </c>
      <c r="F15" s="21">
        <f t="shared" si="2"/>
        <v>-0.34948482316903373</v>
      </c>
      <c r="G15" s="21">
        <f>G35/F35-1</f>
        <v>-1</v>
      </c>
      <c r="H15" s="34">
        <v>0</v>
      </c>
      <c r="I15" s="34">
        <v>0</v>
      </c>
      <c r="J15" s="34">
        <v>0</v>
      </c>
      <c r="K15" s="34">
        <v>0</v>
      </c>
      <c r="L15" s="15"/>
      <c r="M15" s="15"/>
    </row>
    <row r="16" spans="1:21" x14ac:dyDescent="0.25">
      <c r="B16" s="91" t="s">
        <v>87</v>
      </c>
      <c r="C16" s="15"/>
      <c r="D16" s="21">
        <f t="shared" si="3"/>
        <v>1.1539900249376558</v>
      </c>
      <c r="E16" s="21">
        <f t="shared" si="3"/>
        <v>0.30246020260492035</v>
      </c>
      <c r="F16" s="21">
        <f t="shared" si="2"/>
        <v>0.24677777777777776</v>
      </c>
      <c r="G16" s="21">
        <f>G36/F36-1</f>
        <v>0.18242580875144809</v>
      </c>
      <c r="H16" s="27">
        <v>0.05</v>
      </c>
      <c r="I16" s="27">
        <v>0.02</v>
      </c>
      <c r="J16" s="27">
        <v>0.03</v>
      </c>
      <c r="K16" s="27">
        <v>-0.1</v>
      </c>
      <c r="L16" s="15"/>
      <c r="M16" s="15"/>
    </row>
    <row r="17" spans="1:21" x14ac:dyDescent="0.25">
      <c r="B17" s="91" t="s">
        <v>50</v>
      </c>
      <c r="C17" s="15"/>
      <c r="D17" s="21">
        <f>D38/C38-1</f>
        <v>0.99094231686000311</v>
      </c>
      <c r="E17" s="21">
        <f>E38/D38-1</f>
        <v>2.123074467236008E-2</v>
      </c>
      <c r="F17" s="21">
        <f>F38/E38-1</f>
        <v>-0.2613520906604142</v>
      </c>
      <c r="G17" s="21">
        <f>G38/F38-1</f>
        <v>0.68648820230663432</v>
      </c>
      <c r="H17" s="26">
        <v>3000</v>
      </c>
      <c r="I17" s="26">
        <v>3000</v>
      </c>
      <c r="J17" s="26">
        <v>3000</v>
      </c>
      <c r="K17" s="26">
        <v>3000</v>
      </c>
      <c r="L17" s="15"/>
      <c r="M17" s="15"/>
    </row>
    <row r="18" spans="1:21" x14ac:dyDescent="0.25">
      <c r="B18" s="91" t="s">
        <v>89</v>
      </c>
      <c r="C18" s="15"/>
      <c r="D18" s="21">
        <f t="shared" ref="D18:G19" si="4">D40/C40-1</f>
        <v>6.0580723624201971E-2</v>
      </c>
      <c r="E18" s="21">
        <f t="shared" si="4"/>
        <v>2.2754963090374725E-2</v>
      </c>
      <c r="F18" s="21">
        <f t="shared" si="4"/>
        <v>4.0187800007007501E-2</v>
      </c>
      <c r="G18" s="21">
        <f t="shared" si="4"/>
        <v>9.6604688763136659E-2</v>
      </c>
      <c r="H18" s="27">
        <v>-0.14000000000000001</v>
      </c>
      <c r="I18" s="27">
        <v>-0.03</v>
      </c>
      <c r="J18" s="27">
        <v>0.08</v>
      </c>
      <c r="K18" s="27">
        <v>0.09</v>
      </c>
      <c r="L18" s="15"/>
      <c r="M18" s="15"/>
    </row>
    <row r="19" spans="1:21" x14ac:dyDescent="0.25">
      <c r="B19" s="91" t="s">
        <v>90</v>
      </c>
      <c r="C19" s="15"/>
      <c r="D19" s="21">
        <f t="shared" si="4"/>
        <v>-0.52347592785810104</v>
      </c>
      <c r="E19" s="21">
        <f t="shared" si="4"/>
        <v>-0.18579918673756646</v>
      </c>
      <c r="F19" s="21">
        <f t="shared" si="4"/>
        <v>-0.17134076066077608</v>
      </c>
      <c r="G19" s="21">
        <f t="shared" si="4"/>
        <v>-2.8280018544274421E-2</v>
      </c>
      <c r="H19" s="27">
        <v>-0.73</v>
      </c>
      <c r="I19" s="27">
        <v>-0.15</v>
      </c>
      <c r="J19" s="27">
        <v>0</v>
      </c>
      <c r="K19" s="27">
        <v>0</v>
      </c>
      <c r="L19" s="15"/>
      <c r="M19" s="15"/>
    </row>
    <row r="20" spans="1:21" x14ac:dyDescent="0.25">
      <c r="B20" s="91" t="s">
        <v>91</v>
      </c>
      <c r="C20" s="15"/>
      <c r="D20" s="21">
        <f>D43/C43-1</f>
        <v>-9.1460382141080987E-2</v>
      </c>
      <c r="E20" s="21">
        <f>E43/D43-1</f>
        <v>7.8877666337053176E-2</v>
      </c>
      <c r="F20" s="21">
        <f>F43/E43-1</f>
        <v>-0.10677752500040916</v>
      </c>
      <c r="G20" s="21">
        <f>G43/F43-1</f>
        <v>0.20293174530462665</v>
      </c>
      <c r="H20" s="27">
        <v>0.25</v>
      </c>
      <c r="I20" s="27">
        <v>0.15</v>
      </c>
      <c r="J20" s="27">
        <v>0.04</v>
      </c>
      <c r="K20" s="27">
        <v>0.03</v>
      </c>
      <c r="L20" s="15"/>
      <c r="M20" s="15"/>
    </row>
    <row r="21" spans="1:21" x14ac:dyDescent="0.25">
      <c r="B21" s="91" t="s">
        <v>92</v>
      </c>
      <c r="C21" s="15"/>
      <c r="D21" s="21">
        <f>D44/C44-1</f>
        <v>0</v>
      </c>
      <c r="E21" s="21">
        <f>E44/D44-1</f>
        <v>0.43195266272189348</v>
      </c>
      <c r="F21" s="21">
        <f>F44/E44-1</f>
        <v>-1</v>
      </c>
      <c r="G21" s="21">
        <v>0</v>
      </c>
      <c r="H21" s="34">
        <v>0</v>
      </c>
      <c r="I21" s="34">
        <v>0</v>
      </c>
      <c r="J21" s="34">
        <v>0</v>
      </c>
      <c r="K21" s="34">
        <v>0</v>
      </c>
      <c r="L21" s="15"/>
      <c r="M21" s="15"/>
    </row>
    <row r="24" spans="1:21" s="15" customFormat="1" x14ac:dyDescent="0.25">
      <c r="A24" s="37" t="s">
        <v>138</v>
      </c>
    </row>
    <row r="25" spans="1:21" outlineLevel="1" x14ac:dyDescent="0.25">
      <c r="A25" s="15"/>
      <c r="B25" s="91" t="s">
        <v>77</v>
      </c>
      <c r="C25" s="16">
        <v>50390</v>
      </c>
      <c r="D25" s="16">
        <v>54746</v>
      </c>
      <c r="E25" s="16">
        <v>58775</v>
      </c>
      <c r="F25" s="16">
        <v>67441</v>
      </c>
      <c r="G25" s="16">
        <v>69627</v>
      </c>
      <c r="H25" s="15">
        <f t="shared" ref="H25:H26" si="5">G25*(1+H6)</f>
        <v>71715.81</v>
      </c>
      <c r="I25" s="15" t="str">
        <f ca="1">_xlfn.FORMULATEXT(H25)</f>
        <v>=G25*(1+H6)</v>
      </c>
      <c r="J25" s="93"/>
      <c r="K25" s="93"/>
      <c r="M25" s="15"/>
      <c r="N25" s="15"/>
      <c r="O25" s="15"/>
      <c r="P25" s="15"/>
      <c r="Q25" s="15"/>
      <c r="R25" s="15"/>
      <c r="S25" s="15"/>
      <c r="T25" s="15"/>
      <c r="U25" s="15"/>
    </row>
    <row r="26" spans="1:21" outlineLevel="1" x14ac:dyDescent="0.25">
      <c r="A26" s="15"/>
      <c r="B26" s="91" t="s">
        <v>78</v>
      </c>
      <c r="C26" s="16">
        <v>24747</v>
      </c>
      <c r="D26" s="16">
        <v>24926</v>
      </c>
      <c r="E26" s="16">
        <v>25081</v>
      </c>
      <c r="F26" s="16">
        <v>23820</v>
      </c>
      <c r="G26" s="16">
        <v>27157</v>
      </c>
      <c r="H26" s="93">
        <f t="shared" si="5"/>
        <v>33946.25</v>
      </c>
      <c r="I26" s="97" t="str">
        <f t="shared" ref="I26:I45" ca="1" si="6">_xlfn.FORMULATEXT(H26)</f>
        <v>=G26*(1+H7)</v>
      </c>
      <c r="J26" s="93"/>
      <c r="K26" s="93"/>
      <c r="M26" s="15"/>
      <c r="N26" s="15"/>
      <c r="O26" s="15"/>
      <c r="P26" s="15"/>
      <c r="Q26" s="15"/>
      <c r="R26" s="15"/>
      <c r="S26" s="15"/>
      <c r="T26" s="15"/>
      <c r="U26" s="15"/>
    </row>
    <row r="27" spans="1:21" s="25" customFormat="1" x14ac:dyDescent="0.25">
      <c r="B27" s="91" t="s">
        <v>76</v>
      </c>
      <c r="C27" s="25">
        <f t="shared" ref="C27:H27" si="7">SUM(C25:C26)</f>
        <v>75137</v>
      </c>
      <c r="D27" s="25">
        <f t="shared" si="7"/>
        <v>79672</v>
      </c>
      <c r="E27" s="25">
        <f t="shared" si="7"/>
        <v>83856</v>
      </c>
      <c r="F27" s="25">
        <f t="shared" si="7"/>
        <v>91261</v>
      </c>
      <c r="G27" s="25">
        <f t="shared" si="7"/>
        <v>96784</v>
      </c>
      <c r="H27" s="25">
        <f t="shared" si="7"/>
        <v>105662.06</v>
      </c>
      <c r="I27" s="97" t="str">
        <f t="shared" ca="1" si="6"/>
        <v>=SUM(H25:H26)</v>
      </c>
    </row>
    <row r="28" spans="1:21" x14ac:dyDescent="0.25">
      <c r="B28" s="91" t="s">
        <v>79</v>
      </c>
      <c r="C28" s="6"/>
      <c r="D28" s="6"/>
      <c r="E28" s="16">
        <v>1486</v>
      </c>
      <c r="F28" s="16">
        <v>30246</v>
      </c>
      <c r="G28" s="16">
        <v>80863</v>
      </c>
      <c r="H28" s="15">
        <f>G28*(1+H8)</f>
        <v>105930.53</v>
      </c>
      <c r="I28" s="97" t="str">
        <f t="shared" ca="1" si="6"/>
        <v>=G28*(1+H8)</v>
      </c>
      <c r="J28" s="93"/>
      <c r="K28" s="93"/>
      <c r="M28" s="15"/>
      <c r="N28" s="15"/>
      <c r="O28" s="15"/>
      <c r="P28" s="15"/>
      <c r="Q28" s="15"/>
      <c r="R28" s="15"/>
      <c r="S28" s="15"/>
      <c r="T28" s="15"/>
      <c r="U28" s="15"/>
    </row>
    <row r="29" spans="1:21" x14ac:dyDescent="0.25">
      <c r="B29" s="91" t="s">
        <v>80</v>
      </c>
      <c r="C29" s="16">
        <v>24280</v>
      </c>
      <c r="D29" s="16">
        <v>33487</v>
      </c>
      <c r="E29" s="16">
        <v>39423</v>
      </c>
      <c r="F29" s="16">
        <v>36050</v>
      </c>
      <c r="G29" s="16">
        <v>31805</v>
      </c>
      <c r="H29" s="93">
        <f t="shared" ref="H29:H36" si="8">G29*(1+H9)</f>
        <v>30214.75</v>
      </c>
      <c r="I29" s="97" t="str">
        <f t="shared" ca="1" si="6"/>
        <v>=G29*(1+H9)</v>
      </c>
      <c r="J29" s="93"/>
      <c r="K29" s="93"/>
      <c r="M29" s="15"/>
      <c r="N29" s="15"/>
      <c r="O29" s="15"/>
      <c r="P29" s="15"/>
      <c r="Q29" s="15"/>
      <c r="R29" s="15"/>
      <c r="S29" s="15"/>
      <c r="T29" s="15"/>
      <c r="U29" s="15"/>
    </row>
    <row r="30" spans="1:21" x14ac:dyDescent="0.25">
      <c r="B30" s="91" t="s">
        <v>81</v>
      </c>
      <c r="C30" s="16">
        <v>13410</v>
      </c>
      <c r="D30" s="16">
        <v>13831</v>
      </c>
      <c r="E30" s="16">
        <v>2547</v>
      </c>
      <c r="F30" s="16">
        <v>0</v>
      </c>
      <c r="G30" s="16">
        <v>0</v>
      </c>
      <c r="H30" s="93">
        <f t="shared" si="8"/>
        <v>0</v>
      </c>
      <c r="I30" s="97" t="str">
        <f t="shared" ca="1" si="6"/>
        <v>=G30*(1+H10)</v>
      </c>
      <c r="J30" s="93"/>
      <c r="K30" s="93"/>
      <c r="M30" s="15"/>
      <c r="N30" s="15"/>
      <c r="O30" s="15"/>
      <c r="P30" s="15"/>
      <c r="Q30" s="15"/>
      <c r="R30" s="15"/>
      <c r="S30" s="15"/>
      <c r="T30" s="15"/>
      <c r="U30" s="15"/>
    </row>
    <row r="31" spans="1:21" x14ac:dyDescent="0.25">
      <c r="B31" s="91" t="s">
        <v>82</v>
      </c>
      <c r="C31" s="16">
        <v>7459</v>
      </c>
      <c r="D31" s="16">
        <v>12232</v>
      </c>
      <c r="E31" s="16">
        <v>14298</v>
      </c>
      <c r="F31" s="16">
        <v>15279</v>
      </c>
      <c r="G31" s="16">
        <v>14563</v>
      </c>
      <c r="H31" s="93">
        <f t="shared" si="8"/>
        <v>15582.410000000002</v>
      </c>
      <c r="I31" s="97" t="str">
        <f t="shared" ca="1" si="6"/>
        <v>=G31*(1+H11)</v>
      </c>
      <c r="J31" s="93"/>
      <c r="K31" s="93"/>
      <c r="M31" s="15"/>
      <c r="N31" s="15"/>
      <c r="O31" s="15"/>
      <c r="P31" s="15"/>
      <c r="Q31" s="15"/>
      <c r="R31" s="15"/>
      <c r="S31" s="15"/>
      <c r="T31" s="15"/>
      <c r="U31" s="15"/>
    </row>
    <row r="32" spans="1:21" x14ac:dyDescent="0.25">
      <c r="B32" s="91" t="s">
        <v>83</v>
      </c>
      <c r="C32" s="16">
        <v>7406</v>
      </c>
      <c r="D32" s="16">
        <v>7556</v>
      </c>
      <c r="E32" s="16">
        <v>7529</v>
      </c>
      <c r="F32" s="16">
        <v>7381</v>
      </c>
      <c r="G32" s="16">
        <v>5766</v>
      </c>
      <c r="H32" s="93">
        <f t="shared" si="8"/>
        <v>3286.6200000000003</v>
      </c>
      <c r="I32" s="97" t="str">
        <f t="shared" ca="1" si="6"/>
        <v>=G32*(1+H12)</v>
      </c>
      <c r="J32" s="93"/>
      <c r="K32" s="93"/>
      <c r="M32" s="15"/>
      <c r="N32" s="15"/>
      <c r="O32" s="15"/>
      <c r="P32" s="15"/>
      <c r="Q32" s="15"/>
      <c r="R32" s="15"/>
      <c r="S32" s="15"/>
      <c r="T32" s="15"/>
      <c r="U32" s="15"/>
    </row>
    <row r="33" spans="1:21" x14ac:dyDescent="0.25">
      <c r="B33" s="91" t="s">
        <v>84</v>
      </c>
      <c r="C33" s="6"/>
      <c r="D33" s="16">
        <v>172</v>
      </c>
      <c r="E33" s="16">
        <v>4697</v>
      </c>
      <c r="F33" s="16">
        <v>13557</v>
      </c>
      <c r="G33" s="16">
        <v>22022</v>
      </c>
      <c r="H33" s="93">
        <f t="shared" si="8"/>
        <v>29069.040000000001</v>
      </c>
      <c r="I33" s="97" t="str">
        <f t="shared" ca="1" si="6"/>
        <v>=G33*(1+H13)</v>
      </c>
      <c r="J33" s="93"/>
      <c r="K33" s="93"/>
      <c r="M33" s="15"/>
      <c r="N33" s="15"/>
      <c r="O33" s="15"/>
      <c r="P33" s="15"/>
      <c r="Q33" s="15"/>
      <c r="R33" s="15"/>
      <c r="S33" s="15"/>
      <c r="T33" s="15"/>
      <c r="U33" s="15"/>
    </row>
    <row r="34" spans="1:21" x14ac:dyDescent="0.25">
      <c r="B34" s="91" t="s">
        <v>85</v>
      </c>
      <c r="C34" s="16">
        <v>7352</v>
      </c>
      <c r="D34" s="16">
        <v>5439</v>
      </c>
      <c r="E34" s="16">
        <v>3944</v>
      </c>
      <c r="F34" s="16">
        <v>0</v>
      </c>
      <c r="G34" s="16">
        <v>0</v>
      </c>
      <c r="H34" s="93">
        <f t="shared" si="8"/>
        <v>0</v>
      </c>
      <c r="I34" s="97" t="str">
        <f t="shared" ca="1" si="6"/>
        <v>=G34*(1+H14)</v>
      </c>
      <c r="J34" s="93"/>
      <c r="K34" s="93"/>
      <c r="M34" s="15"/>
    </row>
    <row r="35" spans="1:21" x14ac:dyDescent="0.25">
      <c r="B35" s="91" t="s">
        <v>86</v>
      </c>
      <c r="C35" s="16">
        <v>5940</v>
      </c>
      <c r="D35" s="16">
        <v>5435</v>
      </c>
      <c r="E35" s="16">
        <v>3591</v>
      </c>
      <c r="F35" s="16">
        <v>2336</v>
      </c>
      <c r="G35" s="16">
        <v>0</v>
      </c>
      <c r="H35" s="93">
        <f t="shared" si="8"/>
        <v>0</v>
      </c>
      <c r="I35" s="97" t="str">
        <f t="shared" ca="1" si="6"/>
        <v>=G35*(1+H15)</v>
      </c>
      <c r="J35" s="93"/>
      <c r="K35" s="93"/>
      <c r="M35" s="15"/>
    </row>
    <row r="36" spans="1:21" x14ac:dyDescent="0.25">
      <c r="B36" s="91" t="s">
        <v>87</v>
      </c>
      <c r="C36" s="16">
        <v>3208</v>
      </c>
      <c r="D36" s="16">
        <v>6910</v>
      </c>
      <c r="E36" s="16">
        <v>9000</v>
      </c>
      <c r="F36" s="16">
        <v>11221</v>
      </c>
      <c r="G36" s="16">
        <v>13268</v>
      </c>
      <c r="H36" s="93">
        <f t="shared" si="8"/>
        <v>13931.400000000001</v>
      </c>
      <c r="I36" s="97" t="str">
        <f t="shared" ca="1" si="6"/>
        <v>=G36*(1+H16)</v>
      </c>
      <c r="J36" s="93"/>
      <c r="K36" s="93"/>
      <c r="M36" s="15"/>
    </row>
    <row r="37" spans="1:21" x14ac:dyDescent="0.25">
      <c r="B37" s="91" t="s">
        <v>88</v>
      </c>
      <c r="C37" s="6"/>
      <c r="D37" s="6"/>
      <c r="E37" s="6"/>
      <c r="F37" s="6"/>
      <c r="G37" s="6"/>
      <c r="H37" s="40">
        <f>IF(Pipeline=1,'Pipeline Drug'!I100,0)</f>
        <v>0</v>
      </c>
      <c r="I37" s="97" t="str">
        <f t="shared" ca="1" si="6"/>
        <v>=IF(Pipeline=1,'Pipeline Drug'!I100,0)</v>
      </c>
      <c r="J37" s="40"/>
      <c r="K37" s="40"/>
      <c r="M37" s="40"/>
      <c r="N37" s="40"/>
      <c r="O37" s="40"/>
    </row>
    <row r="38" spans="1:21" x14ac:dyDescent="0.25">
      <c r="B38" s="91" t="s">
        <v>50</v>
      </c>
      <c r="C38" s="16">
        <v>6293</v>
      </c>
      <c r="D38" s="16">
        <f>12701-D33</f>
        <v>12529</v>
      </c>
      <c r="E38" s="16">
        <v>12795</v>
      </c>
      <c r="F38" s="16">
        <v>9451</v>
      </c>
      <c r="G38" s="16">
        <v>15939</v>
      </c>
      <c r="H38" s="40">
        <f>H17</f>
        <v>3000</v>
      </c>
      <c r="I38" s="97" t="str">
        <f t="shared" ca="1" si="6"/>
        <v>=H17</v>
      </c>
      <c r="J38" s="40"/>
      <c r="K38" s="40"/>
      <c r="M38" s="15"/>
    </row>
    <row r="39" spans="1:21" s="25" customFormat="1" x14ac:dyDescent="0.25">
      <c r="B39" s="91" t="s">
        <v>137</v>
      </c>
      <c r="C39" s="25">
        <f t="shared" ref="C39:H39" si="9">SUM(C27:C38)</f>
        <v>150485</v>
      </c>
      <c r="D39" s="25">
        <f t="shared" si="9"/>
        <v>177263</v>
      </c>
      <c r="E39" s="25">
        <f t="shared" si="9"/>
        <v>183166</v>
      </c>
      <c r="F39" s="25">
        <f t="shared" si="9"/>
        <v>216782</v>
      </c>
      <c r="G39" s="25">
        <f t="shared" si="9"/>
        <v>281010</v>
      </c>
      <c r="H39" s="25">
        <f t="shared" si="9"/>
        <v>306676.81</v>
      </c>
      <c r="I39" s="97" t="str">
        <f t="shared" ca="1" si="6"/>
        <v>=SUM(H27:H38)</v>
      </c>
    </row>
    <row r="40" spans="1:21" s="25" customFormat="1" x14ac:dyDescent="0.25">
      <c r="B40" s="91" t="s">
        <v>89</v>
      </c>
      <c r="C40" s="44">
        <v>26312</v>
      </c>
      <c r="D40" s="44">
        <v>27906</v>
      </c>
      <c r="E40" s="44">
        <v>28541</v>
      </c>
      <c r="F40" s="44">
        <v>29688</v>
      </c>
      <c r="G40" s="44">
        <v>32556</v>
      </c>
      <c r="H40" s="25">
        <f t="shared" ref="H40:H41" si="10">G40*(1+H18)</f>
        <v>27998.16</v>
      </c>
      <c r="I40" s="97" t="str">
        <f t="shared" ca="1" si="6"/>
        <v>=G40*(1+H18)</v>
      </c>
    </row>
    <row r="41" spans="1:21" x14ac:dyDescent="0.25">
      <c r="B41" s="91" t="s">
        <v>90</v>
      </c>
      <c r="C41" s="16">
        <v>6709</v>
      </c>
      <c r="D41" s="16">
        <v>3197</v>
      </c>
      <c r="E41" s="16">
        <v>2603</v>
      </c>
      <c r="F41" s="16">
        <v>2157</v>
      </c>
      <c r="G41" s="16">
        <v>2096</v>
      </c>
      <c r="H41" s="25">
        <f t="shared" si="10"/>
        <v>565.92000000000007</v>
      </c>
      <c r="I41" s="97" t="str">
        <f t="shared" ca="1" si="6"/>
        <v>=G41*(1+H19)</v>
      </c>
      <c r="J41" s="25"/>
      <c r="K41" s="25"/>
      <c r="M41" s="25"/>
    </row>
    <row r="42" spans="1:21" s="37" customFormat="1" x14ac:dyDescent="0.25">
      <c r="B42" s="91" t="s">
        <v>75</v>
      </c>
      <c r="C42" s="25">
        <f t="shared" ref="C42:H42" si="11">SUM(C39:C41)</f>
        <v>183506</v>
      </c>
      <c r="D42" s="25">
        <f t="shared" si="11"/>
        <v>208366</v>
      </c>
      <c r="E42" s="25">
        <f t="shared" si="11"/>
        <v>214310</v>
      </c>
      <c r="F42" s="25">
        <f t="shared" si="11"/>
        <v>248627</v>
      </c>
      <c r="G42" s="25">
        <f t="shared" si="11"/>
        <v>315662</v>
      </c>
      <c r="H42" s="25">
        <f t="shared" si="11"/>
        <v>335240.88999999996</v>
      </c>
      <c r="I42" s="97" t="str">
        <f t="shared" ca="1" si="6"/>
        <v>=SUM(H39:H41)</v>
      </c>
      <c r="J42" s="25"/>
      <c r="K42" s="25"/>
    </row>
    <row r="43" spans="1:21" s="25" customFormat="1" x14ac:dyDescent="0.25">
      <c r="B43" s="91" t="s">
        <v>91</v>
      </c>
      <c r="C43" s="44">
        <v>62333</v>
      </c>
      <c r="D43" s="44">
        <v>56632</v>
      </c>
      <c r="E43" s="44">
        <v>61099</v>
      </c>
      <c r="F43" s="44">
        <v>54575</v>
      </c>
      <c r="G43" s="44">
        <v>65650</v>
      </c>
      <c r="H43" s="25">
        <f t="shared" ref="H43:H44" si="12">G43*(1+H20)</f>
        <v>82062.5</v>
      </c>
      <c r="I43" s="97" t="str">
        <f t="shared" ca="1" si="6"/>
        <v>=G43*(1+H20)</v>
      </c>
    </row>
    <row r="44" spans="1:21" s="25" customFormat="1" x14ac:dyDescent="0.25">
      <c r="B44" s="91" t="s">
        <v>92</v>
      </c>
      <c r="C44" s="44">
        <v>169</v>
      </c>
      <c r="D44" s="44">
        <v>169</v>
      </c>
      <c r="E44" s="44">
        <v>242</v>
      </c>
      <c r="F44" s="44">
        <v>0</v>
      </c>
      <c r="G44" s="44">
        <v>0</v>
      </c>
      <c r="H44" s="25">
        <f t="shared" si="12"/>
        <v>0</v>
      </c>
      <c r="I44" s="97" t="str">
        <f t="shared" ca="1" si="6"/>
        <v>=G44*(1+H21)</v>
      </c>
    </row>
    <row r="45" spans="1:21" s="37" customFormat="1" x14ac:dyDescent="0.25">
      <c r="A45" s="25" t="s">
        <v>74</v>
      </c>
      <c r="B45" s="25"/>
      <c r="C45" s="25">
        <f t="shared" ref="C45:H45" si="13">SUM(C42:C44)</f>
        <v>246008</v>
      </c>
      <c r="D45" s="25">
        <f t="shared" si="13"/>
        <v>265167</v>
      </c>
      <c r="E45" s="25">
        <f t="shared" si="13"/>
        <v>275651</v>
      </c>
      <c r="F45" s="25">
        <f t="shared" si="13"/>
        <v>303202</v>
      </c>
      <c r="G45" s="25">
        <f t="shared" si="13"/>
        <v>381312</v>
      </c>
      <c r="H45" s="25">
        <f t="shared" si="13"/>
        <v>417303.38999999996</v>
      </c>
      <c r="I45" s="97" t="str">
        <f t="shared" ca="1" si="6"/>
        <v>=SUM(H42:H44)</v>
      </c>
      <c r="J45" s="25"/>
      <c r="K45" s="25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CCE8-34B2-4A39-87BE-445864A15524}">
  <dimension ref="A1:AA107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outlineLevelCol="1" x14ac:dyDescent="0.25"/>
  <cols>
    <col min="1" max="1" width="1.7109375" customWidth="1"/>
    <col min="2" max="2" width="55" customWidth="1"/>
    <col min="3" max="3" width="10.7109375" customWidth="1"/>
    <col min="4" max="5" width="10.7109375" style="15" customWidth="1"/>
    <col min="6" max="6" width="10.7109375" style="15" hidden="1" customWidth="1" outlineLevel="1"/>
    <col min="7" max="7" width="10.85546875" style="15" hidden="1" customWidth="1" outlineLevel="1"/>
    <col min="8" max="8" width="10.7109375" customWidth="1" collapsed="1"/>
    <col min="9" max="19" width="10.7109375" customWidth="1"/>
  </cols>
  <sheetData>
    <row r="1" spans="1:19" ht="50.1" customHeight="1" x14ac:dyDescent="0.45">
      <c r="A1" s="9" t="str">
        <f>Info!A1</f>
        <v>Pharmaceuticals Sector Model - Rovi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5">
      <c r="A2" s="10"/>
      <c r="B2" s="10"/>
      <c r="C2" s="14"/>
      <c r="D2" s="14"/>
      <c r="E2" s="14"/>
      <c r="F2" s="14"/>
      <c r="G2" s="14"/>
      <c r="H2" s="14" t="s">
        <v>216</v>
      </c>
      <c r="I2" s="14" t="s">
        <v>213</v>
      </c>
      <c r="J2" s="14" t="s">
        <v>213</v>
      </c>
      <c r="K2" s="14" t="s">
        <v>213</v>
      </c>
      <c r="L2" s="14" t="s">
        <v>213</v>
      </c>
      <c r="M2" s="14" t="s">
        <v>213</v>
      </c>
      <c r="N2" s="14" t="s">
        <v>213</v>
      </c>
      <c r="O2" s="14" t="s">
        <v>213</v>
      </c>
      <c r="P2" s="14" t="s">
        <v>213</v>
      </c>
      <c r="Q2" s="14" t="str">
        <f>P2</f>
        <v>Proj.</v>
      </c>
      <c r="R2" s="14" t="str">
        <f>Q2</f>
        <v>Proj.</v>
      </c>
      <c r="S2" s="14" t="str">
        <f>R2</f>
        <v>Proj.</v>
      </c>
    </row>
    <row r="3" spans="1:19" s="7" customFormat="1" ht="21" x14ac:dyDescent="0.35">
      <c r="A3" s="80" t="s">
        <v>211</v>
      </c>
      <c r="B3" s="10"/>
      <c r="C3" s="13"/>
      <c r="D3" s="13"/>
      <c r="E3" s="13"/>
      <c r="F3" s="13"/>
      <c r="G3" s="13"/>
      <c r="H3" s="35">
        <f>IS!G3</f>
        <v>43830</v>
      </c>
      <c r="I3" s="35">
        <f>EDATE(H3,12)</f>
        <v>44196</v>
      </c>
      <c r="J3" s="35">
        <f t="shared" ref="J3:S3" si="0">EDATE(I3,12)</f>
        <v>44561</v>
      </c>
      <c r="K3" s="35">
        <f t="shared" si="0"/>
        <v>44926</v>
      </c>
      <c r="L3" s="35">
        <f t="shared" si="0"/>
        <v>45291</v>
      </c>
      <c r="M3" s="35">
        <f t="shared" si="0"/>
        <v>45657</v>
      </c>
      <c r="N3" s="35">
        <f t="shared" si="0"/>
        <v>46022</v>
      </c>
      <c r="O3" s="35">
        <f t="shared" si="0"/>
        <v>46387</v>
      </c>
      <c r="P3" s="35">
        <f t="shared" si="0"/>
        <v>46752</v>
      </c>
      <c r="Q3" s="35">
        <f t="shared" si="0"/>
        <v>47118</v>
      </c>
      <c r="R3" s="35">
        <f t="shared" si="0"/>
        <v>47483</v>
      </c>
      <c r="S3" s="35">
        <f t="shared" si="0"/>
        <v>47848</v>
      </c>
    </row>
    <row r="4" spans="1:19" s="7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32" t="s">
        <v>129</v>
      </c>
      <c r="B5" s="12"/>
      <c r="C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x14ac:dyDescent="0.25">
      <c r="A6" s="15"/>
      <c r="B6" s="23" t="s">
        <v>128</v>
      </c>
      <c r="C6" s="23" t="s">
        <v>126</v>
      </c>
      <c r="D6" s="23" t="s">
        <v>127</v>
      </c>
      <c r="F6" s="23"/>
      <c r="G6" s="23"/>
      <c r="O6" s="15"/>
      <c r="P6" s="15"/>
      <c r="Q6" s="15"/>
      <c r="R6" s="15"/>
      <c r="S6" s="15"/>
    </row>
    <row r="7" spans="1:19" x14ac:dyDescent="0.25">
      <c r="A7" s="15"/>
      <c r="B7" s="19" t="s">
        <v>94</v>
      </c>
      <c r="C7" s="82">
        <f>D7*$C$9</f>
        <v>6.1749999999999998</v>
      </c>
      <c r="D7" s="34">
        <v>0.65</v>
      </c>
      <c r="F7" s="33"/>
      <c r="G7" s="83" t="str">
        <f ca="1">_xlfn.FORMULATEXT(C7)</f>
        <v>=D7*$C$9</v>
      </c>
      <c r="O7" s="15"/>
      <c r="P7" s="15"/>
      <c r="Q7" s="15"/>
      <c r="R7" s="15"/>
      <c r="S7" s="15"/>
    </row>
    <row r="8" spans="1:19" x14ac:dyDescent="0.25">
      <c r="A8" s="15"/>
      <c r="B8" s="19" t="s">
        <v>95</v>
      </c>
      <c r="C8" s="82">
        <f>D8*$C$9</f>
        <v>3.3249999999999997</v>
      </c>
      <c r="D8" s="20">
        <f>1-D7</f>
        <v>0.35</v>
      </c>
      <c r="F8" s="33"/>
      <c r="G8" s="83" t="str">
        <f ca="1">_xlfn.FORMULATEXT(C8)</f>
        <v>=D8*$C$9</v>
      </c>
      <c r="O8" s="15"/>
      <c r="P8" s="15"/>
      <c r="Q8" s="15"/>
      <c r="R8" s="15"/>
      <c r="S8" s="15"/>
    </row>
    <row r="9" spans="1:19" x14ac:dyDescent="0.25">
      <c r="A9" s="15"/>
      <c r="B9" s="19" t="s">
        <v>96</v>
      </c>
      <c r="C9" s="30">
        <v>9.5</v>
      </c>
      <c r="F9" s="30"/>
      <c r="G9"/>
      <c r="O9" s="15"/>
      <c r="P9" s="15"/>
      <c r="Q9" s="15"/>
      <c r="R9" s="15"/>
      <c r="S9" s="15"/>
    </row>
    <row r="10" spans="1:19" x14ac:dyDescent="0.25">
      <c r="B10" s="19"/>
      <c r="D10"/>
      <c r="E10"/>
      <c r="G10"/>
    </row>
    <row r="11" spans="1:19" s="15" customFormat="1" x14ac:dyDescent="0.25">
      <c r="B11" s="23" t="s">
        <v>132</v>
      </c>
      <c r="C11" s="23" t="s">
        <v>126</v>
      </c>
      <c r="D11" s="23" t="s">
        <v>127</v>
      </c>
      <c r="E11" s="23" t="s">
        <v>93</v>
      </c>
      <c r="F11" s="23"/>
    </row>
    <row r="12" spans="1:19" s="15" customFormat="1" x14ac:dyDescent="0.25">
      <c r="B12" s="19" t="s">
        <v>130</v>
      </c>
      <c r="C12" s="81">
        <f>D12*$C$14</f>
        <v>4.234</v>
      </c>
      <c r="D12" s="34">
        <v>0.73</v>
      </c>
      <c r="E12" s="20"/>
      <c r="F12" s="19"/>
      <c r="G12" s="83" t="str">
        <f ca="1">_xlfn.FORMULATEXT(C12)</f>
        <v>=D12*$C$14</v>
      </c>
    </row>
    <row r="13" spans="1:19" x14ac:dyDescent="0.25">
      <c r="B13" s="19" t="s">
        <v>131</v>
      </c>
      <c r="C13" s="81">
        <f>D13*$C$14</f>
        <v>1.5660000000000001</v>
      </c>
      <c r="D13" s="20">
        <f>1-D12</f>
        <v>0.27</v>
      </c>
      <c r="E13" s="20"/>
      <c r="F13" s="19"/>
      <c r="G13" s="83" t="str">
        <f ca="1">_xlfn.FORMULATEXT(C13)</f>
        <v>=D13*$C$14</v>
      </c>
    </row>
    <row r="14" spans="1:19" x14ac:dyDescent="0.25">
      <c r="B14" s="19" t="s">
        <v>96</v>
      </c>
      <c r="C14" s="30">
        <v>5.8</v>
      </c>
      <c r="E14" s="20"/>
      <c r="F14" s="30"/>
      <c r="G14" s="30"/>
      <c r="H14" s="15"/>
    </row>
    <row r="16" spans="1:19" x14ac:dyDescent="0.25">
      <c r="A16" s="15"/>
      <c r="B16" s="19" t="s">
        <v>125</v>
      </c>
      <c r="C16" s="31">
        <v>1.2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20" s="15" customFormat="1" ht="15.75" x14ac:dyDescent="0.25">
      <c r="A17" s="32" t="s">
        <v>97</v>
      </c>
    </row>
    <row r="18" spans="1:20" x14ac:dyDescent="0.25">
      <c r="A18" s="15"/>
      <c r="B18" s="15" t="s">
        <v>98</v>
      </c>
      <c r="C18" s="15"/>
      <c r="H18" s="19">
        <f>C13/C16*1000</f>
        <v>1305.0000000000002</v>
      </c>
      <c r="I18" s="19">
        <f>H18*(1+I19)</f>
        <v>1389.8250000000003</v>
      </c>
      <c r="J18" s="19">
        <f t="shared" ref="J18:S18" si="1">I18*(1+J19)</f>
        <v>1480.1636250000001</v>
      </c>
      <c r="K18" s="19">
        <f t="shared" si="1"/>
        <v>1576.374260625</v>
      </c>
      <c r="L18" s="19">
        <f t="shared" si="1"/>
        <v>1678.8385875656249</v>
      </c>
      <c r="M18" s="19">
        <f t="shared" si="1"/>
        <v>1787.9630957573904</v>
      </c>
      <c r="N18" s="19">
        <f t="shared" si="1"/>
        <v>1904.1806969816207</v>
      </c>
      <c r="O18" s="19">
        <f t="shared" si="1"/>
        <v>2015.5752677550456</v>
      </c>
      <c r="P18" s="19">
        <f t="shared" si="1"/>
        <v>2121.695305602349</v>
      </c>
      <c r="Q18" s="19">
        <f t="shared" si="1"/>
        <v>2222.2318376583162</v>
      </c>
      <c r="R18" s="19">
        <f t="shared" si="1"/>
        <v>2317.0022477230118</v>
      </c>
      <c r="S18" s="19">
        <f t="shared" si="1"/>
        <v>2405.9330804447791</v>
      </c>
      <c r="T18" s="19" t="str">
        <f ca="1">_xlfn.FORMULATEXT(S18)</f>
        <v>=R18*(1+S19)</v>
      </c>
    </row>
    <row r="19" spans="1:20" x14ac:dyDescent="0.25">
      <c r="A19" s="15"/>
      <c r="B19" s="15" t="s">
        <v>99</v>
      </c>
      <c r="C19" s="15"/>
      <c r="H19" s="15"/>
      <c r="I19" s="29">
        <v>6.5000000000000002E-2</v>
      </c>
      <c r="J19" s="29">
        <v>6.5000000000000002E-2</v>
      </c>
      <c r="K19" s="29">
        <v>6.5000000000000002E-2</v>
      </c>
      <c r="L19" s="29">
        <v>6.5000000000000002E-2</v>
      </c>
      <c r="M19" s="29">
        <v>6.5000000000000002E-2</v>
      </c>
      <c r="N19" s="29">
        <v>6.5000000000000002E-2</v>
      </c>
      <c r="O19" s="29">
        <f>N19*0.9</f>
        <v>5.8500000000000003E-2</v>
      </c>
      <c r="P19" s="29">
        <f>O19*0.9</f>
        <v>5.2650000000000002E-2</v>
      </c>
      <c r="Q19" s="29">
        <f>P19*0.9</f>
        <v>4.7385000000000004E-2</v>
      </c>
      <c r="R19" s="29">
        <f>Q19*0.9</f>
        <v>4.2646500000000004E-2</v>
      </c>
      <c r="S19" s="29">
        <f>R19*0.9</f>
        <v>3.8381850000000002E-2</v>
      </c>
    </row>
    <row r="20" spans="1:20" x14ac:dyDescent="0.25">
      <c r="A20" s="15"/>
      <c r="B20" s="15"/>
      <c r="C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25">
      <c r="A21" s="15"/>
      <c r="B21" s="15" t="s">
        <v>100</v>
      </c>
      <c r="C21" s="34">
        <v>0.9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25">
      <c r="A22" s="15"/>
      <c r="B22" s="15" t="s">
        <v>101</v>
      </c>
      <c r="C22" s="36">
        <f>INDEX(I3:S3,MATCH(C23,I37:S37,0))</f>
        <v>46387</v>
      </c>
      <c r="D22" s="15" t="str">
        <f ca="1">_xlfn.FORMULATEXT(C22)</f>
        <v>=INDEX(I3:S3,MATCH(C23,I37:S37,0))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s="7" customFormat="1" x14ac:dyDescent="0.25">
      <c r="A23" s="15"/>
      <c r="B23" s="15" t="s">
        <v>102</v>
      </c>
      <c r="C23" s="17">
        <f>MAX(J37:S37)</f>
        <v>7.4999999999999997E-2</v>
      </c>
      <c r="D23" s="99" t="str">
        <f ca="1">_xlfn.FORMULATEXT(C23)</f>
        <v>=MAX(J37:S37)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x14ac:dyDescent="0.25">
      <c r="A24" s="15"/>
      <c r="B24" s="15"/>
      <c r="C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x14ac:dyDescent="0.25">
      <c r="A25" s="15"/>
      <c r="B25" s="15" t="s">
        <v>103</v>
      </c>
      <c r="C25" s="34">
        <v>0.7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s="7" customFormat="1" x14ac:dyDescent="0.25">
      <c r="A26" s="15"/>
      <c r="B26" s="15" t="s">
        <v>104</v>
      </c>
      <c r="C26" s="20">
        <f>1-C25</f>
        <v>0.30000000000000004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x14ac:dyDescent="0.25">
      <c r="A27" s="15"/>
      <c r="B27" s="15" t="s">
        <v>105</v>
      </c>
      <c r="C27" s="34">
        <v>0.2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x14ac:dyDescent="0.25">
      <c r="A28" s="15"/>
      <c r="B28" s="15"/>
      <c r="C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x14ac:dyDescent="0.25">
      <c r="A29" s="15"/>
      <c r="B29" s="15" t="s">
        <v>106</v>
      </c>
      <c r="C29" s="34">
        <v>0.8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x14ac:dyDescent="0.25">
      <c r="A30" s="15"/>
      <c r="B30" s="15" t="s">
        <v>107</v>
      </c>
      <c r="C30" s="34">
        <v>0.95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s="7" customFormat="1" x14ac:dyDescent="0.25">
      <c r="A31" s="15"/>
      <c r="B31" s="15" t="s">
        <v>108</v>
      </c>
      <c r="C31" s="34">
        <v>0.03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x14ac:dyDescent="0.25">
      <c r="A32" s="15"/>
      <c r="B32" s="15" t="s">
        <v>109</v>
      </c>
      <c r="C32" s="26">
        <v>20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7" s="89" customFormat="1" x14ac:dyDescent="0.25">
      <c r="B33" s="90" t="s">
        <v>214</v>
      </c>
      <c r="C33" s="34">
        <v>0.04</v>
      </c>
    </row>
    <row r="34" spans="1:27" s="89" customFormat="1" x14ac:dyDescent="0.25">
      <c r="B34" s="90" t="s">
        <v>215</v>
      </c>
      <c r="C34" s="34">
        <v>0.2</v>
      </c>
    </row>
    <row r="35" spans="1:27" x14ac:dyDescent="0.25">
      <c r="A35" s="15"/>
      <c r="B35" s="15" t="s">
        <v>110</v>
      </c>
      <c r="C35" s="34">
        <v>0.25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7" x14ac:dyDescent="0.25">
      <c r="A36" s="15"/>
      <c r="B36" s="15"/>
      <c r="C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7" x14ac:dyDescent="0.25">
      <c r="A37" s="15"/>
      <c r="B37" s="15" t="s">
        <v>111</v>
      </c>
      <c r="C37" s="15"/>
      <c r="H37" s="15"/>
      <c r="J37" s="34">
        <v>0.01</v>
      </c>
      <c r="K37" s="21">
        <f>L37-(L37-$J$37)/COLUMNS($J$37:K37)</f>
        <v>2.3000000000000003E-2</v>
      </c>
      <c r="L37" s="21">
        <f>M37-(M37-$J$37)/COLUMNS($J$37:L37)</f>
        <v>3.6000000000000004E-2</v>
      </c>
      <c r="M37" s="21">
        <f>N37-(N37-$J$37)/COLUMNS($J$37:M37)</f>
        <v>4.9000000000000002E-2</v>
      </c>
      <c r="N37" s="21">
        <f>O37-(O37-$J$37)/COLUMNS($J$37:N37)</f>
        <v>6.2E-2</v>
      </c>
      <c r="O37" s="34">
        <v>7.4999999999999997E-2</v>
      </c>
      <c r="P37" s="21">
        <f>O37*0.9</f>
        <v>6.7500000000000004E-2</v>
      </c>
      <c r="Q37" s="21">
        <f>P37*0.9</f>
        <v>6.0750000000000005E-2</v>
      </c>
      <c r="R37" s="21">
        <f>Q37*0.9</f>
        <v>5.4675000000000008E-2</v>
      </c>
      <c r="S37" s="21">
        <f>R37*0.9</f>
        <v>4.9207500000000008E-2</v>
      </c>
      <c r="T37" s="15" t="str">
        <f ca="1">_xlfn.FORMULATEXT(S37)</f>
        <v>=R37*0.9</v>
      </c>
    </row>
    <row r="38" spans="1:27" x14ac:dyDescent="0.25">
      <c r="A38" s="15"/>
      <c r="B38" s="15" t="s">
        <v>217</v>
      </c>
      <c r="C38" s="15"/>
      <c r="H38" s="15"/>
      <c r="J38" s="15">
        <f>J37*J18*1000</f>
        <v>14801.636250000001</v>
      </c>
      <c r="K38" s="94">
        <f t="shared" ref="K38:S38" si="2">K37*K18*1000</f>
        <v>36256.607994375001</v>
      </c>
      <c r="L38" s="94">
        <f t="shared" si="2"/>
        <v>60438.189152362502</v>
      </c>
      <c r="M38" s="94">
        <f t="shared" si="2"/>
        <v>87610.191692112145</v>
      </c>
      <c r="N38" s="94">
        <f t="shared" si="2"/>
        <v>118059.20321286048</v>
      </c>
      <c r="O38" s="94">
        <f t="shared" si="2"/>
        <v>151168.14508162841</v>
      </c>
      <c r="P38" s="94">
        <f t="shared" si="2"/>
        <v>143214.43312815856</v>
      </c>
      <c r="Q38" s="94">
        <f t="shared" si="2"/>
        <v>135000.58413774273</v>
      </c>
      <c r="R38" s="94">
        <f t="shared" si="2"/>
        <v>126682.0978942557</v>
      </c>
      <c r="S38" s="94">
        <f t="shared" si="2"/>
        <v>118389.95205598649</v>
      </c>
      <c r="T38" s="96" t="str">
        <f t="shared" ref="T38:T40" ca="1" si="3">_xlfn.FORMULATEXT(S38)</f>
        <v>=S37*S18*1000</v>
      </c>
    </row>
    <row r="39" spans="1:27" x14ac:dyDescent="0.25">
      <c r="A39" s="15"/>
      <c r="B39" s="3" t="s">
        <v>112</v>
      </c>
      <c r="C39" s="15"/>
      <c r="H39" s="15"/>
      <c r="J39" s="15">
        <f>J38*$C$25</f>
        <v>10361.145375</v>
      </c>
      <c r="K39" s="94">
        <f t="shared" ref="K39:S39" si="4">K38*$C$25</f>
        <v>25379.625596062499</v>
      </c>
      <c r="L39" s="94">
        <f t="shared" si="4"/>
        <v>42306.732406653748</v>
      </c>
      <c r="M39" s="94">
        <f t="shared" si="4"/>
        <v>61327.134184478498</v>
      </c>
      <c r="N39" s="94">
        <f t="shared" si="4"/>
        <v>82641.442249002328</v>
      </c>
      <c r="O39" s="94">
        <f t="shared" si="4"/>
        <v>105817.70155713988</v>
      </c>
      <c r="P39" s="94">
        <f t="shared" si="4"/>
        <v>100250.10318971099</v>
      </c>
      <c r="Q39" s="94">
        <f t="shared" si="4"/>
        <v>94500.408896419904</v>
      </c>
      <c r="R39" s="94">
        <f t="shared" si="4"/>
        <v>88677.468525978984</v>
      </c>
      <c r="S39" s="94">
        <f t="shared" si="4"/>
        <v>82872.966439190539</v>
      </c>
      <c r="T39" s="96" t="str">
        <f t="shared" ca="1" si="3"/>
        <v>=S38*$C$25</v>
      </c>
    </row>
    <row r="40" spans="1:27" x14ac:dyDescent="0.25">
      <c r="A40" s="15"/>
      <c r="B40" s="3" t="s">
        <v>113</v>
      </c>
      <c r="C40" s="15"/>
      <c r="H40" s="15"/>
      <c r="J40" s="15">
        <f>J38-J39</f>
        <v>4440.4908750000013</v>
      </c>
      <c r="K40" s="94">
        <f t="shared" ref="K40:S40" si="5">K38-K39</f>
        <v>10876.982398312502</v>
      </c>
      <c r="L40" s="94">
        <f t="shared" si="5"/>
        <v>18131.456745708754</v>
      </c>
      <c r="M40" s="94">
        <f t="shared" si="5"/>
        <v>26283.057507633646</v>
      </c>
      <c r="N40" s="94">
        <f t="shared" si="5"/>
        <v>35417.760963858149</v>
      </c>
      <c r="O40" s="94">
        <f t="shared" si="5"/>
        <v>45350.443524488524</v>
      </c>
      <c r="P40" s="94">
        <f t="shared" si="5"/>
        <v>42964.329938447569</v>
      </c>
      <c r="Q40" s="94">
        <f t="shared" si="5"/>
        <v>40500.175241322824</v>
      </c>
      <c r="R40" s="94">
        <f t="shared" si="5"/>
        <v>38004.629368276714</v>
      </c>
      <c r="S40" s="94">
        <f t="shared" si="5"/>
        <v>35516.985616795952</v>
      </c>
      <c r="T40" s="96" t="str">
        <f t="shared" ca="1" si="3"/>
        <v>=S38-S39</v>
      </c>
    </row>
    <row r="41" spans="1:27" x14ac:dyDescent="0.25">
      <c r="A41" s="15"/>
      <c r="B41" s="15"/>
      <c r="C41" s="15"/>
      <c r="H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94"/>
    </row>
    <row r="42" spans="1:27" x14ac:dyDescent="0.25">
      <c r="A42" s="15"/>
      <c r="B42" s="15" t="s">
        <v>114</v>
      </c>
      <c r="C42" s="15"/>
      <c r="H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94"/>
    </row>
    <row r="43" spans="1:27" x14ac:dyDescent="0.25">
      <c r="A43" s="15"/>
      <c r="B43" s="15" t="s">
        <v>115</v>
      </c>
      <c r="C43" s="15"/>
      <c r="H43" s="15"/>
      <c r="J43" s="15">
        <f>J39</f>
        <v>10361.145375</v>
      </c>
      <c r="K43" s="94">
        <f t="shared" ref="K43:S43" si="6">K39</f>
        <v>25379.625596062499</v>
      </c>
      <c r="L43" s="94">
        <f t="shared" si="6"/>
        <v>42306.732406653748</v>
      </c>
      <c r="M43" s="94">
        <f t="shared" si="6"/>
        <v>61327.134184478498</v>
      </c>
      <c r="N43" s="94">
        <f t="shared" si="6"/>
        <v>82641.442249002328</v>
      </c>
      <c r="O43" s="94">
        <f t="shared" si="6"/>
        <v>105817.70155713988</v>
      </c>
      <c r="P43" s="94">
        <f t="shared" si="6"/>
        <v>100250.10318971099</v>
      </c>
      <c r="Q43" s="94">
        <f t="shared" si="6"/>
        <v>94500.408896419904</v>
      </c>
      <c r="R43" s="94">
        <f t="shared" si="6"/>
        <v>88677.468525978984</v>
      </c>
      <c r="S43" s="94">
        <f t="shared" si="6"/>
        <v>82872.966439190539</v>
      </c>
      <c r="T43" s="96" t="str">
        <f t="shared" ref="T43:T45" ca="1" si="7">_xlfn.FORMULATEXT(S43)</f>
        <v>=S39</v>
      </c>
    </row>
    <row r="44" spans="1:27" x14ac:dyDescent="0.25">
      <c r="A44" s="15"/>
      <c r="B44" s="15" t="s">
        <v>116</v>
      </c>
      <c r="C44" s="15"/>
      <c r="H44" s="15"/>
      <c r="J44" s="15">
        <f>J40*$C$27</f>
        <v>888.09817500000031</v>
      </c>
      <c r="K44" s="94">
        <f t="shared" ref="K44:S44" si="8">K40*$C$27</f>
        <v>2175.3964796625005</v>
      </c>
      <c r="L44" s="94">
        <f t="shared" si="8"/>
        <v>3626.2913491417512</v>
      </c>
      <c r="M44" s="94">
        <f t="shared" si="8"/>
        <v>5256.6115015267296</v>
      </c>
      <c r="N44" s="94">
        <f t="shared" si="8"/>
        <v>7083.55219277163</v>
      </c>
      <c r="O44" s="94">
        <f t="shared" si="8"/>
        <v>9070.0887048977056</v>
      </c>
      <c r="P44" s="94">
        <f t="shared" si="8"/>
        <v>8592.8659876895144</v>
      </c>
      <c r="Q44" s="94">
        <f t="shared" si="8"/>
        <v>8100.0350482645654</v>
      </c>
      <c r="R44" s="94">
        <f t="shared" si="8"/>
        <v>7600.9258736553429</v>
      </c>
      <c r="S44" s="94">
        <f t="shared" si="8"/>
        <v>7103.397123359191</v>
      </c>
      <c r="T44" s="96" t="str">
        <f t="shared" ca="1" si="7"/>
        <v>=S40*$C$27</v>
      </c>
    </row>
    <row r="45" spans="1:27" s="25" customFormat="1" x14ac:dyDescent="0.25">
      <c r="B45" s="92" t="s">
        <v>5</v>
      </c>
      <c r="J45" s="25">
        <f>SUM(J43:J44)</f>
        <v>11249.243550000001</v>
      </c>
      <c r="K45" s="25">
        <f t="shared" ref="K45:S45" si="9">SUM(K43:K44)</f>
        <v>27555.022075724999</v>
      </c>
      <c r="L45" s="25">
        <f t="shared" si="9"/>
        <v>45933.023755795497</v>
      </c>
      <c r="M45" s="25">
        <f t="shared" si="9"/>
        <v>66583.745686005233</v>
      </c>
      <c r="N45" s="25">
        <f t="shared" si="9"/>
        <v>89724.994441773961</v>
      </c>
      <c r="O45" s="25">
        <f t="shared" si="9"/>
        <v>114887.79026203758</v>
      </c>
      <c r="P45" s="25">
        <f t="shared" si="9"/>
        <v>108842.9691774005</v>
      </c>
      <c r="Q45" s="25">
        <f t="shared" si="9"/>
        <v>102600.44394468446</v>
      </c>
      <c r="R45" s="25">
        <f t="shared" si="9"/>
        <v>96278.39439963433</v>
      </c>
      <c r="S45" s="25">
        <f t="shared" si="9"/>
        <v>89976.363562549726</v>
      </c>
      <c r="T45" s="96" t="str">
        <f t="shared" ca="1" si="7"/>
        <v>=SUM(S43:S44)</v>
      </c>
    </row>
    <row r="46" spans="1:27" x14ac:dyDescent="0.25">
      <c r="A46" s="15"/>
      <c r="B46" s="15"/>
      <c r="C46" s="15"/>
      <c r="H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94"/>
    </row>
    <row r="47" spans="1:27" x14ac:dyDescent="0.25">
      <c r="A47" s="15"/>
      <c r="B47" s="15" t="s">
        <v>7</v>
      </c>
      <c r="C47" s="15"/>
      <c r="H47" s="15"/>
      <c r="J47" s="87">
        <f>$C$29*J43+$C$30*J44-IF(J3&gt;$C$22,$C$31*(YEAR(J3)-YEAR($C$22))*J45)</f>
        <v>9132.6095662500011</v>
      </c>
      <c r="K47" s="94">
        <f t="shared" ref="K47:S47" si="10">$C$29*K43+$C$30*K44-IF(K3&gt;$C$22,$C$31*(YEAR(K3)-YEAR($C$22))*K45)</f>
        <v>22370.327132529375</v>
      </c>
      <c r="L47" s="94">
        <f t="shared" si="10"/>
        <v>37290.362707007662</v>
      </c>
      <c r="M47" s="94">
        <f t="shared" si="10"/>
        <v>54055.488274033196</v>
      </c>
      <c r="N47" s="94">
        <f t="shared" si="10"/>
        <v>72842.528382334916</v>
      </c>
      <c r="O47" s="94">
        <f t="shared" si="10"/>
        <v>93270.745515364717</v>
      </c>
      <c r="P47" s="94">
        <f t="shared" si="10"/>
        <v>85098.016164751825</v>
      </c>
      <c r="Q47" s="94">
        <f t="shared" si="10"/>
        <v>77139.333776306186</v>
      </c>
      <c r="R47" s="94">
        <f t="shared" si="10"/>
        <v>69497.79890478868</v>
      </c>
      <c r="S47" s="94">
        <f t="shared" si="10"/>
        <v>62249.436791037711</v>
      </c>
      <c r="T47" s="96" t="str">
        <f t="shared" ref="T47:T48" ca="1" si="11">_xlfn.FORMULATEXT(S47)</f>
        <v>=$C$29*S43+$C$30*S44-IF(S3&gt;$C$22,$C$31*(YEAR(S3)-YEAR($C$22))*S45)</v>
      </c>
      <c r="U47" s="40"/>
      <c r="V47" s="40"/>
      <c r="W47" s="40"/>
      <c r="X47" s="40"/>
      <c r="Y47" s="40"/>
      <c r="Z47" s="40"/>
      <c r="AA47" s="37"/>
    </row>
    <row r="48" spans="1:27" x14ac:dyDescent="0.25">
      <c r="A48" s="15"/>
      <c r="B48" s="15" t="s">
        <v>8</v>
      </c>
      <c r="C48" s="15"/>
      <c r="H48" s="15"/>
      <c r="J48" s="21">
        <f>J47/J45</f>
        <v>0.81184210526315792</v>
      </c>
      <c r="K48" s="21">
        <f t="shared" ref="K48:S48" si="12">K47/K45</f>
        <v>0.81184210526315792</v>
      </c>
      <c r="L48" s="21">
        <f t="shared" si="12"/>
        <v>0.81184210526315792</v>
      </c>
      <c r="M48" s="21">
        <f t="shared" si="12"/>
        <v>0.81184210526315792</v>
      </c>
      <c r="N48" s="21">
        <f t="shared" si="12"/>
        <v>0.81184210526315792</v>
      </c>
      <c r="O48" s="21">
        <f t="shared" si="12"/>
        <v>0.81184210526315781</v>
      </c>
      <c r="P48" s="21">
        <f t="shared" si="12"/>
        <v>0.781842105263158</v>
      </c>
      <c r="Q48" s="21">
        <f t="shared" si="12"/>
        <v>0.75184210526315787</v>
      </c>
      <c r="R48" s="21">
        <f t="shared" si="12"/>
        <v>0.72184210526315795</v>
      </c>
      <c r="S48" s="21">
        <f t="shared" si="12"/>
        <v>0.69184210526315815</v>
      </c>
      <c r="T48" s="96" t="str">
        <f t="shared" ca="1" si="11"/>
        <v>=S47/S45</v>
      </c>
    </row>
    <row r="49" spans="1:22" x14ac:dyDescent="0.25">
      <c r="A49" s="15"/>
      <c r="B49" s="15"/>
      <c r="C49" s="15"/>
      <c r="H49" s="15"/>
      <c r="J49" s="15"/>
      <c r="K49" s="89"/>
      <c r="L49" s="89"/>
      <c r="M49" s="89"/>
      <c r="N49" s="89"/>
      <c r="O49" s="89"/>
      <c r="P49" s="89"/>
      <c r="Q49" s="89"/>
      <c r="R49" s="89"/>
      <c r="S49" s="89"/>
      <c r="T49" s="94"/>
    </row>
    <row r="50" spans="1:22" x14ac:dyDescent="0.25">
      <c r="A50" s="15"/>
      <c r="B50" s="15" t="s">
        <v>117</v>
      </c>
      <c r="C50" s="15"/>
      <c r="H50" s="15"/>
      <c r="J50" s="15">
        <f>-C32*1000</f>
        <v>-20000</v>
      </c>
      <c r="K50" s="89">
        <f>J50*IF(K3&gt;$C$22,(1-$C$34),(1+$C$33))</f>
        <v>-20800</v>
      </c>
      <c r="L50" s="94">
        <f t="shared" ref="L50:S50" si="13">K50*IF(L3&gt;$C$22,(1-$C$34),(1+$C$33))</f>
        <v>-21632</v>
      </c>
      <c r="M50" s="94">
        <f t="shared" si="13"/>
        <v>-22497.280000000002</v>
      </c>
      <c r="N50" s="94">
        <f t="shared" si="13"/>
        <v>-23397.171200000004</v>
      </c>
      <c r="O50" s="94">
        <f t="shared" si="13"/>
        <v>-24333.058048000006</v>
      </c>
      <c r="P50" s="94">
        <f t="shared" si="13"/>
        <v>-19466.446438400006</v>
      </c>
      <c r="Q50" s="94">
        <f t="shared" si="13"/>
        <v>-15573.157150720006</v>
      </c>
      <c r="R50" s="94">
        <f t="shared" si="13"/>
        <v>-12458.525720576006</v>
      </c>
      <c r="S50" s="94">
        <f t="shared" si="13"/>
        <v>-9966.8205764608065</v>
      </c>
      <c r="T50" s="96" t="str">
        <f t="shared" ref="T50:T51" ca="1" si="14">_xlfn.FORMULATEXT(S50)</f>
        <v>=R50*IF(S3&gt;$C$22,(1-$C$34),(1+$C$33))</v>
      </c>
      <c r="U50" s="40"/>
      <c r="V50" s="40"/>
    </row>
    <row r="51" spans="1:22" x14ac:dyDescent="0.25">
      <c r="A51" s="15"/>
      <c r="B51" s="15" t="s">
        <v>118</v>
      </c>
      <c r="C51" s="15"/>
      <c r="H51" s="15"/>
      <c r="J51" s="15">
        <f>-$C$35*J43</f>
        <v>-2590.28634375</v>
      </c>
      <c r="K51" s="94">
        <f t="shared" ref="K51:S51" si="15">-$C$35*K43</f>
        <v>-6344.9063990156246</v>
      </c>
      <c r="L51" s="94">
        <f t="shared" si="15"/>
        <v>-10576.683101663437</v>
      </c>
      <c r="M51" s="94">
        <f t="shared" si="15"/>
        <v>-15331.783546119625</v>
      </c>
      <c r="N51" s="94">
        <f t="shared" si="15"/>
        <v>-20660.360562250582</v>
      </c>
      <c r="O51" s="94">
        <f t="shared" si="15"/>
        <v>-26454.42538928497</v>
      </c>
      <c r="P51" s="94">
        <f t="shared" si="15"/>
        <v>-25062.525797427748</v>
      </c>
      <c r="Q51" s="94">
        <f t="shared" si="15"/>
        <v>-23625.102224104976</v>
      </c>
      <c r="R51" s="94">
        <f t="shared" si="15"/>
        <v>-22169.367131494746</v>
      </c>
      <c r="S51" s="94">
        <f t="shared" si="15"/>
        <v>-20718.241609797635</v>
      </c>
      <c r="T51" s="96" t="str">
        <f t="shared" ca="1" si="14"/>
        <v>=-$C$35*S43</v>
      </c>
    </row>
    <row r="52" spans="1:22" x14ac:dyDescent="0.25">
      <c r="A52" s="15"/>
      <c r="B52" s="15"/>
      <c r="C52" s="15"/>
      <c r="H52" s="15"/>
      <c r="J52" s="15"/>
      <c r="K52" s="89"/>
      <c r="L52" s="89"/>
      <c r="M52" s="89"/>
      <c r="N52" s="89"/>
      <c r="O52" s="89"/>
      <c r="P52" s="89"/>
      <c r="Q52" s="89"/>
      <c r="R52" s="89"/>
      <c r="S52" s="89"/>
      <c r="T52" s="94"/>
    </row>
    <row r="53" spans="1:22" s="25" customFormat="1" x14ac:dyDescent="0.25">
      <c r="B53" s="92" t="s">
        <v>15</v>
      </c>
      <c r="J53" s="25">
        <f>J47+J50+J51</f>
        <v>-13457.676777499999</v>
      </c>
      <c r="K53" s="25">
        <f t="shared" ref="K53:S53" si="16">K47+K50+K51</f>
        <v>-4774.5792664862493</v>
      </c>
      <c r="L53" s="25">
        <f t="shared" si="16"/>
        <v>5081.6796053442249</v>
      </c>
      <c r="M53" s="25">
        <f t="shared" si="16"/>
        <v>16226.424727913569</v>
      </c>
      <c r="N53" s="25">
        <f t="shared" si="16"/>
        <v>28784.99662008433</v>
      </c>
      <c r="O53" s="25">
        <f t="shared" si="16"/>
        <v>42483.262078079744</v>
      </c>
      <c r="P53" s="25">
        <f t="shared" si="16"/>
        <v>40569.043928924075</v>
      </c>
      <c r="Q53" s="25">
        <f t="shared" si="16"/>
        <v>37941.074401481208</v>
      </c>
      <c r="R53" s="25">
        <f t="shared" si="16"/>
        <v>34869.906052717924</v>
      </c>
      <c r="S53" s="25">
        <f t="shared" si="16"/>
        <v>31564.37460477927</v>
      </c>
      <c r="T53" s="96" t="str">
        <f t="shared" ref="T53:T54" ca="1" si="17">_xlfn.FORMULATEXT(S53)</f>
        <v>=S47+S50+S51</v>
      </c>
    </row>
    <row r="54" spans="1:22" x14ac:dyDescent="0.25">
      <c r="A54" s="15"/>
      <c r="B54" s="15" t="s">
        <v>16</v>
      </c>
      <c r="C54" s="15"/>
      <c r="H54" s="15"/>
      <c r="J54" s="21">
        <f>J53/J45</f>
        <v>-1.1963183762253951</v>
      </c>
      <c r="K54" s="21">
        <f t="shared" ref="K54:S54" si="18">K53/K45</f>
        <v>-0.17327437638645496</v>
      </c>
      <c r="L54" s="21">
        <f t="shared" si="18"/>
        <v>0.11063237709673</v>
      </c>
      <c r="M54" s="21">
        <f t="shared" si="18"/>
        <v>0.24369948792658697</v>
      </c>
      <c r="N54" s="21">
        <f t="shared" si="18"/>
        <v>0.32081357930608773</v>
      </c>
      <c r="O54" s="21">
        <f t="shared" si="18"/>
        <v>0.36978047868431763</v>
      </c>
      <c r="P54" s="21">
        <f t="shared" si="18"/>
        <v>0.37273003700222085</v>
      </c>
      <c r="Q54" s="21">
        <f t="shared" si="18"/>
        <v>0.36979444671737077</v>
      </c>
      <c r="R54" s="21">
        <f t="shared" si="18"/>
        <v>0.36217789328703598</v>
      </c>
      <c r="S54" s="21">
        <f t="shared" si="18"/>
        <v>0.35080740491180623</v>
      </c>
      <c r="T54" s="96" t="str">
        <f t="shared" ca="1" si="17"/>
        <v>=S53/S45</v>
      </c>
    </row>
    <row r="55" spans="1:22" x14ac:dyDescent="0.25">
      <c r="A55" s="15"/>
      <c r="B55" s="15"/>
      <c r="C55" s="15"/>
      <c r="H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2" s="15" customFormat="1" ht="15.75" x14ac:dyDescent="0.25">
      <c r="A56" s="32" t="s">
        <v>94</v>
      </c>
    </row>
    <row r="57" spans="1:22" x14ac:dyDescent="0.25">
      <c r="A57" s="15"/>
      <c r="B57" s="15" t="s">
        <v>98</v>
      </c>
      <c r="C57" s="15"/>
      <c r="H57" s="15">
        <f>C12/C16*1000</f>
        <v>3528.3333333333335</v>
      </c>
      <c r="I57" s="15">
        <f>H57*(1+I58)</f>
        <v>4057.583333333333</v>
      </c>
      <c r="J57" s="94">
        <f t="shared" ref="J57:S57" si="19">I57*(1+J58)</f>
        <v>4666.2208333333328</v>
      </c>
      <c r="K57" s="94">
        <f t="shared" si="19"/>
        <v>5366.1539583333324</v>
      </c>
      <c r="L57" s="94">
        <f t="shared" si="19"/>
        <v>6171.0770520833321</v>
      </c>
      <c r="M57" s="94">
        <f t="shared" si="19"/>
        <v>7096.7386098958314</v>
      </c>
      <c r="N57" s="94">
        <f t="shared" si="19"/>
        <v>8161.2494013802052</v>
      </c>
      <c r="O57" s="94">
        <f t="shared" si="19"/>
        <v>9263.0180705665334</v>
      </c>
      <c r="P57" s="94">
        <f t="shared" si="19"/>
        <v>10388.474766140367</v>
      </c>
      <c r="Q57" s="94">
        <f t="shared" si="19"/>
        <v>11524.454481817816</v>
      </c>
      <c r="R57" s="94">
        <f t="shared" si="19"/>
        <v>12658.633669645917</v>
      </c>
      <c r="S57" s="94">
        <f t="shared" si="19"/>
        <v>13779.853158984301</v>
      </c>
      <c r="T57" s="15"/>
    </row>
    <row r="58" spans="1:22" x14ac:dyDescent="0.25">
      <c r="A58" s="15"/>
      <c r="B58" s="15" t="s">
        <v>99</v>
      </c>
      <c r="C58" s="15"/>
      <c r="H58" s="15"/>
      <c r="I58" s="34">
        <v>0.15</v>
      </c>
      <c r="J58" s="34">
        <v>0.15</v>
      </c>
      <c r="K58" s="34">
        <v>0.15</v>
      </c>
      <c r="L58" s="34">
        <v>0.15</v>
      </c>
      <c r="M58" s="34">
        <v>0.15</v>
      </c>
      <c r="N58" s="34">
        <v>0.15</v>
      </c>
      <c r="O58" s="34">
        <f>N58*0.9</f>
        <v>0.13500000000000001</v>
      </c>
      <c r="P58" s="34">
        <f>O58*0.9</f>
        <v>0.12150000000000001</v>
      </c>
      <c r="Q58" s="34">
        <f>P58*0.9</f>
        <v>0.10935000000000002</v>
      </c>
      <c r="R58" s="34">
        <f>Q58*0.9</f>
        <v>9.8415000000000016E-2</v>
      </c>
      <c r="S58" s="34">
        <f>R58*0.9</f>
        <v>8.8573500000000013E-2</v>
      </c>
      <c r="T58" s="15"/>
    </row>
    <row r="59" spans="1:22" x14ac:dyDescent="0.25">
      <c r="A59" s="15"/>
      <c r="B59" s="15"/>
      <c r="C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2" x14ac:dyDescent="0.25">
      <c r="A60" s="15"/>
      <c r="B60" s="15" t="s">
        <v>100</v>
      </c>
      <c r="C60" s="34">
        <v>0.9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2" x14ac:dyDescent="0.25">
      <c r="A61" s="15"/>
      <c r="B61" s="15" t="str">
        <f>"Peak market share (" &amp; YEAR(INDEX(I3:S3,MATCH(MAX(I72:S72),I72:S72,0))) &amp; ")"</f>
        <v>Peak market share (2027)</v>
      </c>
      <c r="C61" s="36">
        <f>INDEX(I3:S3,MATCH(MAX(K72:S72),I72:S72,0))</f>
        <v>46752</v>
      </c>
      <c r="D61" s="96" t="str">
        <f t="shared" ref="D61" ca="1" si="20">_xlfn.FORMULATEXT(C61)</f>
        <v>=INDEX(I3:S3,MATCH(MAX(K72:S72),I72:S72,0))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2" x14ac:dyDescent="0.25">
      <c r="A62" s="15"/>
      <c r="B62" s="15"/>
      <c r="C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2" x14ac:dyDescent="0.25">
      <c r="A63" s="15"/>
      <c r="B63" s="15" t="s">
        <v>103</v>
      </c>
      <c r="C63" s="34">
        <v>0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2" x14ac:dyDescent="0.25">
      <c r="A64" s="15"/>
      <c r="B64" s="15" t="s">
        <v>105</v>
      </c>
      <c r="C64" s="34">
        <v>0.3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 x14ac:dyDescent="0.25">
      <c r="A65" s="15"/>
      <c r="B65" s="15"/>
      <c r="C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 x14ac:dyDescent="0.25">
      <c r="A66" s="15"/>
      <c r="B66" s="15" t="s">
        <v>106</v>
      </c>
      <c r="C66" s="34">
        <v>0.85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0" x14ac:dyDescent="0.25">
      <c r="A67" s="15"/>
      <c r="B67" s="15" t="s">
        <v>107</v>
      </c>
      <c r="C67" s="34">
        <v>0.95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 s="7" customFormat="1" x14ac:dyDescent="0.25">
      <c r="A68" s="15"/>
      <c r="B68" s="90" t="s">
        <v>214</v>
      </c>
      <c r="C68" s="27">
        <v>0.03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0" x14ac:dyDescent="0.25">
      <c r="A69" s="15"/>
      <c r="B69" s="15" t="s">
        <v>109</v>
      </c>
      <c r="C69" s="26">
        <v>0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 x14ac:dyDescent="0.25">
      <c r="A70" s="15"/>
      <c r="B70" s="15" t="s">
        <v>110</v>
      </c>
      <c r="C70" s="27">
        <v>0.25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 x14ac:dyDescent="0.25">
      <c r="A71" s="15"/>
      <c r="B71" s="15"/>
      <c r="C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x14ac:dyDescent="0.25">
      <c r="A72" s="15"/>
      <c r="B72" s="15" t="s">
        <v>111</v>
      </c>
      <c r="C72" s="15"/>
      <c r="H72" s="15"/>
      <c r="I72" s="15"/>
      <c r="J72" s="15"/>
      <c r="K72" s="29">
        <v>4.0000000000000001E-3</v>
      </c>
      <c r="L72" s="21">
        <f>M72-(M72-$K$72)/COLUMNS($K$72:L72)</f>
        <v>8.2000000000000007E-3</v>
      </c>
      <c r="M72" s="21">
        <f>N72-(N72-$K$72)/COLUMNS($K$72:M72)</f>
        <v>1.2400000000000001E-2</v>
      </c>
      <c r="N72" s="21">
        <f>O72-(O72-$K$72)/COLUMNS($K$72:N72)</f>
        <v>1.66E-2</v>
      </c>
      <c r="O72" s="21">
        <f>P72-(P72-$K$72)/COLUMNS($K$72:O72)</f>
        <v>2.0799999999999999E-2</v>
      </c>
      <c r="P72" s="27">
        <v>2.5000000000000001E-2</v>
      </c>
      <c r="Q72" s="21">
        <f>P72*0.9</f>
        <v>2.2500000000000003E-2</v>
      </c>
      <c r="R72" s="21">
        <f>Q72*0.9</f>
        <v>2.0250000000000004E-2</v>
      </c>
      <c r="S72" s="21">
        <f>R72*0.9</f>
        <v>1.8225000000000005E-2</v>
      </c>
      <c r="T72" s="96" t="str">
        <f t="shared" ref="T72:T75" ca="1" si="21">_xlfn.FORMULATEXT(S72)</f>
        <v>=R72*0.9</v>
      </c>
    </row>
    <row r="73" spans="1:20" x14ac:dyDescent="0.25">
      <c r="A73" s="15"/>
      <c r="B73" s="89" t="s">
        <v>217</v>
      </c>
      <c r="C73" s="15"/>
      <c r="H73" s="15"/>
      <c r="I73" s="15"/>
      <c r="J73" s="15"/>
      <c r="K73" s="15">
        <f>K57*K72*1000</f>
        <v>21464.61583333333</v>
      </c>
      <c r="L73" s="94">
        <f t="shared" ref="L73:S73" si="22">L57*L72*1000</f>
        <v>50602.831827083326</v>
      </c>
      <c r="M73" s="94">
        <f t="shared" si="22"/>
        <v>87999.558762708315</v>
      </c>
      <c r="N73" s="94">
        <f t="shared" si="22"/>
        <v>135476.74006291141</v>
      </c>
      <c r="O73" s="94">
        <f t="shared" si="22"/>
        <v>192670.77586778387</v>
      </c>
      <c r="P73" s="94">
        <f t="shared" si="22"/>
        <v>259711.86915350921</v>
      </c>
      <c r="Q73" s="94">
        <f t="shared" si="22"/>
        <v>259300.22584090091</v>
      </c>
      <c r="R73" s="94">
        <f t="shared" si="22"/>
        <v>256337.3318103299</v>
      </c>
      <c r="S73" s="94">
        <f t="shared" si="22"/>
        <v>251137.82382248895</v>
      </c>
      <c r="T73" s="96" t="str">
        <f t="shared" ca="1" si="21"/>
        <v>=S57*S72*1000</v>
      </c>
    </row>
    <row r="74" spans="1:20" x14ac:dyDescent="0.25">
      <c r="A74" s="15"/>
      <c r="B74" s="3" t="s">
        <v>112</v>
      </c>
      <c r="C74" s="15"/>
      <c r="H74" s="15"/>
      <c r="I74" s="15"/>
      <c r="J74" s="15"/>
      <c r="K74" s="15">
        <f>K73*$C$63</f>
        <v>0</v>
      </c>
      <c r="L74" s="94">
        <f t="shared" ref="L74:S74" si="23">L73*$C$63</f>
        <v>0</v>
      </c>
      <c r="M74" s="94">
        <f t="shared" si="23"/>
        <v>0</v>
      </c>
      <c r="N74" s="94">
        <f t="shared" si="23"/>
        <v>0</v>
      </c>
      <c r="O74" s="94">
        <f t="shared" si="23"/>
        <v>0</v>
      </c>
      <c r="P74" s="94">
        <f t="shared" si="23"/>
        <v>0</v>
      </c>
      <c r="Q74" s="94">
        <f t="shared" si="23"/>
        <v>0</v>
      </c>
      <c r="R74" s="94">
        <f t="shared" si="23"/>
        <v>0</v>
      </c>
      <c r="S74" s="94">
        <f t="shared" si="23"/>
        <v>0</v>
      </c>
      <c r="T74" s="96" t="str">
        <f t="shared" ca="1" si="21"/>
        <v>=S73*$C$63</v>
      </c>
    </row>
    <row r="75" spans="1:20" x14ac:dyDescent="0.25">
      <c r="A75" s="15"/>
      <c r="B75" s="3" t="s">
        <v>113</v>
      </c>
      <c r="C75" s="15"/>
      <c r="H75" s="15"/>
      <c r="I75" s="15"/>
      <c r="J75" s="15"/>
      <c r="K75" s="15">
        <f>K73-K74</f>
        <v>21464.61583333333</v>
      </c>
      <c r="L75" s="94">
        <f t="shared" ref="L75:S75" si="24">L73-L74</f>
        <v>50602.831827083326</v>
      </c>
      <c r="M75" s="94">
        <f t="shared" si="24"/>
        <v>87999.558762708315</v>
      </c>
      <c r="N75" s="94">
        <f t="shared" si="24"/>
        <v>135476.74006291141</v>
      </c>
      <c r="O75" s="94">
        <f t="shared" si="24"/>
        <v>192670.77586778387</v>
      </c>
      <c r="P75" s="94">
        <f t="shared" si="24"/>
        <v>259711.86915350921</v>
      </c>
      <c r="Q75" s="94">
        <f t="shared" si="24"/>
        <v>259300.22584090091</v>
      </c>
      <c r="R75" s="94">
        <f t="shared" si="24"/>
        <v>256337.3318103299</v>
      </c>
      <c r="S75" s="94">
        <f t="shared" si="24"/>
        <v>251137.82382248895</v>
      </c>
      <c r="T75" s="96" t="str">
        <f t="shared" ca="1" si="21"/>
        <v>=S73-S74</v>
      </c>
    </row>
    <row r="76" spans="1:20" x14ac:dyDescent="0.25">
      <c r="A76" s="15"/>
      <c r="B76" s="15"/>
      <c r="C76" s="15"/>
      <c r="H76" s="15"/>
      <c r="I76" s="15"/>
      <c r="J76" s="15"/>
      <c r="K76" s="15"/>
      <c r="L76" s="94"/>
      <c r="M76" s="94"/>
      <c r="N76" s="94"/>
      <c r="O76" s="94"/>
      <c r="P76" s="94"/>
      <c r="Q76" s="94"/>
      <c r="R76" s="94"/>
      <c r="S76" s="94"/>
      <c r="T76" s="94"/>
    </row>
    <row r="77" spans="1:20" x14ac:dyDescent="0.25">
      <c r="A77" s="15"/>
      <c r="B77" s="15" t="s">
        <v>114</v>
      </c>
      <c r="C77" s="15"/>
      <c r="H77" s="15"/>
      <c r="I77" s="15"/>
      <c r="J77" s="15"/>
      <c r="K77" s="15"/>
      <c r="L77" s="94"/>
      <c r="M77" s="94"/>
      <c r="N77" s="94"/>
      <c r="O77" s="94"/>
      <c r="P77" s="94"/>
      <c r="Q77" s="94"/>
      <c r="R77" s="94"/>
      <c r="S77" s="94"/>
      <c r="T77" s="94"/>
    </row>
    <row r="78" spans="1:20" x14ac:dyDescent="0.25">
      <c r="A78" s="15"/>
      <c r="B78" s="15" t="s">
        <v>115</v>
      </c>
      <c r="C78" s="15"/>
      <c r="H78" s="15"/>
      <c r="I78" s="15"/>
      <c r="J78" s="15"/>
      <c r="K78" s="15">
        <f>K74</f>
        <v>0</v>
      </c>
      <c r="L78" s="94">
        <f t="shared" ref="L78:S78" si="25">L74</f>
        <v>0</v>
      </c>
      <c r="M78" s="94">
        <f t="shared" si="25"/>
        <v>0</v>
      </c>
      <c r="N78" s="94">
        <f t="shared" si="25"/>
        <v>0</v>
      </c>
      <c r="O78" s="94">
        <f t="shared" si="25"/>
        <v>0</v>
      </c>
      <c r="P78" s="94">
        <f t="shared" si="25"/>
        <v>0</v>
      </c>
      <c r="Q78" s="94">
        <f t="shared" si="25"/>
        <v>0</v>
      </c>
      <c r="R78" s="94">
        <f t="shared" si="25"/>
        <v>0</v>
      </c>
      <c r="S78" s="94">
        <f t="shared" si="25"/>
        <v>0</v>
      </c>
      <c r="T78" s="96" t="str">
        <f t="shared" ref="T78:T80" ca="1" si="26">_xlfn.FORMULATEXT(S78)</f>
        <v>=S74</v>
      </c>
    </row>
    <row r="79" spans="1:20" x14ac:dyDescent="0.25">
      <c r="A79" s="15"/>
      <c r="B79" s="15" t="s">
        <v>116</v>
      </c>
      <c r="C79" s="15"/>
      <c r="H79" s="15"/>
      <c r="I79" s="15"/>
      <c r="J79" s="15"/>
      <c r="K79" s="15">
        <f>K75*$C$64</f>
        <v>6439.3847499999983</v>
      </c>
      <c r="L79" s="94">
        <f t="shared" ref="L79:S79" si="27">L75*$C$64</f>
        <v>15180.849548124997</v>
      </c>
      <c r="M79" s="94">
        <f t="shared" si="27"/>
        <v>26399.867628812495</v>
      </c>
      <c r="N79" s="94">
        <f t="shared" si="27"/>
        <v>40643.022018873424</v>
      </c>
      <c r="O79" s="94">
        <f t="shared" si="27"/>
        <v>57801.232760335159</v>
      </c>
      <c r="P79" s="94">
        <f t="shared" si="27"/>
        <v>77913.560746052754</v>
      </c>
      <c r="Q79" s="94">
        <f t="shared" si="27"/>
        <v>77790.067752270275</v>
      </c>
      <c r="R79" s="94">
        <f t="shared" si="27"/>
        <v>76901.199543098963</v>
      </c>
      <c r="S79" s="94">
        <f t="shared" si="27"/>
        <v>75341.347146746688</v>
      </c>
      <c r="T79" s="96" t="str">
        <f t="shared" ca="1" si="26"/>
        <v>=S75*$C$64</v>
      </c>
    </row>
    <row r="80" spans="1:20" s="25" customFormat="1" x14ac:dyDescent="0.25">
      <c r="B80" s="92" t="s">
        <v>5</v>
      </c>
      <c r="K80" s="25">
        <f>SUM(K78:K79)</f>
        <v>6439.3847499999983</v>
      </c>
      <c r="L80" s="25">
        <f t="shared" ref="L80:S80" si="28">SUM(L78:L79)</f>
        <v>15180.849548124997</v>
      </c>
      <c r="M80" s="25">
        <f t="shared" si="28"/>
        <v>26399.867628812495</v>
      </c>
      <c r="N80" s="25">
        <f t="shared" si="28"/>
        <v>40643.022018873424</v>
      </c>
      <c r="O80" s="25">
        <f t="shared" si="28"/>
        <v>57801.232760335159</v>
      </c>
      <c r="P80" s="25">
        <f t="shared" si="28"/>
        <v>77913.560746052754</v>
      </c>
      <c r="Q80" s="25">
        <f t="shared" si="28"/>
        <v>77790.067752270275</v>
      </c>
      <c r="R80" s="25">
        <f t="shared" si="28"/>
        <v>76901.199543098963</v>
      </c>
      <c r="S80" s="25">
        <f t="shared" si="28"/>
        <v>75341.347146746688</v>
      </c>
      <c r="T80" s="96" t="str">
        <f t="shared" ca="1" si="26"/>
        <v>=SUM(S78:S79)</v>
      </c>
    </row>
    <row r="81" spans="1:20" x14ac:dyDescent="0.25">
      <c r="A81" s="15"/>
      <c r="B81" s="15"/>
      <c r="C81" s="15"/>
      <c r="H81" s="15"/>
      <c r="I81" s="15"/>
      <c r="J81" s="15"/>
      <c r="K81" s="15"/>
      <c r="L81" s="94"/>
      <c r="M81" s="94"/>
      <c r="N81" s="94"/>
      <c r="O81" s="94"/>
      <c r="P81" s="94"/>
      <c r="Q81" s="94"/>
      <c r="R81" s="94"/>
      <c r="S81" s="94"/>
      <c r="T81" s="94"/>
    </row>
    <row r="82" spans="1:20" x14ac:dyDescent="0.25">
      <c r="A82" s="15"/>
      <c r="B82" s="15" t="s">
        <v>7</v>
      </c>
      <c r="C82" s="15"/>
      <c r="H82" s="15"/>
      <c r="I82" s="15"/>
      <c r="J82" s="15"/>
      <c r="K82" s="15">
        <f>$C$66*K78+$C$67*K79</f>
        <v>6117.4155124999979</v>
      </c>
      <c r="L82" s="94">
        <f t="shared" ref="L82:S82" si="29">$C$66*L78+$C$67*L79</f>
        <v>14421.807070718747</v>
      </c>
      <c r="M82" s="94">
        <f t="shared" si="29"/>
        <v>25079.87424737187</v>
      </c>
      <c r="N82" s="94">
        <f t="shared" si="29"/>
        <v>38610.870917929751</v>
      </c>
      <c r="O82" s="94">
        <f t="shared" si="29"/>
        <v>54911.171122318396</v>
      </c>
      <c r="P82" s="94">
        <f t="shared" si="29"/>
        <v>74017.882708750112</v>
      </c>
      <c r="Q82" s="94">
        <f t="shared" si="29"/>
        <v>73900.564364656762</v>
      </c>
      <c r="R82" s="94">
        <f t="shared" si="29"/>
        <v>73056.139565944017</v>
      </c>
      <c r="S82" s="94">
        <f t="shared" si="29"/>
        <v>71574.279789409353</v>
      </c>
      <c r="T82" s="96" t="str">
        <f t="shared" ref="T82:T83" ca="1" si="30">_xlfn.FORMULATEXT(S82)</f>
        <v>=$C$66*S78+$C$67*S79</v>
      </c>
    </row>
    <row r="83" spans="1:20" x14ac:dyDescent="0.25">
      <c r="A83" s="15"/>
      <c r="B83" s="15" t="s">
        <v>8</v>
      </c>
      <c r="C83" s="15"/>
      <c r="H83" s="15"/>
      <c r="I83" s="15"/>
      <c r="J83" s="15"/>
      <c r="K83" s="21">
        <f>K82/K80</f>
        <v>0.95</v>
      </c>
      <c r="L83" s="21">
        <f t="shared" ref="L83:S83" si="31">L82/L80</f>
        <v>0.95</v>
      </c>
      <c r="M83" s="21">
        <f t="shared" si="31"/>
        <v>0.95</v>
      </c>
      <c r="N83" s="21">
        <f t="shared" si="31"/>
        <v>0.95</v>
      </c>
      <c r="O83" s="21">
        <f t="shared" si="31"/>
        <v>0.95</v>
      </c>
      <c r="P83" s="21">
        <f t="shared" si="31"/>
        <v>0.95</v>
      </c>
      <c r="Q83" s="21">
        <f t="shared" si="31"/>
        <v>0.95</v>
      </c>
      <c r="R83" s="21">
        <f t="shared" si="31"/>
        <v>0.95000000000000007</v>
      </c>
      <c r="S83" s="21">
        <f t="shared" si="31"/>
        <v>0.95</v>
      </c>
      <c r="T83" s="96" t="str">
        <f t="shared" ca="1" si="30"/>
        <v>=S82/S80</v>
      </c>
    </row>
    <row r="84" spans="1:20" x14ac:dyDescent="0.25">
      <c r="A84" s="15"/>
      <c r="B84" s="15"/>
      <c r="C84" s="15"/>
      <c r="H84" s="15"/>
      <c r="I84" s="15"/>
      <c r="J84" s="15"/>
      <c r="K84" s="15"/>
      <c r="L84" s="94"/>
      <c r="M84" s="94"/>
      <c r="N84" s="94"/>
      <c r="O84" s="94"/>
      <c r="P84" s="94"/>
      <c r="Q84" s="94"/>
      <c r="R84" s="94"/>
      <c r="S84" s="94"/>
      <c r="T84" s="94"/>
    </row>
    <row r="85" spans="1:20" x14ac:dyDescent="0.25">
      <c r="A85" s="15"/>
      <c r="B85" s="15" t="s">
        <v>117</v>
      </c>
      <c r="C85" s="15"/>
      <c r="H85" s="15"/>
      <c r="I85" s="15"/>
      <c r="J85" s="15"/>
      <c r="K85" s="15">
        <f>-C69*1000</f>
        <v>0</v>
      </c>
      <c r="L85" s="94">
        <f t="shared" ref="L85:S85" si="32">-D69*1000</f>
        <v>0</v>
      </c>
      <c r="M85" s="94">
        <f t="shared" si="32"/>
        <v>0</v>
      </c>
      <c r="N85" s="94">
        <f t="shared" si="32"/>
        <v>0</v>
      </c>
      <c r="O85" s="94">
        <f t="shared" si="32"/>
        <v>0</v>
      </c>
      <c r="P85" s="94">
        <f t="shared" si="32"/>
        <v>0</v>
      </c>
      <c r="Q85" s="94">
        <f t="shared" si="32"/>
        <v>0</v>
      </c>
      <c r="R85" s="94">
        <f t="shared" si="32"/>
        <v>0</v>
      </c>
      <c r="S85" s="94">
        <f t="shared" si="32"/>
        <v>0</v>
      </c>
      <c r="T85" s="96" t="str">
        <f t="shared" ref="T85:T86" ca="1" si="33">_xlfn.FORMULATEXT(S85)</f>
        <v>=-K69*1000</v>
      </c>
    </row>
    <row r="86" spans="1:20" x14ac:dyDescent="0.25">
      <c r="A86" s="15"/>
      <c r="B86" s="15" t="s">
        <v>118</v>
      </c>
      <c r="C86" s="15"/>
      <c r="H86" s="15"/>
      <c r="I86" s="15"/>
      <c r="J86" s="15"/>
      <c r="K86" s="15">
        <f>-C70*K78</f>
        <v>0</v>
      </c>
      <c r="L86" s="94">
        <f t="shared" ref="L86:S86" si="34">-D70*L78</f>
        <v>0</v>
      </c>
      <c r="M86" s="94">
        <f t="shared" si="34"/>
        <v>0</v>
      </c>
      <c r="N86" s="94">
        <f t="shared" si="34"/>
        <v>0</v>
      </c>
      <c r="O86" s="94">
        <f t="shared" si="34"/>
        <v>0</v>
      </c>
      <c r="P86" s="94">
        <f t="shared" si="34"/>
        <v>0</v>
      </c>
      <c r="Q86" s="94">
        <f t="shared" si="34"/>
        <v>0</v>
      </c>
      <c r="R86" s="94">
        <f t="shared" si="34"/>
        <v>0</v>
      </c>
      <c r="S86" s="94">
        <f t="shared" si="34"/>
        <v>0</v>
      </c>
      <c r="T86" s="96" t="str">
        <f t="shared" ca="1" si="33"/>
        <v>=-K70*S78</v>
      </c>
    </row>
    <row r="87" spans="1:20" x14ac:dyDescent="0.25">
      <c r="A87" s="15"/>
      <c r="B87" s="15"/>
      <c r="C87" s="15"/>
      <c r="H87" s="15"/>
      <c r="I87" s="15"/>
      <c r="J87" s="15"/>
      <c r="K87" s="15"/>
      <c r="L87" s="94"/>
      <c r="M87" s="94"/>
      <c r="N87" s="94"/>
      <c r="O87" s="94"/>
      <c r="P87" s="94"/>
      <c r="Q87" s="94"/>
      <c r="R87" s="94"/>
      <c r="S87" s="94"/>
      <c r="T87" s="94"/>
    </row>
    <row r="88" spans="1:20" s="25" customFormat="1" x14ac:dyDescent="0.25">
      <c r="B88" s="92" t="s">
        <v>15</v>
      </c>
      <c r="K88" s="25">
        <f>K82+K85+K86</f>
        <v>6117.4155124999979</v>
      </c>
      <c r="L88" s="25">
        <f t="shared" ref="L88:S88" si="35">L82+L85+L86</f>
        <v>14421.807070718747</v>
      </c>
      <c r="M88" s="25">
        <f t="shared" si="35"/>
        <v>25079.87424737187</v>
      </c>
      <c r="N88" s="25">
        <f t="shared" si="35"/>
        <v>38610.870917929751</v>
      </c>
      <c r="O88" s="25">
        <f t="shared" si="35"/>
        <v>54911.171122318396</v>
      </c>
      <c r="P88" s="25">
        <f t="shared" si="35"/>
        <v>74017.882708750112</v>
      </c>
      <c r="Q88" s="25">
        <f t="shared" si="35"/>
        <v>73900.564364656762</v>
      </c>
      <c r="R88" s="25">
        <f t="shared" si="35"/>
        <v>73056.139565944017</v>
      </c>
      <c r="S88" s="25">
        <f t="shared" si="35"/>
        <v>71574.279789409353</v>
      </c>
      <c r="T88" s="96" t="str">
        <f t="shared" ref="T88:T89" ca="1" si="36">_xlfn.FORMULATEXT(S88)</f>
        <v>=S82+S85+S86</v>
      </c>
    </row>
    <row r="89" spans="1:20" x14ac:dyDescent="0.25">
      <c r="A89" s="15"/>
      <c r="B89" s="15" t="s">
        <v>16</v>
      </c>
      <c r="C89" s="15"/>
      <c r="H89" s="15"/>
      <c r="I89" s="15"/>
      <c r="J89" s="15"/>
      <c r="K89" s="21">
        <f>K88/K80</f>
        <v>0.95</v>
      </c>
      <c r="L89" s="21">
        <f t="shared" ref="L89:S89" si="37">L88/L80</f>
        <v>0.95</v>
      </c>
      <c r="M89" s="21">
        <f t="shared" si="37"/>
        <v>0.95</v>
      </c>
      <c r="N89" s="21">
        <f t="shared" si="37"/>
        <v>0.95</v>
      </c>
      <c r="O89" s="21">
        <f t="shared" si="37"/>
        <v>0.95</v>
      </c>
      <c r="P89" s="21">
        <f t="shared" si="37"/>
        <v>0.95</v>
      </c>
      <c r="Q89" s="21">
        <f t="shared" si="37"/>
        <v>0.95</v>
      </c>
      <c r="R89" s="21">
        <f t="shared" si="37"/>
        <v>0.95000000000000007</v>
      </c>
      <c r="S89" s="21">
        <f t="shared" si="37"/>
        <v>0.95</v>
      </c>
      <c r="T89" s="96" t="str">
        <f t="shared" ca="1" si="36"/>
        <v>=S88/S80</v>
      </c>
    </row>
    <row r="90" spans="1:20" x14ac:dyDescent="0.25">
      <c r="A90" s="15"/>
      <c r="B90" s="15"/>
      <c r="C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s="40" customFormat="1" ht="15.75" x14ac:dyDescent="0.25">
      <c r="A91" s="38" t="s">
        <v>133</v>
      </c>
      <c r="B91" s="39"/>
      <c r="H91" s="41"/>
      <c r="T91" s="15"/>
    </row>
    <row r="92" spans="1:20" x14ac:dyDescent="0.25">
      <c r="A92" s="15"/>
      <c r="B92" s="15" t="s">
        <v>3</v>
      </c>
      <c r="C92" s="15"/>
      <c r="H92" s="15"/>
      <c r="I92" s="15"/>
      <c r="J92" s="15">
        <f>J45+J80</f>
        <v>11249.243550000001</v>
      </c>
      <c r="K92" s="94">
        <f t="shared" ref="K92:S92" si="38">K45+K80</f>
        <v>33994.406825724996</v>
      </c>
      <c r="L92" s="94">
        <f t="shared" si="38"/>
        <v>61113.873303920496</v>
      </c>
      <c r="M92" s="94">
        <f t="shared" si="38"/>
        <v>92983.613314817732</v>
      </c>
      <c r="N92" s="94">
        <f t="shared" si="38"/>
        <v>130368.01646064738</v>
      </c>
      <c r="O92" s="94">
        <f t="shared" si="38"/>
        <v>172689.02302237274</v>
      </c>
      <c r="P92" s="94">
        <f t="shared" si="38"/>
        <v>186756.52992345326</v>
      </c>
      <c r="Q92" s="94">
        <f t="shared" si="38"/>
        <v>180390.51169695472</v>
      </c>
      <c r="R92" s="94">
        <f t="shared" si="38"/>
        <v>173179.59394273331</v>
      </c>
      <c r="S92" s="94">
        <f t="shared" si="38"/>
        <v>165317.7107092964</v>
      </c>
      <c r="T92" s="96" t="str">
        <f t="shared" ref="T92:T97" ca="1" si="39">_xlfn.FORMULATEXT(S92)</f>
        <v>=S45+S80</v>
      </c>
    </row>
    <row r="93" spans="1:20" x14ac:dyDescent="0.25">
      <c r="A93" s="15"/>
      <c r="B93" s="15" t="s">
        <v>7</v>
      </c>
      <c r="C93" s="15"/>
      <c r="H93" s="15"/>
      <c r="I93" s="15"/>
      <c r="J93" s="15">
        <f>J47+J82</f>
        <v>9132.6095662500011</v>
      </c>
      <c r="K93" s="94">
        <f t="shared" ref="K93:S93" si="40">K47+K82</f>
        <v>28487.742645029371</v>
      </c>
      <c r="L93" s="94">
        <f t="shared" si="40"/>
        <v>51712.169777726405</v>
      </c>
      <c r="M93" s="94">
        <f t="shared" si="40"/>
        <v>79135.36252140507</v>
      </c>
      <c r="N93" s="94">
        <f t="shared" si="40"/>
        <v>111453.39930026466</v>
      </c>
      <c r="O93" s="94">
        <f t="shared" si="40"/>
        <v>148181.91663768311</v>
      </c>
      <c r="P93" s="94">
        <f t="shared" si="40"/>
        <v>159115.89887350192</v>
      </c>
      <c r="Q93" s="94">
        <f t="shared" si="40"/>
        <v>151039.89814096293</v>
      </c>
      <c r="R93" s="94">
        <f t="shared" si="40"/>
        <v>142553.93847073271</v>
      </c>
      <c r="S93" s="94">
        <f t="shared" si="40"/>
        <v>133823.71658044707</v>
      </c>
      <c r="T93" s="96" t="str">
        <f t="shared" ca="1" si="39"/>
        <v>=S47+S82</v>
      </c>
    </row>
    <row r="94" spans="1:20" x14ac:dyDescent="0.25">
      <c r="A94" s="15"/>
      <c r="B94" s="15" t="s">
        <v>8</v>
      </c>
      <c r="C94" s="15"/>
      <c r="H94" s="15"/>
      <c r="I94" s="15"/>
      <c r="J94" s="21">
        <f>J93/J92</f>
        <v>0.81184210526315792</v>
      </c>
      <c r="K94" s="21">
        <f t="shared" ref="K94:S94" si="41">K93/K92</f>
        <v>0.83801264105221862</v>
      </c>
      <c r="L94" s="21">
        <f t="shared" si="41"/>
        <v>0.84616089575211129</v>
      </c>
      <c r="M94" s="21">
        <f t="shared" si="41"/>
        <v>0.85106783550638998</v>
      </c>
      <c r="N94" s="21">
        <f t="shared" si="41"/>
        <v>0.85491366921201684</v>
      </c>
      <c r="O94" s="21">
        <f t="shared" si="41"/>
        <v>0.85808532612107835</v>
      </c>
      <c r="P94" s="21">
        <f t="shared" si="41"/>
        <v>0.85199644124207852</v>
      </c>
      <c r="Q94" s="21">
        <f t="shared" si="41"/>
        <v>0.83729402794034391</v>
      </c>
      <c r="R94" s="21">
        <f t="shared" si="41"/>
        <v>0.82315667351588884</v>
      </c>
      <c r="S94" s="21">
        <f t="shared" si="41"/>
        <v>0.80949413106602919</v>
      </c>
      <c r="T94" s="96" t="str">
        <f t="shared" ca="1" si="39"/>
        <v>=S93/S92</v>
      </c>
    </row>
    <row r="95" spans="1:20" x14ac:dyDescent="0.25">
      <c r="A95" s="15"/>
      <c r="B95" s="15" t="s">
        <v>119</v>
      </c>
      <c r="C95" s="15"/>
      <c r="H95" s="15"/>
      <c r="I95" s="15"/>
      <c r="J95" s="15">
        <f>J50+J51+J85+J86</f>
        <v>-22590.286343749998</v>
      </c>
      <c r="K95" s="94">
        <f t="shared" ref="K95:S95" si="42">K50+K51+K85+K86</f>
        <v>-27144.906399015625</v>
      </c>
      <c r="L95" s="94">
        <f t="shared" si="42"/>
        <v>-32208.683101663439</v>
      </c>
      <c r="M95" s="94">
        <f t="shared" si="42"/>
        <v>-37829.063546119629</v>
      </c>
      <c r="N95" s="94">
        <f t="shared" si="42"/>
        <v>-44057.531762250583</v>
      </c>
      <c r="O95" s="94">
        <f t="shared" si="42"/>
        <v>-50787.483437284973</v>
      </c>
      <c r="P95" s="94">
        <f t="shared" si="42"/>
        <v>-44528.97223582775</v>
      </c>
      <c r="Q95" s="94">
        <f t="shared" si="42"/>
        <v>-39198.259374824978</v>
      </c>
      <c r="R95" s="94">
        <f t="shared" si="42"/>
        <v>-34627.892852070756</v>
      </c>
      <c r="S95" s="94">
        <f t="shared" si="42"/>
        <v>-30685.062186258441</v>
      </c>
      <c r="T95" s="96" t="str">
        <f t="shared" ca="1" si="39"/>
        <v>=S50+S51+S85+S86</v>
      </c>
    </row>
    <row r="96" spans="1:20" x14ac:dyDescent="0.25">
      <c r="A96" s="15"/>
      <c r="B96" s="15" t="s">
        <v>15</v>
      </c>
      <c r="C96" s="15"/>
      <c r="H96" s="15"/>
      <c r="I96" s="15"/>
      <c r="J96" s="15">
        <f>J53+J88</f>
        <v>-13457.676777499999</v>
      </c>
      <c r="K96" s="94">
        <f t="shared" ref="K96:S96" si="43">K53+K88</f>
        <v>1342.8362460137487</v>
      </c>
      <c r="L96" s="94">
        <f t="shared" si="43"/>
        <v>19503.486676062974</v>
      </c>
      <c r="M96" s="94">
        <f t="shared" si="43"/>
        <v>41306.298975285441</v>
      </c>
      <c r="N96" s="94">
        <f t="shared" si="43"/>
        <v>67395.867538014078</v>
      </c>
      <c r="O96" s="94">
        <f t="shared" si="43"/>
        <v>97394.43320039814</v>
      </c>
      <c r="P96" s="94">
        <f t="shared" si="43"/>
        <v>114586.92663767419</v>
      </c>
      <c r="Q96" s="94">
        <f t="shared" si="43"/>
        <v>111841.63876613797</v>
      </c>
      <c r="R96" s="94">
        <f t="shared" si="43"/>
        <v>107926.04561866194</v>
      </c>
      <c r="S96" s="94">
        <f t="shared" si="43"/>
        <v>103138.65439418862</v>
      </c>
      <c r="T96" s="96" t="str">
        <f t="shared" ca="1" si="39"/>
        <v>=S53+S88</v>
      </c>
    </row>
    <row r="97" spans="1:22" x14ac:dyDescent="0.25">
      <c r="A97" s="15"/>
      <c r="B97" s="15" t="s">
        <v>16</v>
      </c>
      <c r="C97" s="15"/>
      <c r="H97" s="15"/>
      <c r="I97" s="15"/>
      <c r="J97" s="21">
        <f>J96/J92</f>
        <v>-1.1963183762253951</v>
      </c>
      <c r="K97" s="21">
        <f t="shared" ref="K97:S97" si="44">K96/K92</f>
        <v>3.9501681935440278E-2</v>
      </c>
      <c r="L97" s="21">
        <f t="shared" si="44"/>
        <v>0.31913353910775299</v>
      </c>
      <c r="M97" s="21">
        <f t="shared" si="44"/>
        <v>0.44423202651238475</v>
      </c>
      <c r="N97" s="21">
        <f t="shared" si="44"/>
        <v>0.51696627261609107</v>
      </c>
      <c r="O97" s="21">
        <f t="shared" si="44"/>
        <v>0.56398740056442498</v>
      </c>
      <c r="P97" s="21">
        <f t="shared" si="44"/>
        <v>0.6135631599314918</v>
      </c>
      <c r="Q97" s="21">
        <f t="shared" si="44"/>
        <v>0.61999734749921454</v>
      </c>
      <c r="R97" s="21">
        <f t="shared" si="44"/>
        <v>0.62320301810125922</v>
      </c>
      <c r="S97" s="21">
        <f t="shared" si="44"/>
        <v>0.62388145802208217</v>
      </c>
      <c r="T97" s="96" t="str">
        <f t="shared" ca="1" si="39"/>
        <v>=S96/S92</v>
      </c>
    </row>
    <row r="98" spans="1:22" x14ac:dyDescent="0.25">
      <c r="A98" s="15"/>
      <c r="B98" s="15"/>
      <c r="C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2" s="40" customFormat="1" ht="15.75" x14ac:dyDescent="0.25">
      <c r="A99" s="38" t="s">
        <v>134</v>
      </c>
      <c r="B99" s="39"/>
      <c r="H99" s="41"/>
      <c r="T99" s="15"/>
    </row>
    <row r="100" spans="1:22" x14ac:dyDescent="0.25">
      <c r="A100" s="15"/>
      <c r="B100" s="15" t="s">
        <v>3</v>
      </c>
      <c r="C100" s="15"/>
      <c r="H100" s="15"/>
      <c r="I100" s="15"/>
      <c r="J100" s="40">
        <f>J92*$C$60</f>
        <v>10124.319195000002</v>
      </c>
      <c r="K100" s="40">
        <f t="shared" ref="K100:S100" si="45">K92*$C$60</f>
        <v>30594.966143152498</v>
      </c>
      <c r="L100" s="40">
        <f t="shared" si="45"/>
        <v>55002.485973528448</v>
      </c>
      <c r="M100" s="40">
        <f t="shared" si="45"/>
        <v>83685.251983335955</v>
      </c>
      <c r="N100" s="40">
        <f t="shared" si="45"/>
        <v>117331.21481458265</v>
      </c>
      <c r="O100" s="40">
        <f t="shared" si="45"/>
        <v>155420.12072013548</v>
      </c>
      <c r="P100" s="40">
        <f t="shared" si="45"/>
        <v>168080.87693110792</v>
      </c>
      <c r="Q100" s="40">
        <f t="shared" si="45"/>
        <v>162351.46052725925</v>
      </c>
      <c r="R100" s="40">
        <f t="shared" si="45"/>
        <v>155861.63454845999</v>
      </c>
      <c r="S100" s="40">
        <f t="shared" si="45"/>
        <v>148785.93963836678</v>
      </c>
      <c r="T100" s="96" t="str">
        <f t="shared" ref="T100:T105" ca="1" si="46">_xlfn.FORMULATEXT(S100)</f>
        <v>=S92*$C$60</v>
      </c>
      <c r="V100" s="37"/>
    </row>
    <row r="101" spans="1:22" x14ac:dyDescent="0.25">
      <c r="A101" s="15"/>
      <c r="B101" s="15" t="s">
        <v>7</v>
      </c>
      <c r="C101" s="15"/>
      <c r="H101" s="15"/>
      <c r="I101" s="15"/>
      <c r="J101" s="40">
        <f>J93*$C$60</f>
        <v>8219.3486096250017</v>
      </c>
      <c r="K101" s="40">
        <f t="shared" ref="K101:S101" si="47">K93*$C$60</f>
        <v>25638.968380526436</v>
      </c>
      <c r="L101" s="40">
        <f t="shared" si="47"/>
        <v>46540.952799953768</v>
      </c>
      <c r="M101" s="40">
        <f t="shared" si="47"/>
        <v>71221.826269264566</v>
      </c>
      <c r="N101" s="40">
        <f t="shared" si="47"/>
        <v>100308.0593702382</v>
      </c>
      <c r="O101" s="40">
        <f t="shared" si="47"/>
        <v>133363.7249739148</v>
      </c>
      <c r="P101" s="40">
        <f t="shared" si="47"/>
        <v>143204.30898615174</v>
      </c>
      <c r="Q101" s="40">
        <f t="shared" si="47"/>
        <v>135935.90832686666</v>
      </c>
      <c r="R101" s="40">
        <f t="shared" si="47"/>
        <v>128298.54462365944</v>
      </c>
      <c r="S101" s="40">
        <f t="shared" si="47"/>
        <v>120441.34492240236</v>
      </c>
      <c r="T101" s="96" t="str">
        <f t="shared" ca="1" si="46"/>
        <v>=S93*$C$60</v>
      </c>
      <c r="V101" s="37"/>
    </row>
    <row r="102" spans="1:22" x14ac:dyDescent="0.25">
      <c r="A102" s="15"/>
      <c r="B102" s="15" t="s">
        <v>8</v>
      </c>
      <c r="C102" s="15"/>
      <c r="H102" s="15"/>
      <c r="I102" s="15"/>
      <c r="J102" s="21">
        <f>J101/J100</f>
        <v>0.81184210526315792</v>
      </c>
      <c r="K102" s="21">
        <f t="shared" ref="K102:S102" si="48">K101/K100</f>
        <v>0.83801264105221862</v>
      </c>
      <c r="L102" s="21">
        <f t="shared" si="48"/>
        <v>0.84616089575211129</v>
      </c>
      <c r="M102" s="21">
        <f t="shared" si="48"/>
        <v>0.85106783550639009</v>
      </c>
      <c r="N102" s="21">
        <f t="shared" si="48"/>
        <v>0.85491366921201684</v>
      </c>
      <c r="O102" s="21">
        <f t="shared" si="48"/>
        <v>0.85808532612107813</v>
      </c>
      <c r="P102" s="21">
        <f t="shared" si="48"/>
        <v>0.85199644124207863</v>
      </c>
      <c r="Q102" s="21">
        <f t="shared" si="48"/>
        <v>0.83729402794034402</v>
      </c>
      <c r="R102" s="21">
        <f t="shared" si="48"/>
        <v>0.82315667351588873</v>
      </c>
      <c r="S102" s="21">
        <f t="shared" si="48"/>
        <v>0.80949413106602908</v>
      </c>
      <c r="T102" s="96" t="str">
        <f t="shared" ca="1" si="46"/>
        <v>=S101/S100</v>
      </c>
    </row>
    <row r="103" spans="1:22" x14ac:dyDescent="0.25">
      <c r="A103" s="15"/>
      <c r="B103" s="15" t="s">
        <v>119</v>
      </c>
      <c r="C103" s="15"/>
      <c r="H103" s="15"/>
      <c r="I103" s="15"/>
      <c r="J103" s="40">
        <f>J95*$C$60</f>
        <v>-20331.257709375001</v>
      </c>
      <c r="K103" s="40">
        <f t="shared" ref="K103:S103" si="49">K95*$C$60</f>
        <v>-24430.415759114061</v>
      </c>
      <c r="L103" s="40">
        <f t="shared" si="49"/>
        <v>-28987.814791497094</v>
      </c>
      <c r="M103" s="40">
        <f t="shared" si="49"/>
        <v>-34046.157191507664</v>
      </c>
      <c r="N103" s="40">
        <f t="shared" si="49"/>
        <v>-39651.778586025524</v>
      </c>
      <c r="O103" s="40">
        <f t="shared" si="49"/>
        <v>-45708.735093556475</v>
      </c>
      <c r="P103" s="40">
        <f t="shared" si="49"/>
        <v>-40076.075012244975</v>
      </c>
      <c r="Q103" s="40">
        <f t="shared" si="49"/>
        <v>-35278.433437342479</v>
      </c>
      <c r="R103" s="40">
        <f t="shared" si="49"/>
        <v>-31165.10356686368</v>
      </c>
      <c r="S103" s="40">
        <f t="shared" si="49"/>
        <v>-27616.555967632597</v>
      </c>
      <c r="T103" s="96" t="str">
        <f t="shared" ca="1" si="46"/>
        <v>=S95*$C$60</v>
      </c>
    </row>
    <row r="104" spans="1:22" x14ac:dyDescent="0.25">
      <c r="A104" s="15"/>
      <c r="B104" s="15" t="s">
        <v>15</v>
      </c>
      <c r="C104" s="15"/>
      <c r="H104" s="15"/>
      <c r="I104" s="15"/>
      <c r="J104" s="40">
        <f>J96*$C$60</f>
        <v>-12111.909099749999</v>
      </c>
      <c r="K104" s="40">
        <f t="shared" ref="K104:S104" si="50">K96*$C$60</f>
        <v>1208.5526214123738</v>
      </c>
      <c r="L104" s="40">
        <f t="shared" si="50"/>
        <v>17553.138008456677</v>
      </c>
      <c r="M104" s="40">
        <f t="shared" si="50"/>
        <v>37175.669077756895</v>
      </c>
      <c r="N104" s="40">
        <f t="shared" si="50"/>
        <v>60656.280784212671</v>
      </c>
      <c r="O104" s="40">
        <f t="shared" si="50"/>
        <v>87654.989880358335</v>
      </c>
      <c r="P104" s="40">
        <f t="shared" si="50"/>
        <v>103128.23397390677</v>
      </c>
      <c r="Q104" s="40">
        <f t="shared" si="50"/>
        <v>100657.47488952418</v>
      </c>
      <c r="R104" s="40">
        <f t="shared" si="50"/>
        <v>97133.441056795753</v>
      </c>
      <c r="S104" s="40">
        <f t="shared" si="50"/>
        <v>92824.788954769756</v>
      </c>
      <c r="T104" s="96" t="str">
        <f t="shared" ca="1" si="46"/>
        <v>=S96*$C$60</v>
      </c>
      <c r="V104" s="37"/>
    </row>
    <row r="105" spans="1:22" x14ac:dyDescent="0.25">
      <c r="A105" s="15"/>
      <c r="B105" s="15" t="s">
        <v>16</v>
      </c>
      <c r="C105" s="15"/>
      <c r="H105" s="15"/>
      <c r="I105" s="15"/>
      <c r="J105" s="21">
        <f>J104/J100</f>
        <v>-1.1963183762253948</v>
      </c>
      <c r="K105" s="21">
        <f t="shared" ref="K105:S105" si="51">K104/K100</f>
        <v>3.9501681935440271E-2</v>
      </c>
      <c r="L105" s="21">
        <f t="shared" si="51"/>
        <v>0.31913353910775299</v>
      </c>
      <c r="M105" s="21">
        <f t="shared" si="51"/>
        <v>0.44423202651238475</v>
      </c>
      <c r="N105" s="21">
        <f t="shared" si="51"/>
        <v>0.51696627261609096</v>
      </c>
      <c r="O105" s="21">
        <f t="shared" si="51"/>
        <v>0.56398740056442498</v>
      </c>
      <c r="P105" s="21">
        <f t="shared" si="51"/>
        <v>0.6135631599314918</v>
      </c>
      <c r="Q105" s="21">
        <f t="shared" si="51"/>
        <v>0.61999734749921465</v>
      </c>
      <c r="R105" s="21">
        <f t="shared" si="51"/>
        <v>0.62320301810125922</v>
      </c>
      <c r="S105" s="21">
        <f t="shared" si="51"/>
        <v>0.62388145802208206</v>
      </c>
      <c r="T105" s="96" t="str">
        <f t="shared" ca="1" si="46"/>
        <v>=S104/S100</v>
      </c>
    </row>
    <row r="106" spans="1:22" x14ac:dyDescent="0.25">
      <c r="A106" s="15"/>
      <c r="B106" s="15"/>
      <c r="C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2" x14ac:dyDescent="0.25">
      <c r="A107" s="15"/>
      <c r="B107" s="15"/>
      <c r="C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C8ABD-C054-43C9-A3A7-4C7F897046F8}">
  <dimension ref="B1:B5"/>
  <sheetViews>
    <sheetView workbookViewId="0"/>
  </sheetViews>
  <sheetFormatPr defaultRowHeight="15" x14ac:dyDescent="0.25"/>
  <sheetData>
    <row r="1" spans="2:2" x14ac:dyDescent="0.25">
      <c r="B1" s="15" t="s">
        <v>120</v>
      </c>
    </row>
    <row r="2" spans="2:2" x14ac:dyDescent="0.25">
      <c r="B2" s="15" t="s">
        <v>121</v>
      </c>
    </row>
    <row r="3" spans="2:2" x14ac:dyDescent="0.25">
      <c r="B3" s="15" t="s">
        <v>122</v>
      </c>
    </row>
    <row r="4" spans="2:2" x14ac:dyDescent="0.25">
      <c r="B4" s="15" t="s">
        <v>123</v>
      </c>
    </row>
    <row r="5" spans="2:2" x14ac:dyDescent="0.25">
      <c r="B5" s="1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Welcome</vt:lpstr>
      <vt:lpstr>Info</vt:lpstr>
      <vt:lpstr>IS</vt:lpstr>
      <vt:lpstr>BS</vt:lpstr>
      <vt:lpstr>CFS and Debt Schedule</vt:lpstr>
      <vt:lpstr>Revenues</vt:lpstr>
      <vt:lpstr>Pipeline Drug</vt:lpstr>
      <vt:lpstr>Drugs glossary</vt:lpstr>
      <vt:lpstr>Pipeline</vt:lpstr>
      <vt:lpstr>Switch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Taylor</dc:creator>
  <cp:keywords/>
  <dc:description/>
  <cp:lastModifiedBy>Andrew Jones</cp:lastModifiedBy>
  <cp:revision/>
  <dcterms:created xsi:type="dcterms:W3CDTF">2021-01-14T11:38:36Z</dcterms:created>
  <dcterms:modified xsi:type="dcterms:W3CDTF">2021-04-06T08:14:00Z</dcterms:modified>
  <cp:category/>
  <cp:contentStatus/>
</cp:coreProperties>
</file>