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hero-my.sharepoint.com/personal/oliver_sealey_fe_training/Documents/Documents/materials development/jan 26 glitches/healthcare model/6. Forecasting revenue example part 2 -Final/"/>
    </mc:Choice>
  </mc:AlternateContent>
  <xr:revisionPtr revIDLastSave="3" documentId="13_ncr:1_{4D6BC711-BCD0-4843-AB9C-249F46D7F00A}" xr6:coauthVersionLast="47" xr6:coauthVersionMax="47" xr10:uidLastSave="{EE65D976-8FCC-4F76-9EE8-26ACDAF1761D}"/>
  <bookViews>
    <workbookView xWindow="4853" yWindow="21503" windowWidth="21795" windowHeight="13875" activeTab="4" xr2:uid="{00000000-000D-0000-FFFF-FFFF00000000}"/>
  </bookViews>
  <sheets>
    <sheet name="Welcome" sheetId="9" r:id="rId1"/>
    <sheet name="Info" sheetId="8" r:id="rId2"/>
    <sheet name="IS" sheetId="2" r:id="rId3"/>
    <sheet name="BS" sheetId="6" r:id="rId4"/>
    <sheet name="CFS and Debt Schedule" sheetId="7" r:id="rId5"/>
    <sheet name="Revenues" sheetId="1" r:id="rId6"/>
    <sheet name="Pipeline Drug" sheetId="4" r:id="rId7"/>
    <sheet name="Drugs glossary" sheetId="3" r:id="rId8"/>
  </sheets>
  <externalReferences>
    <externalReference r:id="rId9"/>
    <externalReference r:id="rId10"/>
  </externalReferences>
  <definedNames>
    <definedName name="Circular_switch" localSheetId="1">#REF!</definedName>
    <definedName name="Circular_switch" localSheetId="0">#REF!</definedName>
    <definedName name="Circular_switch">#REF!</definedName>
    <definedName name="Include_pipeline">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Pipeline">Info!$N$11</definedName>
    <definedName name="Switch" localSheetId="0">[1]Info!$N$10</definedName>
    <definedName name="Switch">Info!$N$10</definedName>
  </definedNames>
  <calcPr calcId="191029" calcMode="autoNoTable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2" l="1"/>
  <c r="E19" i="2"/>
  <c r="F19" i="2"/>
  <c r="G19" i="2"/>
  <c r="C19" i="2"/>
  <c r="H18" i="2"/>
  <c r="D17" i="2"/>
  <c r="E17" i="2"/>
  <c r="F17" i="2"/>
  <c r="G17" i="2"/>
  <c r="C17" i="2"/>
  <c r="D47" i="2"/>
  <c r="E47" i="2"/>
  <c r="F47" i="2"/>
  <c r="G47" i="2"/>
  <c r="C47" i="2"/>
  <c r="I28" i="1"/>
  <c r="I19" i="2"/>
  <c r="I27" i="1"/>
  <c r="I31" i="1"/>
  <c r="I18" i="2"/>
  <c r="I43" i="1"/>
  <c r="I41" i="1"/>
  <c r="I42" i="1"/>
  <c r="I39" i="1"/>
  <c r="I40" i="1"/>
  <c r="I44" i="1"/>
  <c r="I32" i="1"/>
  <c r="I45" i="1"/>
  <c r="I29" i="1"/>
  <c r="I26" i="1"/>
  <c r="I33" i="1"/>
  <c r="I36" i="1"/>
  <c r="I35" i="1"/>
  <c r="I38" i="1"/>
  <c r="I25" i="1"/>
  <c r="I34" i="1"/>
  <c r="I30" i="1"/>
  <c r="I17" i="2"/>
  <c r="G44" i="2" l="1"/>
  <c r="F44" i="2"/>
  <c r="E44" i="2"/>
  <c r="D44" i="2"/>
  <c r="C44" i="2"/>
  <c r="H44" i="1"/>
  <c r="H43" i="1"/>
  <c r="H41" i="1"/>
  <c r="H40" i="1"/>
  <c r="H38" i="1"/>
  <c r="H29" i="1"/>
  <c r="H31" i="1"/>
  <c r="H32" i="1"/>
  <c r="H33" i="1"/>
  <c r="H35" i="1"/>
  <c r="H36" i="1"/>
  <c r="H28" i="1"/>
  <c r="H26" i="1"/>
  <c r="H25" i="1"/>
  <c r="D27" i="1"/>
  <c r="E27" i="1"/>
  <c r="E39" i="1" s="1"/>
  <c r="E42" i="1" s="1"/>
  <c r="E45" i="1" s="1"/>
  <c r="F27" i="1"/>
  <c r="F39" i="1" s="1"/>
  <c r="F42" i="1" s="1"/>
  <c r="F45" i="1" s="1"/>
  <c r="G27" i="1"/>
  <c r="G39" i="1" s="1"/>
  <c r="G42" i="1" s="1"/>
  <c r="G45" i="1" s="1"/>
  <c r="C27" i="1"/>
  <c r="C39" i="1" s="1"/>
  <c r="C42" i="1" s="1"/>
  <c r="C45" i="1" s="1"/>
  <c r="C9" i="2"/>
  <c r="H27" i="1" l="1"/>
  <c r="D52" i="2"/>
  <c r="E52" i="2"/>
  <c r="F52" i="2"/>
  <c r="G52" i="2"/>
  <c r="D23" i="4"/>
  <c r="D22" i="4"/>
  <c r="C26" i="4" l="1"/>
  <c r="Q2" i="4"/>
  <c r="R2" i="4" s="1"/>
  <c r="S2" i="4" s="1"/>
  <c r="A1" i="4" l="1"/>
  <c r="A1" i="2"/>
  <c r="A7" i="9"/>
  <c r="C3" i="1"/>
  <c r="C3" i="7"/>
  <c r="C3" i="6"/>
  <c r="C2" i="2"/>
  <c r="C2" i="1" s="1"/>
  <c r="G7" i="7"/>
  <c r="F7" i="7"/>
  <c r="E7" i="7"/>
  <c r="D7" i="7"/>
  <c r="G6" i="7"/>
  <c r="F6" i="7"/>
  <c r="E6" i="7"/>
  <c r="D6" i="7"/>
  <c r="G7" i="4"/>
  <c r="G12" i="4"/>
  <c r="G13" i="4"/>
  <c r="G8" i="4"/>
  <c r="C2" i="6" l="1"/>
  <c r="C2" i="7"/>
  <c r="D8" i="7" l="1"/>
  <c r="E8" i="7"/>
  <c r="F8" i="7"/>
  <c r="G8" i="7"/>
  <c r="G9" i="6"/>
  <c r="F9" i="6"/>
  <c r="E9" i="6"/>
  <c r="D9" i="6"/>
  <c r="I8" i="6"/>
  <c r="G8" i="6"/>
  <c r="F8" i="6"/>
  <c r="E8" i="6"/>
  <c r="D8" i="6"/>
  <c r="G53" i="6"/>
  <c r="F53" i="6"/>
  <c r="E53" i="6"/>
  <c r="D53" i="6"/>
  <c r="C53" i="6"/>
  <c r="D3" i="6"/>
  <c r="E3" i="6" s="1"/>
  <c r="D11" i="2"/>
  <c r="E11" i="2"/>
  <c r="C11" i="2"/>
  <c r="D10" i="2"/>
  <c r="E10" i="2"/>
  <c r="F10" i="2"/>
  <c r="G10" i="2"/>
  <c r="C10" i="2"/>
  <c r="G35" i="2"/>
  <c r="G11" i="2" s="1"/>
  <c r="F35" i="2"/>
  <c r="F11" i="2" s="1"/>
  <c r="D9" i="2"/>
  <c r="E9" i="2"/>
  <c r="F9" i="2"/>
  <c r="G9" i="2"/>
  <c r="H14" i="1"/>
  <c r="H34" i="1" s="1"/>
  <c r="H10" i="1"/>
  <c r="I10" i="1" l="1"/>
  <c r="J10" i="1" s="1"/>
  <c r="K10" i="1" s="1"/>
  <c r="H30" i="1"/>
  <c r="D9" i="7"/>
  <c r="G9" i="7"/>
  <c r="F9" i="7"/>
  <c r="E9" i="7"/>
  <c r="H9" i="6"/>
  <c r="J8" i="6"/>
  <c r="F3" i="6"/>
  <c r="I14" i="1"/>
  <c r="J14" i="1" s="1"/>
  <c r="K14" i="1" s="1"/>
  <c r="H39" i="1" l="1"/>
  <c r="H42" i="1" s="1"/>
  <c r="H45" i="1" s="1"/>
  <c r="H17" i="2" s="1"/>
  <c r="H19" i="2" s="1"/>
  <c r="I9" i="6"/>
  <c r="J9" i="6" s="1"/>
  <c r="K8" i="6"/>
  <c r="G3" i="6"/>
  <c r="K9" i="6" l="1"/>
  <c r="H3" i="6"/>
  <c r="I3" i="6" l="1"/>
  <c r="J3" i="6" l="1"/>
  <c r="K3" i="6" l="1"/>
  <c r="A1" i="7" l="1"/>
  <c r="A1" i="1" l="1"/>
  <c r="A1" i="6"/>
  <c r="D54" i="2" l="1"/>
  <c r="E54" i="2"/>
  <c r="F54" i="2"/>
  <c r="G54" i="2"/>
  <c r="O19" i="4"/>
  <c r="O58" i="4"/>
  <c r="C51" i="2"/>
  <c r="D6" i="1"/>
  <c r="E6" i="1"/>
  <c r="F6" i="1"/>
  <c r="G6" i="1"/>
  <c r="D7" i="1"/>
  <c r="E7" i="1"/>
  <c r="F7" i="1"/>
  <c r="G7" i="1"/>
  <c r="F8" i="1"/>
  <c r="G8" i="1"/>
  <c r="D9" i="1"/>
  <c r="E9" i="1"/>
  <c r="F9" i="1"/>
  <c r="G9" i="1"/>
  <c r="D10" i="1"/>
  <c r="E10" i="1"/>
  <c r="F10" i="1"/>
  <c r="D11" i="1"/>
  <c r="E11" i="1"/>
  <c r="F11" i="1"/>
  <c r="G11" i="1"/>
  <c r="D12" i="1"/>
  <c r="E12" i="1"/>
  <c r="F12" i="1"/>
  <c r="G12" i="1"/>
  <c r="F13" i="1"/>
  <c r="G13" i="1"/>
  <c r="D14" i="1"/>
  <c r="E14" i="1"/>
  <c r="F14" i="1"/>
  <c r="D15" i="1"/>
  <c r="E15" i="1"/>
  <c r="F15" i="1"/>
  <c r="G15" i="1"/>
  <c r="D16" i="1"/>
  <c r="E16" i="1"/>
  <c r="F16" i="1"/>
  <c r="G16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D3" i="2"/>
  <c r="D38" i="1"/>
  <c r="D39" i="1" s="1"/>
  <c r="D42" i="1" s="1"/>
  <c r="D45" i="1" s="1"/>
  <c r="P19" i="4" l="1"/>
  <c r="Q19" i="4" s="1"/>
  <c r="R19" i="4" s="1"/>
  <c r="S19" i="4" s="1"/>
  <c r="G51" i="2"/>
  <c r="G7" i="6"/>
  <c r="E51" i="2"/>
  <c r="E7" i="6"/>
  <c r="F51" i="2"/>
  <c r="F7" i="6"/>
  <c r="D3" i="1"/>
  <c r="D3" i="7"/>
  <c r="D2" i="2"/>
  <c r="C13" i="6"/>
  <c r="G6" i="6"/>
  <c r="E6" i="6"/>
  <c r="F6" i="6"/>
  <c r="C12" i="6"/>
  <c r="E11" i="6"/>
  <c r="E12" i="6"/>
  <c r="E13" i="6"/>
  <c r="G12" i="6"/>
  <c r="G13" i="6"/>
  <c r="F12" i="6"/>
  <c r="F13" i="6"/>
  <c r="P58" i="4"/>
  <c r="Q58" i="4" s="1"/>
  <c r="R58" i="4" s="1"/>
  <c r="S58" i="4" s="1"/>
  <c r="F11" i="6"/>
  <c r="C11" i="6"/>
  <c r="G11" i="6"/>
  <c r="E3" i="2"/>
  <c r="C55" i="2"/>
  <c r="G55" i="2"/>
  <c r="F55" i="2"/>
  <c r="E55" i="2"/>
  <c r="G56" i="2"/>
  <c r="F56" i="2"/>
  <c r="E56" i="2"/>
  <c r="C56" i="2"/>
  <c r="G53" i="2"/>
  <c r="G8" i="2"/>
  <c r="F53" i="2"/>
  <c r="F8" i="2"/>
  <c r="E53" i="2"/>
  <c r="E8" i="2"/>
  <c r="C53" i="2"/>
  <c r="C8" i="2"/>
  <c r="G6" i="2"/>
  <c r="G7" i="2"/>
  <c r="F6" i="2"/>
  <c r="F7" i="2"/>
  <c r="E6" i="2"/>
  <c r="E7" i="2"/>
  <c r="C6" i="2"/>
  <c r="C7" i="2"/>
  <c r="D17" i="1"/>
  <c r="E17" i="1"/>
  <c r="D2" i="1" l="1"/>
  <c r="D2" i="7"/>
  <c r="D2" i="6"/>
  <c r="E3" i="1"/>
  <c r="E3" i="7"/>
  <c r="E2" i="2"/>
  <c r="F3" i="2"/>
  <c r="C13" i="2"/>
  <c r="C12" i="2"/>
  <c r="D12" i="2"/>
  <c r="E12" i="2"/>
  <c r="F12" i="2"/>
  <c r="G12" i="2"/>
  <c r="E2" i="6" l="1"/>
  <c r="E2" i="7"/>
  <c r="E2" i="1"/>
  <c r="F2" i="2"/>
  <c r="F3" i="1"/>
  <c r="F3" i="7"/>
  <c r="F13" i="2"/>
  <c r="E13" i="2"/>
  <c r="G13" i="2"/>
  <c r="D13" i="2"/>
  <c r="G3" i="2"/>
  <c r="H3" i="4" s="1"/>
  <c r="D51" i="2" l="1"/>
  <c r="D7" i="6"/>
  <c r="F2" i="6"/>
  <c r="F2" i="1"/>
  <c r="F2" i="7"/>
  <c r="G2" i="2"/>
  <c r="G3" i="1"/>
  <c r="G3" i="7"/>
  <c r="D6" i="6"/>
  <c r="D13" i="6"/>
  <c r="D12" i="6"/>
  <c r="D11" i="6"/>
  <c r="D55" i="2"/>
  <c r="D53" i="2"/>
  <c r="D8" i="2"/>
  <c r="D6" i="2"/>
  <c r="D56" i="2"/>
  <c r="D7" i="2"/>
  <c r="H3" i="2"/>
  <c r="G2" i="6" l="1"/>
  <c r="G2" i="1"/>
  <c r="G2" i="7"/>
  <c r="I3" i="4"/>
  <c r="J3" i="4" s="1"/>
  <c r="H2" i="2"/>
  <c r="H3" i="1"/>
  <c r="H3" i="7"/>
  <c r="I3" i="2"/>
  <c r="K3" i="4" l="1"/>
  <c r="H2" i="7"/>
  <c r="H2" i="6"/>
  <c r="H2" i="1"/>
  <c r="I3" i="7"/>
  <c r="I2" i="2"/>
  <c r="I3" i="1"/>
  <c r="J3" i="2"/>
  <c r="L3" i="4" l="1"/>
  <c r="J3" i="7"/>
  <c r="J2" i="2"/>
  <c r="J3" i="1"/>
  <c r="I2" i="7"/>
  <c r="I2" i="6"/>
  <c r="I2" i="1"/>
  <c r="K3" i="2"/>
  <c r="M3" i="4" l="1"/>
  <c r="K3" i="1"/>
  <c r="K3" i="7"/>
  <c r="K2" i="2"/>
  <c r="J2" i="7"/>
  <c r="J2" i="1"/>
  <c r="J2" i="6"/>
  <c r="N3" i="4" l="1"/>
  <c r="K2" i="1"/>
  <c r="K2" i="7"/>
  <c r="K2" i="6"/>
  <c r="O3" i="4" l="1"/>
  <c r="P3" i="4" l="1"/>
  <c r="Q3" i="4" l="1"/>
  <c r="B61" i="4"/>
  <c r="R3" i="4" l="1"/>
  <c r="S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tc={7871CDA2-251D-4BD8-B227-E65EA7AD45E0}</author>
    <author>tc={60565572-0F2C-4E20-8944-19E6C2BF02BD}</author>
    <author>tc={2BF85314-ED29-4647-B13E-FC6E4B8AA6AE}</author>
  </authors>
  <commentList>
    <comment ref="B44" authorId="0" shapeId="0" xr:uid="{7871CDA2-251D-4BD8-B227-E65EA7AD45E0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treasury shares</t>
      </text>
    </comment>
    <comment ref="F44" authorId="1" shapeId="0" xr:uid="{60565572-0F2C-4E20-8944-19E6C2BF02BD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Discrepancy between 2018 and 2019 ARs on 2018 shares outstanding, but this seems to make more sense</t>
      </text>
    </comment>
    <comment ref="G51" authorId="2" shapeId="0" xr:uid="{2BF85314-ED29-4647-B13E-FC6E4B8AA6AE}">
      <text>
        <t>[Threaded comment]
Your version of Excel allows you to read this threaded comment; however, any edits to it will get removed if the file is opened in a newer version of Excel. Learn more: https://go.microsoft.com/fwlink/?linkid=870924
Comment:
    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tc={4445CCC0-0BFF-4B68-B59E-C79992857DCE}</author>
    <author>tc={3867620D-EE99-4C40-A339-7DEBA62576D6}</author>
  </authors>
  <commentList>
    <comment ref="B9" authorId="0" shapeId="0" xr:uid="{4445CCC0-0BFF-4B68-B59E-C79992857DCE}">
      <text>
        <t>[Threaded comment]
Your version of Excel allows you to read this threaded comment; however, any edits to it will get removed if the file is opened in a newer version of Excel. Learn more: https://go.microsoft.com/fwlink/?linkid=870924
Comment:
    Realistically this would be more likely tied in to specific drug launches given a lot of it is capitalised R&amp;D</t>
      </text>
    </comment>
    <comment ref="G62" authorId="1" shapeId="0" xr:uid="{3867620D-EE99-4C40-A339-7DEBA62576D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17,411 lease liabilities (0 in 2018)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tc={198FAC28-6B37-4BAA-9427-62CD8DD463E4}</author>
  </authors>
  <commentList>
    <comment ref="C47" authorId="0" shapeId="0" xr:uid="{198FAC28-6B37-4BAA-9427-62CD8DD463E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617 other financial income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tc={AFAB550C-0B8E-4876-BE11-D53496397746}</author>
  </authors>
  <commentList>
    <comment ref="B17" authorId="0" shapeId="0" xr:uid="{AFAB550C-0B8E-4876-BE11-D53496397746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discounts to the National Health System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tc={77B56892-DCF3-4031-8AD3-2DC2410017AD}</author>
    <author>tc={E6FB80FE-A05E-42E2-921C-73A8A9FCBD36}</author>
    <author>tc={7652B98C-C59A-4CBB-A49D-3ECEFD5AF955}</author>
    <author>tc={0C321305-C7A0-4F9B-9F18-A37BFF98102A}</author>
    <author>tc={00FA7312-3394-4AC2-AA10-ED0B5EF9EC0E}</author>
  </authors>
  <commentList>
    <comment ref="C12" authorId="0" shapeId="0" xr:uid="{77B56892-DCF3-4031-8AD3-2DC2410017AD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20%</t>
      </text>
    </comment>
    <comment ref="C13" authorId="1" shapeId="0" xr:uid="{E6FB80FE-A05E-42E2-921C-73A8A9FCBD36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8.5%</t>
      </text>
    </comment>
    <comment ref="B31" authorId="2" shapeId="0" xr:uid="{7652B98C-C59A-4CBB-A49D-3ECEFD5AF955}">
      <text>
        <t>[Threaded comment]
Your version of Excel allows you to read this threaded comment; however, any edits to it will get removed if the file is opened in a newer version of Excel. Learn more: https://go.microsoft.com/fwlink/?linkid=870924
Comment:
    Impact of price pressure etc.</t>
      </text>
    </comment>
    <comment ref="B50" authorId="3" shapeId="0" xr:uid="{0C321305-C7A0-4F9B-9F18-A37BFF98102A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Assumed to fade down after peak</t>
      </text>
    </comment>
    <comment ref="C63" authorId="4" shapeId="0" xr:uid="{00FA7312-3394-4AC2-AA10-ED0B5EF9EC0E}">
      <text>
        <t>[Threaded comment]
Your version of Excel allows you to read this threaded comment; however, any edits to it will get removed if the file is opened in a newer version of Excel. Learn more: https://go.microsoft.com/fwlink/?linkid=870924
Comment:
    US would be a full indirect market</t>
      </text>
    </comment>
  </commentList>
</comments>
</file>

<file path=xl/sharedStrings.xml><?xml version="1.0" encoding="utf-8"?>
<sst xmlns="http://schemas.openxmlformats.org/spreadsheetml/2006/main" count="313" uniqueCount="225">
  <si>
    <t>Currency</t>
  </si>
  <si>
    <t>Units</t>
  </si>
  <si>
    <t>Income Statement</t>
  </si>
  <si>
    <t>Revenue</t>
  </si>
  <si>
    <t>Recognition of government grants and other</t>
  </si>
  <si>
    <t>Total revenue</t>
  </si>
  <si>
    <t>Cost of sales</t>
  </si>
  <si>
    <t>Gross profit</t>
  </si>
  <si>
    <t>Gross margin</t>
  </si>
  <si>
    <t>Gross margin ex pipeline</t>
  </si>
  <si>
    <t>R&amp;D expenses</t>
  </si>
  <si>
    <t>R&amp;D % of sales</t>
  </si>
  <si>
    <t>SG&amp;A % of sales ex pipeline</t>
  </si>
  <si>
    <t>Other expenses</t>
  </si>
  <si>
    <t>Share of profit of a joint venture</t>
  </si>
  <si>
    <t>EBITDA</t>
  </si>
  <si>
    <t>EBITDA margin</t>
  </si>
  <si>
    <t>Depreciation and amortisation</t>
  </si>
  <si>
    <t>D&amp;A % of sales</t>
  </si>
  <si>
    <t>EBIT</t>
  </si>
  <si>
    <t>EBIT margin</t>
  </si>
  <si>
    <t>Finance income</t>
  </si>
  <si>
    <t>Finance costs</t>
  </si>
  <si>
    <t>Finance costs - net</t>
  </si>
  <si>
    <t>Profit before income tax</t>
  </si>
  <si>
    <t xml:space="preserve">Income tax </t>
  </si>
  <si>
    <t>Net income</t>
  </si>
  <si>
    <t>Per-share metrics</t>
  </si>
  <si>
    <t>Year-end shares outstanding</t>
  </si>
  <si>
    <t>Weighted-average shares outstanding</t>
  </si>
  <si>
    <t>Earnings per share</t>
  </si>
  <si>
    <t>Dividend per share</t>
  </si>
  <si>
    <t>Dividend payout ratio</t>
  </si>
  <si>
    <t>Balance Sheet</t>
  </si>
  <si>
    <t>Property, Plant and Equipment</t>
  </si>
  <si>
    <t>Intangible assets</t>
  </si>
  <si>
    <t>Deferred tax assets</t>
  </si>
  <si>
    <t>Other non-current assets</t>
  </si>
  <si>
    <t>Inventories</t>
  </si>
  <si>
    <t>Trade and other receivables</t>
  </si>
  <si>
    <t>Other current assets</t>
  </si>
  <si>
    <t>Cash and cash equivalents</t>
  </si>
  <si>
    <t>Total assets</t>
  </si>
  <si>
    <t>Financial debt</t>
  </si>
  <si>
    <t>Deferred income tax liabilities</t>
  </si>
  <si>
    <t>Current liabilities</t>
  </si>
  <si>
    <t>Trade and other payables</t>
  </si>
  <si>
    <t>Total liabilities</t>
  </si>
  <si>
    <t>Balance sheet assumptions</t>
  </si>
  <si>
    <t>Opening balance</t>
  </si>
  <si>
    <t>Other</t>
  </si>
  <si>
    <t>Closing balance</t>
  </si>
  <si>
    <t>Depreciation % of prior year balance</t>
  </si>
  <si>
    <t>Amortisation % of prior year balance</t>
  </si>
  <si>
    <t>Financial expense</t>
  </si>
  <si>
    <t>Cash and equivalents</t>
  </si>
  <si>
    <t>Interest income</t>
  </si>
  <si>
    <t>Net debt</t>
  </si>
  <si>
    <t>Equity</t>
  </si>
  <si>
    <t>Dividends</t>
  </si>
  <si>
    <t>Cash flow statement</t>
  </si>
  <si>
    <t>Cash flows from operating activities</t>
  </si>
  <si>
    <t>Net cash generated from (used in) operating activities</t>
  </si>
  <si>
    <t>Cash flows from investing activities</t>
  </si>
  <si>
    <t>Purchases of intangible assets</t>
  </si>
  <si>
    <t>Purchases of property, plant and equipment</t>
  </si>
  <si>
    <t>Interest received</t>
  </si>
  <si>
    <t xml:space="preserve">Net cash generated from (used in) investing activities </t>
  </si>
  <si>
    <t>Cash flows from financing activities</t>
  </si>
  <si>
    <t>Interest paid</t>
  </si>
  <si>
    <t>Dividends paid</t>
  </si>
  <si>
    <t xml:space="preserve">Net cash generated from (used in) financing activities </t>
  </si>
  <si>
    <t>Intangible capex/sales</t>
  </si>
  <si>
    <t>Tangible capex/sales</t>
  </si>
  <si>
    <t>Total Revenues</t>
  </si>
  <si>
    <t>Sale of goods</t>
  </si>
  <si>
    <t>Hibor</t>
  </si>
  <si>
    <t>Sales in Spain</t>
  </si>
  <si>
    <t>International sales</t>
  </si>
  <si>
    <t>Enoxaparin biosimilar (Enoxaparin Becat)</t>
  </si>
  <si>
    <t>Vytorin &amp; Absorcol &amp; Orvatez</t>
  </si>
  <si>
    <t>Corlentor</t>
  </si>
  <si>
    <t>Ulunar &amp; Hirobriz</t>
  </si>
  <si>
    <t>Medikinet &amp; Medicebran</t>
  </si>
  <si>
    <t>Neparvis</t>
  </si>
  <si>
    <t>Thymanax</t>
  </si>
  <si>
    <t>Exxiv</t>
  </si>
  <si>
    <t>Volutsa</t>
  </si>
  <si>
    <t>DORIA (risk-adjusted)</t>
  </si>
  <si>
    <t>Contrast agents and other hospital products</t>
  </si>
  <si>
    <t>Non prescription pharmaceutical products ("OTC") and Other</t>
  </si>
  <si>
    <t>Sale of services (toll manufacturing)</t>
  </si>
  <si>
    <t>Revenue from distribution licenses</t>
  </si>
  <si>
    <t>LAI/market</t>
  </si>
  <si>
    <t>US</t>
  </si>
  <si>
    <t>EU</t>
  </si>
  <si>
    <t>Total</t>
  </si>
  <si>
    <t>Europe</t>
  </si>
  <si>
    <t>Market size (€ mn)</t>
  </si>
  <si>
    <t>Growth</t>
  </si>
  <si>
    <t>Probability of success</t>
  </si>
  <si>
    <t>Peak year</t>
  </si>
  <si>
    <t>Peak market share</t>
  </si>
  <si>
    <t>Direct sales share</t>
  </si>
  <si>
    <t>Indirect sales share</t>
  </si>
  <si>
    <t>Royalty rate on indirect sales</t>
  </si>
  <si>
    <t>Gross margin on direct sales</t>
  </si>
  <si>
    <t>Gross margin on indirect sales</t>
  </si>
  <si>
    <t>Annual decline in gross margin after peak</t>
  </si>
  <si>
    <t>Commercial costs (€ mn)</t>
  </si>
  <si>
    <t>Manufacturing and logistics costs (% of revenue)</t>
  </si>
  <si>
    <t>DORIA market share</t>
  </si>
  <si>
    <t xml:space="preserve">  - of which direct</t>
  </si>
  <si>
    <t xml:space="preserve">  - of which indirect</t>
  </si>
  <si>
    <t>Revenues to ROVI</t>
  </si>
  <si>
    <t>Direct sales</t>
  </si>
  <si>
    <t>Royalty on indirect sales</t>
  </si>
  <si>
    <t>Commercial costs</t>
  </si>
  <si>
    <t>Manufacturing and logistics costs</t>
  </si>
  <si>
    <t>SG&amp;A</t>
  </si>
  <si>
    <t>Neparvis is a specialty product from Novartis indicated for the treatment of adult patients with symptomatic chronic heart failure and reduced ejection fraction.</t>
  </si>
  <si>
    <t>Volutsa is a specialty product from Astellas Pharma indicated for the treatment of moderate to severe storage symptoms and voiding symptoms associated with benign prostatic hyperplasia.</t>
  </si>
  <si>
    <t>Medicebran and Medikinet are specialty products from Medice indicated for the treatment of ADHD in children and teenagers.</t>
  </si>
  <si>
    <t>Vytorin, Orvatez and Absorcol, the first of the five licenses of MSD, are indicated for the treatment of hypercholesterolemia.</t>
  </si>
  <si>
    <t>Hirobriz Breezhaler and Ulunar Breezhaler are both products from Novartis indicated for the treatment of COPD (Chronic Obstructive Pulmonary Disease)</t>
  </si>
  <si>
    <t>EUR:USD FX Rate</t>
  </si>
  <si>
    <t>$bn</t>
  </si>
  <si>
    <t>%</t>
  </si>
  <si>
    <t xml:space="preserve">Total schizophrenia market size </t>
  </si>
  <si>
    <t>DORIA Market Analysis</t>
  </si>
  <si>
    <t xml:space="preserve">US </t>
  </si>
  <si>
    <t xml:space="preserve">EU </t>
  </si>
  <si>
    <t>Long Acting Injectibles (LAI) market size</t>
  </si>
  <si>
    <t>US &amp; Europe Combined</t>
  </si>
  <si>
    <t>US &amp; Europe Combined - Risk Adjusted</t>
  </si>
  <si>
    <t>Revenue growth assumptions</t>
  </si>
  <si>
    <t>Revenue build up</t>
  </si>
  <si>
    <t>Total prescription-based pharmaceutical products</t>
  </si>
  <si>
    <t>Revenue build up - by product and product line</t>
  </si>
  <si>
    <t>Selling, general and admin expenses</t>
  </si>
  <si>
    <t>Income Statement Assumptions</t>
  </si>
  <si>
    <t>Share of profit of JV</t>
  </si>
  <si>
    <t>Non-recurring expenses</t>
  </si>
  <si>
    <t>Effective tax rate</t>
  </si>
  <si>
    <t>Total liabilities and equity</t>
  </si>
  <si>
    <t>Balancing sheet check</t>
  </si>
  <si>
    <t>Calculations</t>
  </si>
  <si>
    <t>Beginning balance</t>
  </si>
  <si>
    <t>Capex</t>
  </si>
  <si>
    <t>Depreciation</t>
  </si>
  <si>
    <t>Amortization</t>
  </si>
  <si>
    <t>Days inventory outstanding</t>
  </si>
  <si>
    <t>Days sales outstanding</t>
  </si>
  <si>
    <t>Days payable outstanding</t>
  </si>
  <si>
    <t>Increase/ (decrease) in non-current debt</t>
  </si>
  <si>
    <t>Increase/ (decrease) in current debt</t>
  </si>
  <si>
    <t>Interest rate on financial liabilities</t>
  </si>
  <si>
    <t>Interest rate on cash and cash equivalents</t>
  </si>
  <si>
    <t>Other non-current liabilities</t>
  </si>
  <si>
    <t>Other current liabilities</t>
  </si>
  <si>
    <t>Depreciation and amortization</t>
  </si>
  <si>
    <t>Beginning cash and cash equivalents</t>
  </si>
  <si>
    <t>Ending cash and cash equivalents</t>
  </si>
  <si>
    <t>Net cash flow</t>
  </si>
  <si>
    <t>Operating working capital</t>
  </si>
  <si>
    <t>Net operating working capital</t>
  </si>
  <si>
    <t>Change in operating working capital</t>
  </si>
  <si>
    <t>Change in other non-current assets</t>
  </si>
  <si>
    <t>Change in other non-current liabilities</t>
  </si>
  <si>
    <t>Net finance costs</t>
  </si>
  <si>
    <t>Investment in joint venture</t>
  </si>
  <si>
    <t>Dividends received from JV</t>
  </si>
  <si>
    <t>JV dividend payout ratio</t>
  </si>
  <si>
    <t>Share of JV profits</t>
  </si>
  <si>
    <t>Dividends from JV</t>
  </si>
  <si>
    <t>Joint venture investments</t>
  </si>
  <si>
    <t>Cash/Debt Assumptions</t>
  </si>
  <si>
    <t>Cash/ Debt and Interest Calculations</t>
  </si>
  <si>
    <t>Ending current financial debt</t>
  </si>
  <si>
    <t>Ending non-current financial debt</t>
  </si>
  <si>
    <t>Issuance/(repayment) of non-current debt</t>
  </si>
  <si>
    <t>Issuance/(repayment) of current debt</t>
  </si>
  <si>
    <t>Features</t>
  </si>
  <si>
    <t>Model Details</t>
  </si>
  <si>
    <t>◦</t>
  </si>
  <si>
    <t>Company name</t>
  </si>
  <si>
    <t>Date</t>
  </si>
  <si>
    <t>Analyst Name</t>
  </si>
  <si>
    <t>Firstname Lastname</t>
  </si>
  <si>
    <t>Circular Switch</t>
  </si>
  <si>
    <t>Tab Structure</t>
  </si>
  <si>
    <t>Formatting</t>
  </si>
  <si>
    <t>IS</t>
  </si>
  <si>
    <t>BS</t>
  </si>
  <si>
    <t>Input</t>
  </si>
  <si>
    <t>CFS and Debt</t>
  </si>
  <si>
    <t>Cash Flow Statement and Debt Schedule</t>
  </si>
  <si>
    <t>Hard coded</t>
  </si>
  <si>
    <t>Formulas</t>
  </si>
  <si>
    <t>Glossary of sector terminology</t>
  </si>
  <si>
    <t>Model for pharmaceuticals company</t>
  </si>
  <si>
    <t>Revenues</t>
  </si>
  <si>
    <t>Pipeline drugs</t>
  </si>
  <si>
    <t>Drugs glossary</t>
  </si>
  <si>
    <t>Revenue forecasts</t>
  </si>
  <si>
    <t>Pipeline Switch</t>
  </si>
  <si>
    <t>LABORATORIOS FARMACÉUTICOS ROVI</t>
  </si>
  <si>
    <t>EUR</t>
  </si>
  <si>
    <t>Thousands</t>
  </si>
  <si>
    <t>This document is for training purposes only. Financial Edge accepts no responsibility or liability for any other purpose or usage.</t>
  </si>
  <si>
    <t>www.fe.training</t>
  </si>
  <si>
    <t>Pipeline Drug</t>
  </si>
  <si>
    <t>Example pipeline drug model</t>
  </si>
  <si>
    <t>Proj.</t>
  </si>
  <si>
    <t>Annual commercial cost inflation before peak</t>
  </si>
  <si>
    <t>Annual decline in commercial costs after peak</t>
  </si>
  <si>
    <t>Hist.</t>
  </si>
  <si>
    <t>DORIA sales (€ thousands)</t>
  </si>
  <si>
    <t>R&amp;D YOY % change</t>
  </si>
  <si>
    <t>Gross profit margin</t>
  </si>
  <si>
    <t>EBITDA profit margin</t>
  </si>
  <si>
    <t>D&amp;A YOY % change</t>
  </si>
  <si>
    <t>Pharmaceuticals Sector Model - Rovi</t>
  </si>
  <si>
    <t>Hibor  - Sales in Spain</t>
  </si>
  <si>
    <t>Hibor - International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</si>
</sst>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d/m/yy;@"/>
    <numFmt numFmtId="165" formatCode="0.0%"/>
    <numFmt numFmtId="166" formatCode="#,##0;\(#,##0\)"/>
    <numFmt numFmtId="167" formatCode="mm/yy"/>
    <numFmt numFmtId="168" formatCode="yyyy"/>
    <numFmt numFmtId="169" formatCode="0.0"/>
    <numFmt numFmtId="170" formatCode="#,##0.0_);\(#,##0.0\)"/>
    <numFmt numFmtId="171" formatCode=";;;"/>
    <numFmt numFmtId="172" formatCode="#,##0.0_);\(#,##0.0\)\,0.0_);@_)"/>
    <numFmt numFmtId="173" formatCode="[$-409]d\-mmm\-yy;@"/>
    <numFmt numFmtId="174" formatCode="#,##0.0\ \x_);\(#,##0.0\ \x\);"/>
    <numFmt numFmtId="175" formatCode="#,##0.0_);\(#,##0.0\);0.0_);@_)"/>
    <numFmt numFmtId="176" formatCode="0.0%_);\(0.0%\)"/>
    <numFmt numFmtId="177" formatCode="#,##0.00_);\(#,##0.00\);0.00_);@_)"/>
  </numFmts>
  <fonts count="25" x14ac:knownFonts="1"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2"/>
      <color rgb="FF00206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85393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b/>
      <sz val="12"/>
      <color rgb="FF16326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163260"/>
        <bgColor indexed="64"/>
      </patternFill>
    </fill>
    <fill>
      <patternFill patternType="solid">
        <fgColor rgb="FF1C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</borders>
  <cellStyleXfs count="24">
    <xf numFmtId="175" fontId="0" fillId="0" borderId="0"/>
    <xf numFmtId="176" fontId="11" fillId="3" borderId="0" applyFont="0" applyFill="0" applyBorder="0" applyAlignment="0" applyProtection="0"/>
    <xf numFmtId="0" fontId="6" fillId="0" borderId="0" applyNumberFormat="0"/>
    <xf numFmtId="0" fontId="6" fillId="2" borderId="1" applyNumberFormat="0"/>
    <xf numFmtId="174" fontId="13" fillId="8" borderId="3" applyNumberFormat="0">
      <protection locked="0"/>
    </xf>
    <xf numFmtId="170" fontId="13" fillId="0" borderId="0" applyNumberFormat="0" applyFill="0" applyBorder="0" applyAlignment="0" applyProtection="0"/>
    <xf numFmtId="0" fontId="10" fillId="5" borderId="0" applyNumberFormat="0" applyFont="0" applyAlignment="0" applyProtection="0">
      <alignment vertical="top"/>
    </xf>
    <xf numFmtId="0" fontId="10" fillId="5" borderId="2" applyFont="0" applyAlignment="0" applyProtection="0">
      <alignment vertical="top"/>
    </xf>
    <xf numFmtId="171" fontId="11" fillId="3" borderId="0" applyFont="0" applyFill="0" applyBorder="0" applyAlignment="0" applyProtection="0"/>
    <xf numFmtId="172" fontId="7" fillId="6" borderId="0" applyNumberFormat="0" applyBorder="0">
      <alignment horizontal="center" vertical="top"/>
    </xf>
    <xf numFmtId="173" fontId="11" fillId="0" borderId="0" applyFont="0" applyFill="0" applyBorder="0" applyAlignment="0" applyProtection="0"/>
    <xf numFmtId="173" fontId="12" fillId="6" borderId="0">
      <alignment horizontal="center"/>
    </xf>
    <xf numFmtId="172" fontId="13" fillId="3" borderId="0" applyNumberFormat="0" applyFill="0" applyBorder="0" applyAlignment="0" applyProtection="0"/>
    <xf numFmtId="172" fontId="14" fillId="7" borderId="0" applyNumberFormat="0" applyFont="0" applyBorder="0" applyAlignment="0" applyProtection="0">
      <alignment vertical="top"/>
    </xf>
    <xf numFmtId="172" fontId="5" fillId="3" borderId="0">
      <alignment horizontal="center"/>
    </xf>
    <xf numFmtId="174" fontId="3" fillId="0" borderId="0" applyFont="0" applyFill="0" applyBorder="0" applyAlignment="0" applyProtection="0"/>
    <xf numFmtId="0" fontId="15" fillId="0" borderId="0"/>
    <xf numFmtId="172" fontId="16" fillId="0" borderId="0" applyNumberFormat="0" applyFill="0" applyBorder="0" applyAlignment="0">
      <alignment vertical="top"/>
    </xf>
    <xf numFmtId="0" fontId="7" fillId="3" borderId="0" applyNumberFormat="0">
      <alignment horizontal="left"/>
    </xf>
    <xf numFmtId="172" fontId="14" fillId="0" borderId="0">
      <alignment vertical="top"/>
    </xf>
    <xf numFmtId="0" fontId="17" fillId="6" borderId="0" applyNumberFormat="0" applyAlignment="0">
      <alignment horizontal="left"/>
    </xf>
    <xf numFmtId="0" fontId="18" fillId="0" borderId="0" applyNumberFormat="0" applyFill="0" applyBorder="0">
      <alignment horizontal="left" vertical="center"/>
    </xf>
    <xf numFmtId="174" fontId="13" fillId="10" borderId="3" applyNumberFormat="0">
      <protection locked="0"/>
    </xf>
    <xf numFmtId="175" fontId="1" fillId="0" borderId="0" applyNumberFormat="0" applyFill="0" applyBorder="0" applyAlignment="0" applyProtection="0"/>
  </cellStyleXfs>
  <cellXfs count="89">
    <xf numFmtId="175" fontId="0" fillId="0" borderId="0" xfId="0"/>
    <xf numFmtId="164" fontId="0" fillId="0" borderId="0" xfId="0" applyNumberFormat="1"/>
    <xf numFmtId="3" fontId="0" fillId="0" borderId="0" xfId="0" applyNumberFormat="1"/>
    <xf numFmtId="175" fontId="0" fillId="0" borderId="0" xfId="0" quotePrefix="1"/>
    <xf numFmtId="3" fontId="2" fillId="0" borderId="0" xfId="0" applyNumberFormat="1" applyFont="1"/>
    <xf numFmtId="166" fontId="6" fillId="0" borderId="0" xfId="2" applyNumberFormat="1"/>
    <xf numFmtId="166" fontId="0" fillId="0" borderId="0" xfId="0" applyNumberFormat="1"/>
    <xf numFmtId="175" fontId="4" fillId="0" borderId="0" xfId="0" applyFont="1"/>
    <xf numFmtId="175" fontId="7" fillId="3" borderId="0" xfId="0" applyFont="1" applyFill="1"/>
    <xf numFmtId="175" fontId="5" fillId="4" borderId="0" xfId="0" applyFont="1" applyFill="1"/>
    <xf numFmtId="175" fontId="5" fillId="3" borderId="0" xfId="0" applyFont="1" applyFill="1"/>
    <xf numFmtId="175" fontId="8" fillId="0" borderId="0" xfId="0" applyFont="1"/>
    <xf numFmtId="167" fontId="5" fillId="4" borderId="0" xfId="0" applyNumberFormat="1" applyFont="1" applyFill="1"/>
    <xf numFmtId="175" fontId="5" fillId="4" borderId="0" xfId="0" applyFont="1" applyFill="1" applyAlignment="1">
      <alignment horizontal="right"/>
    </xf>
    <xf numFmtId="175" fontId="13" fillId="0" borderId="0" xfId="12" applyNumberFormat="1" applyFill="1"/>
    <xf numFmtId="165" fontId="19" fillId="0" borderId="0" xfId="0" applyNumberFormat="1" applyFont="1"/>
    <xf numFmtId="3" fontId="19" fillId="0" borderId="0" xfId="0" applyNumberFormat="1" applyFont="1"/>
    <xf numFmtId="175" fontId="19" fillId="0" borderId="0" xfId="0" applyFont="1"/>
    <xf numFmtId="176" fontId="19" fillId="0" borderId="0" xfId="1" applyFont="1" applyFill="1"/>
    <xf numFmtId="176" fontId="0" fillId="0" borderId="0" xfId="1" applyFont="1" applyFill="1"/>
    <xf numFmtId="177" fontId="13" fillId="0" borderId="0" xfId="12" applyNumberFormat="1" applyFill="1"/>
    <xf numFmtId="175" fontId="20" fillId="0" borderId="0" xfId="0" applyFont="1"/>
    <xf numFmtId="175" fontId="13" fillId="8" borderId="3" xfId="4" applyNumberFormat="1">
      <protection locked="0"/>
    </xf>
    <xf numFmtId="176" fontId="13" fillId="8" borderId="3" xfId="4" applyNumberFormat="1">
      <protection locked="0"/>
    </xf>
    <xf numFmtId="166" fontId="13" fillId="8" borderId="3" xfId="4" applyNumberFormat="1">
      <protection locked="0"/>
    </xf>
    <xf numFmtId="165" fontId="13" fillId="8" borderId="3" xfId="4" applyNumberFormat="1">
      <protection locked="0"/>
    </xf>
    <xf numFmtId="169" fontId="13" fillId="0" borderId="0" xfId="12" applyNumberFormat="1" applyFill="1"/>
    <xf numFmtId="2" fontId="13" fillId="8" borderId="3" xfId="4" applyNumberFormat="1">
      <protection locked="0"/>
    </xf>
    <xf numFmtId="175" fontId="18" fillId="0" borderId="0" xfId="21" applyNumberFormat="1">
      <alignment horizontal="left" vertical="center"/>
    </xf>
    <xf numFmtId="169" fontId="19" fillId="0" borderId="0" xfId="0" applyNumberFormat="1" applyFont="1"/>
    <xf numFmtId="176" fontId="13" fillId="8" borderId="3" xfId="1" applyFont="1" applyFill="1" applyBorder="1" applyProtection="1">
      <protection locked="0"/>
    </xf>
    <xf numFmtId="173" fontId="5" fillId="4" borderId="0" xfId="10" applyFont="1" applyFill="1" applyAlignment="1">
      <alignment horizontal="right"/>
    </xf>
    <xf numFmtId="168" fontId="19" fillId="0" borderId="0" xfId="0" applyNumberFormat="1" applyFont="1"/>
    <xf numFmtId="175" fontId="21" fillId="0" borderId="0" xfId="0" applyFont="1"/>
    <xf numFmtId="175" fontId="18" fillId="0" borderId="0" xfId="21" applyNumberFormat="1" applyFill="1">
      <alignment horizontal="left" vertical="center"/>
    </xf>
    <xf numFmtId="175" fontId="5" fillId="0" borderId="0" xfId="0" applyFont="1"/>
    <xf numFmtId="167" fontId="5" fillId="0" borderId="0" xfId="0" applyNumberFormat="1" applyFont="1"/>
    <xf numFmtId="175" fontId="7" fillId="3" borderId="0" xfId="18" applyNumberFormat="1">
      <alignment horizontal="left"/>
    </xf>
    <xf numFmtId="3" fontId="21" fillId="0" borderId="0" xfId="0" applyNumberFormat="1" applyFont="1"/>
    <xf numFmtId="172" fontId="7" fillId="3" borderId="0" xfId="18" applyNumberFormat="1" applyAlignment="1"/>
    <xf numFmtId="175" fontId="9" fillId="3" borderId="0" xfId="0" applyFont="1" applyFill="1"/>
    <xf numFmtId="172" fontId="17" fillId="6" borderId="0" xfId="20" applyNumberFormat="1" applyAlignment="1"/>
    <xf numFmtId="175" fontId="22" fillId="6" borderId="0" xfId="0" applyFont="1" applyFill="1"/>
    <xf numFmtId="175" fontId="10" fillId="9" borderId="0" xfId="0" applyFont="1" applyFill="1"/>
    <xf numFmtId="175" fontId="10" fillId="5" borderId="0" xfId="6" applyNumberFormat="1" applyFont="1" applyAlignment="1"/>
    <xf numFmtId="172" fontId="23" fillId="5" borderId="0" xfId="6" applyNumberFormat="1" applyFont="1" applyAlignment="1">
      <alignment vertical="center" wrapText="1"/>
    </xf>
    <xf numFmtId="175" fontId="10" fillId="5" borderId="0" xfId="6" applyNumberFormat="1" applyFont="1" applyAlignment="1">
      <alignment horizontal="left" vertical="top"/>
    </xf>
    <xf numFmtId="175" fontId="14" fillId="5" borderId="0" xfId="6" applyNumberFormat="1" applyFont="1" applyAlignment="1">
      <alignment horizontal="center" vertical="top"/>
    </xf>
    <xf numFmtId="175" fontId="0" fillId="5" borderId="0" xfId="6" applyNumberFormat="1" applyFont="1" applyAlignment="1"/>
    <xf numFmtId="175" fontId="10" fillId="5" borderId="0" xfId="6" applyNumberFormat="1" applyFont="1" applyAlignment="1">
      <alignment vertical="top"/>
    </xf>
    <xf numFmtId="175" fontId="14" fillId="5" borderId="0" xfId="6" applyNumberFormat="1" applyFont="1" applyAlignment="1">
      <alignment vertical="top"/>
    </xf>
    <xf numFmtId="175" fontId="10" fillId="5" borderId="0" xfId="6" applyNumberFormat="1" applyFont="1" applyAlignment="1">
      <alignment vertical="top" wrapText="1"/>
    </xf>
    <xf numFmtId="172" fontId="10" fillId="5" borderId="0" xfId="6" applyNumberFormat="1" applyFont="1" applyAlignment="1">
      <alignment vertical="top"/>
    </xf>
    <xf numFmtId="172" fontId="14" fillId="5" borderId="0" xfId="6" applyNumberFormat="1" applyFont="1" applyAlignment="1">
      <alignment horizontal="center" vertical="top"/>
    </xf>
    <xf numFmtId="172" fontId="10" fillId="5" borderId="0" xfId="6" applyNumberFormat="1" applyFont="1" applyAlignment="1"/>
    <xf numFmtId="172" fontId="24" fillId="5" borderId="0" xfId="6" applyNumberFormat="1" applyFont="1" applyAlignment="1">
      <alignment vertical="center" wrapText="1"/>
    </xf>
    <xf numFmtId="175" fontId="10" fillId="5" borderId="2" xfId="6" applyNumberFormat="1" applyFont="1" applyBorder="1" applyAlignment="1">
      <alignment vertical="top"/>
    </xf>
    <xf numFmtId="175" fontId="23" fillId="0" borderId="0" xfId="0" applyFont="1" applyAlignment="1">
      <alignment vertical="center" wrapText="1"/>
    </xf>
    <xf numFmtId="175" fontId="18" fillId="5" borderId="0" xfId="6" applyNumberFormat="1" applyFont="1" applyAlignment="1">
      <alignment vertical="center"/>
    </xf>
    <xf numFmtId="175" fontId="14" fillId="0" borderId="0" xfId="0" applyFont="1" applyAlignment="1">
      <alignment horizontal="center" vertical="top"/>
    </xf>
    <xf numFmtId="175" fontId="10" fillId="0" borderId="0" xfId="0" applyFont="1" applyAlignment="1">
      <alignment vertical="top"/>
    </xf>
    <xf numFmtId="172" fontId="13" fillId="10" borderId="3" xfId="22" applyNumberFormat="1">
      <protection locked="0"/>
    </xf>
    <xf numFmtId="172" fontId="13" fillId="0" borderId="0" xfId="12" applyFill="1" applyBorder="1" applyAlignment="1">
      <alignment vertical="top"/>
    </xf>
    <xf numFmtId="172" fontId="10" fillId="0" borderId="0" xfId="6" applyNumberFormat="1" applyFont="1" applyFill="1" applyAlignment="1"/>
    <xf numFmtId="175" fontId="0" fillId="5" borderId="0" xfId="6" applyNumberFormat="1" applyFont="1" applyAlignment="1">
      <alignment horizontal="left"/>
    </xf>
    <xf numFmtId="175" fontId="10" fillId="0" borderId="0" xfId="0" applyFont="1"/>
    <xf numFmtId="173" fontId="5" fillId="4" borderId="0" xfId="10" applyFont="1" applyFill="1"/>
    <xf numFmtId="175" fontId="9" fillId="0" borderId="0" xfId="0" applyFont="1"/>
    <xf numFmtId="175" fontId="18" fillId="0" borderId="0" xfId="0" applyFont="1" applyAlignment="1">
      <alignment vertical="center"/>
    </xf>
    <xf numFmtId="172" fontId="10" fillId="5" borderId="0" xfId="6" applyNumberFormat="1" applyFont="1" applyAlignment="1">
      <alignment horizontal="left" vertical="top"/>
    </xf>
    <xf numFmtId="175" fontId="14" fillId="5" borderId="2" xfId="6" applyNumberFormat="1" applyFont="1" applyBorder="1" applyAlignment="1">
      <alignment horizontal="center" vertical="top"/>
    </xf>
    <xf numFmtId="175" fontId="10" fillId="5" borderId="2" xfId="6" applyNumberFormat="1" applyFont="1" applyBorder="1" applyAlignment="1"/>
    <xf numFmtId="175" fontId="23" fillId="5" borderId="2" xfId="6" applyNumberFormat="1" applyFont="1" applyBorder="1" applyAlignment="1">
      <alignment vertical="center" wrapText="1"/>
    </xf>
    <xf numFmtId="175" fontId="17" fillId="6" borderId="0" xfId="20" applyNumberFormat="1" applyAlignment="1"/>
    <xf numFmtId="175" fontId="19" fillId="11" borderId="0" xfId="0" applyFont="1" applyFill="1"/>
    <xf numFmtId="169" fontId="19" fillId="11" borderId="0" xfId="0" applyNumberFormat="1" applyFont="1" applyFill="1"/>
    <xf numFmtId="175" fontId="0" fillId="11" borderId="0" xfId="0" applyFill="1"/>
    <xf numFmtId="177" fontId="19" fillId="0" borderId="0" xfId="0" applyNumberFormat="1" applyFont="1"/>
    <xf numFmtId="175" fontId="3" fillId="0" borderId="0" xfId="0" applyFont="1"/>
    <xf numFmtId="175" fontId="0" fillId="0" borderId="0" xfId="0"/>
    <xf numFmtId="172" fontId="7" fillId="3" borderId="0" xfId="18" applyNumberFormat="1" applyAlignment="1">
      <alignment horizontal="center"/>
    </xf>
    <xf numFmtId="172" fontId="7" fillId="6" borderId="0" xfId="20" applyNumberFormat="1" applyFont="1" applyAlignment="1">
      <alignment horizontal="center" vertical="center"/>
    </xf>
    <xf numFmtId="172" fontId="10" fillId="5" borderId="0" xfId="6" applyNumberFormat="1" applyFont="1" applyAlignment="1">
      <alignment horizontal="left" vertical="top"/>
    </xf>
    <xf numFmtId="172" fontId="0" fillId="5" borderId="0" xfId="0" applyNumberFormat="1" applyFill="1" applyAlignment="1">
      <alignment horizontal="center" vertical="center" wrapText="1"/>
    </xf>
    <xf numFmtId="172" fontId="1" fillId="5" borderId="0" xfId="23" applyNumberFormat="1" applyFill="1" applyBorder="1" applyAlignment="1">
      <alignment horizontal="center" vertical="center" wrapText="1"/>
    </xf>
    <xf numFmtId="175" fontId="0" fillId="5" borderId="0" xfId="6" applyNumberFormat="1" applyFont="1" applyAlignment="1"/>
    <xf numFmtId="175" fontId="18" fillId="5" borderId="0" xfId="6" applyNumberFormat="1" applyFont="1" applyAlignment="1">
      <alignment horizontal="left" vertical="center"/>
    </xf>
    <xf numFmtId="173" fontId="0" fillId="5" borderId="0" xfId="6" applyNumberFormat="1" applyFont="1" applyAlignment="1">
      <alignment horizontal="left"/>
    </xf>
    <xf numFmtId="175" fontId="0" fillId="5" borderId="0" xfId="6" applyNumberFormat="1" applyFont="1" applyAlignment="1">
      <alignment horizontal="left"/>
    </xf>
  </cellXfs>
  <cellStyles count="24">
    <cellStyle name="Actual" xfId="2" xr:uid="{97E25581-C224-4B27-A13F-1F353340A930}"/>
    <cellStyle name="Assumption" xfId="3" xr:uid="{3187E4D1-476E-4A2B-A7DF-D451914E0590}"/>
    <cellStyle name="b" xfId="5" xr:uid="{12639F8F-C8A8-48AD-B9CE-2730E06ED6B5}"/>
    <cellStyle name="Background Fill" xfId="6" xr:uid="{5C9A1FC9-9195-4324-A608-6DB1E44E08D4}"/>
    <cellStyle name="BG Border" xfId="7" xr:uid="{453E6B1C-DBBD-4610-A661-9033B28E3B75}"/>
    <cellStyle name="Blank" xfId="8" xr:uid="{5EFBBDB1-4EA0-4791-9E62-365F264A19DC}"/>
    <cellStyle name="Cover Title" xfId="9" xr:uid="{B4AE85A9-F608-4FC9-86C2-5012675568DD}"/>
    <cellStyle name="Date" xfId="10" xr:uid="{E0EBD866-050C-4EFC-960A-F9C8CAC0ABB8}"/>
    <cellStyle name="Date Heading" xfId="11" xr:uid="{B4E91571-66F6-42E3-A170-DA1DA54AC75E}"/>
    <cellStyle name="Hard Coded Number" xfId="12" xr:uid="{735B95DA-FF94-492E-83FD-1692ACF5DBDC}"/>
    <cellStyle name="Highlight" xfId="13" xr:uid="{5ECF2C2C-EEC7-4762-84D0-7331BD6CFDA7}"/>
    <cellStyle name="Hist Proj Title" xfId="14" xr:uid="{AEC9CDA8-4DCE-4809-B423-7B735C453C76}"/>
    <cellStyle name="Hyperlink 2" xfId="23" xr:uid="{DA3B4336-E810-4A3D-8804-FABFA760031F}"/>
    <cellStyle name="Input" xfId="4" builtinId="20" customBuiltin="1"/>
    <cellStyle name="Input 2" xfId="22" xr:uid="{4D17C40B-EB54-4C1A-9158-A2022B33CD35}"/>
    <cellStyle name="Multiple" xfId="15" xr:uid="{4A3B63C0-C853-49A0-9238-A8BFFE4531DF}"/>
    <cellStyle name="Normal" xfId="0" builtinId="0" customBuiltin="1"/>
    <cellStyle name="Normal 2" xfId="16" xr:uid="{2C5DBBD8-044E-495C-95ED-A769068DA73B}"/>
    <cellStyle name="Notes and Comments" xfId="17" xr:uid="{72BE53B3-4E7D-4F25-937D-AC2CE6F6AE7A}"/>
    <cellStyle name="Percent" xfId="1" builtinId="5" customBuiltin="1"/>
    <cellStyle name="Primary Title" xfId="18" xr:uid="{638B5DAE-8E18-4FEB-A806-B80DB87F2815}"/>
    <cellStyle name="Row Label" xfId="19" xr:uid="{BC6523AB-225D-41EB-8768-88C01A2F458C}"/>
    <cellStyle name="Secondary Title" xfId="20" xr:uid="{C9B9C399-4D89-4A96-BB6B-E99C8BAA8C6D}"/>
    <cellStyle name="Tertiary Title" xfId="21" xr:uid="{8FD764E0-9774-4350-AD02-D976D0A1963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466724</xdr:colOff>
      <xdr:row>0</xdr:row>
      <xdr:rowOff>1552395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1249A5-D93A-4B3A-8111-EAE63F69A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9385" y="1021080"/>
          <a:ext cx="3720465" cy="531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17</xdr:col>
      <xdr:colOff>2286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038C2-A28A-4B2F-B867-C5AC4987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59" y="123820"/>
          <a:ext cx="408966" cy="3428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borah%20Taylor\AppData\Local\Packages\Microsoft.Office.Desktop_8wekyb3d8bbwe\LocalCache\Roaming\Microsoft\Excel\Burberry%20Financial%20Forecasting%20Full%20Instructor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w%20Jones\AppData\Roaming\Microsoft\AddIns\FE%20Training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Info"/>
      <sheetName val="IS"/>
      <sheetName val="BS"/>
      <sheetName val="CFS"/>
      <sheetName val="Segments"/>
      <sheetName val="Scenarios"/>
      <sheetName val="Benchmark vs Consensus"/>
    </sheetNames>
    <sheetDataSet>
      <sheetData sheetId="0"/>
      <sheetData sheetId="1">
        <row r="10">
          <cell r="N10">
            <v>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"/>
      <sheetName val="Shortcuts"/>
      <sheetName val="Constants"/>
      <sheetName val="FE Training"/>
    </sheetNames>
    <definedNames>
      <definedName name="FR"/>
    </definedNames>
    <sheetDataSet>
      <sheetData sheetId="0"/>
      <sheetData sheetId="1"/>
      <sheetData sheetId="2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nathan Rodgers" id="{7E527EF0-B477-4BDB-9F59-321CA0B74F05}" userId="98b3f7c3c19747b1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4" dT="2021-01-20T13:50:30.38" personId="{7E527EF0-B477-4BDB-9F59-321CA0B74F05}" id="{7871CDA2-251D-4BD8-B227-E65EA7AD45E0}">
    <text>Net of treasury shares</text>
  </threadedComment>
  <threadedComment ref="F44" dT="2021-01-20T13:54:12.93" personId="{7E527EF0-B477-4BDB-9F59-321CA0B74F05}" id="{60565572-0F2C-4E20-8944-19E6C2BF02BD}">
    <text>Discrepancy between 2018 and 2019 ARs on 2018 shares outstanding, but this seems to make more sense</text>
  </threadedComment>
  <threadedComment ref="G51" dT="2021-01-15T13:38:32.37" personId="{7E527EF0-B477-4BDB-9F59-321CA0B74F05}" id="{2BF85314-ED29-4647-B13E-FC6E4B8AA6AE}">
    <text>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9" dT="2021-01-19T14:06:34.73" personId="{7E527EF0-B477-4BDB-9F59-321CA0B74F05}" id="{4445CCC0-0BFF-4B68-B59E-C79992857DCE}">
    <text>Realistically this would be more likely tied in to specific drug launches given a lot of it is capitalised R&amp;D</text>
  </threadedComment>
  <threadedComment ref="G62" dT="2021-01-19T11:52:46.70" personId="{7E527EF0-B477-4BDB-9F59-321CA0B74F05}" id="{3867620D-EE99-4C40-A339-7DEBA62576D6}">
    <text>Includes 17,411 lease liabilities (0 in 2018)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47" dT="2021-01-19T11:56:21.88" personId="{7E527EF0-B477-4BDB-9F59-321CA0B74F05}" id="{198FAC28-6B37-4BAA-9427-62CD8DD463E4}">
    <text>Includes 617 other financial income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17" dT="2021-01-18T09:46:05.99" personId="{7E527EF0-B477-4BDB-9F59-321CA0B74F05}" id="{AFAB550C-0B8E-4876-BE11-D53496397746}">
    <text>Net of discounts to the National Health System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12" dT="2021-01-18T10:18:58.36" personId="{7E527EF0-B477-4BDB-9F59-321CA0B74F05}" id="{77B56892-DCF3-4031-8AD3-2DC2410017AD}">
    <text>2015-2019 CAGR of 20%</text>
  </threadedComment>
  <threadedComment ref="C13" dT="2021-01-18T10:19:11.82" personId="{7E527EF0-B477-4BDB-9F59-321CA0B74F05}" id="{E6FB80FE-A05E-42E2-921C-73A8A9FCBD36}">
    <text>2015-2019 CAGR of 8.5%</text>
  </threadedComment>
  <threadedComment ref="B31" dT="2021-01-20T11:10:03.00" personId="{7E527EF0-B477-4BDB-9F59-321CA0B74F05}" id="{7652B98C-C59A-4CBB-A49D-3ECEFD5AF955}">
    <text>Impact of price pressure etc.</text>
  </threadedComment>
  <threadedComment ref="B50" dT="2021-01-20T11:12:23.92" personId="{7E527EF0-B477-4BDB-9F59-321CA0B74F05}" id="{0C321305-C7A0-4F9B-9F18-A37BFF98102A}">
    <text>Assumed to fade down after peak</text>
  </threadedComment>
  <threadedComment ref="C63" dT="2021-01-18T11:15:35.36" personId="{7E527EF0-B477-4BDB-9F59-321CA0B74F05}" id="{00FA7312-3394-4AC2-AA10-ED0B5EF9EC0E}">
    <text>US would be a full indirect market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CBBE-43FB-44F2-882B-2DE2290EA46D}">
  <dimension ref="A1:U19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1328125" customWidth="1"/>
    <col min="14" max="14" width="9.86328125" customWidth="1"/>
    <col min="15" max="26" width="9.1328125" customWidth="1"/>
  </cols>
  <sheetData>
    <row r="1" spans="1:21" s="67" customFormat="1" ht="189.75" customHeight="1" x14ac:dyDescent="0.8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/>
      <c r="P1"/>
      <c r="Q1"/>
      <c r="R1"/>
      <c r="S1"/>
      <c r="T1"/>
      <c r="U1"/>
    </row>
    <row r="2" spans="1:21" s="60" customFormat="1" ht="75" customHeight="1" x14ac:dyDescent="0.4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/>
      <c r="P2"/>
      <c r="Q2"/>
      <c r="R2"/>
      <c r="S2"/>
      <c r="T2"/>
      <c r="U2"/>
    </row>
    <row r="3" spans="1:21" s="65" customFormat="1" ht="7.5" customHeight="1" x14ac:dyDescent="0.45">
      <c r="B3" s="68"/>
      <c r="C3" s="68"/>
      <c r="F3" s="57"/>
      <c r="G3" s="57"/>
      <c r="H3" s="57"/>
      <c r="I3" s="57"/>
      <c r="J3" s="57"/>
      <c r="K3" s="57"/>
      <c r="O3"/>
      <c r="P3"/>
      <c r="Q3"/>
      <c r="R3"/>
      <c r="S3"/>
      <c r="T3"/>
      <c r="U3"/>
    </row>
    <row r="4" spans="1:21" s="65" customFormat="1" ht="15" customHeight="1" x14ac:dyDescent="0.45">
      <c r="A4" s="69"/>
      <c r="B4" s="53"/>
      <c r="C4" s="82"/>
      <c r="D4" s="82"/>
      <c r="E4" s="54"/>
      <c r="F4" s="45"/>
      <c r="G4" s="45"/>
      <c r="H4" s="45"/>
      <c r="I4" s="45"/>
      <c r="J4" s="45"/>
      <c r="K4" s="45"/>
      <c r="L4" s="54"/>
      <c r="M4" s="54"/>
      <c r="N4" s="54"/>
      <c r="O4"/>
      <c r="P4"/>
      <c r="Q4"/>
      <c r="R4"/>
      <c r="S4"/>
      <c r="T4"/>
      <c r="U4"/>
    </row>
    <row r="5" spans="1:21" s="65" customFormat="1" ht="15" customHeight="1" x14ac:dyDescent="0.45">
      <c r="A5" s="83" t="s">
        <v>209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/>
      <c r="P5"/>
      <c r="Q5"/>
      <c r="R5"/>
      <c r="S5"/>
      <c r="T5"/>
      <c r="U5"/>
    </row>
    <row r="6" spans="1:21" s="65" customFormat="1" ht="15" customHeight="1" x14ac:dyDescent="0.45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/>
      <c r="P6"/>
      <c r="Q6"/>
      <c r="R6"/>
      <c r="S6"/>
      <c r="T6"/>
      <c r="U6"/>
    </row>
    <row r="7" spans="1:21" s="65" customFormat="1" ht="15" customHeight="1" x14ac:dyDescent="0.45">
      <c r="A7" s="83" t="str">
        <f ca="1">"© "&amp;YEAR(TODAY())&amp;" Financial Edge Training"</f>
        <v>© 2026 Financial Edge Training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/>
      <c r="P7"/>
      <c r="Q7"/>
      <c r="R7"/>
      <c r="S7"/>
      <c r="T7"/>
      <c r="U7"/>
    </row>
    <row r="8" spans="1:21" s="65" customFormat="1" ht="15" customHeight="1" x14ac:dyDescent="0.45">
      <c r="A8" s="84" t="s">
        <v>210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/>
      <c r="P8"/>
      <c r="Q8"/>
      <c r="R8"/>
      <c r="S8"/>
      <c r="T8"/>
      <c r="U8"/>
    </row>
    <row r="9" spans="1:21" s="65" customFormat="1" ht="15" customHeight="1" thickBot="1" x14ac:dyDescent="0.5">
      <c r="A9" s="56"/>
      <c r="B9" s="70"/>
      <c r="C9" s="56"/>
      <c r="D9" s="56"/>
      <c r="E9" s="71"/>
      <c r="F9" s="72"/>
      <c r="G9" s="72"/>
      <c r="H9" s="72"/>
      <c r="I9" s="72"/>
      <c r="J9" s="72"/>
      <c r="K9" s="72"/>
      <c r="L9" s="71"/>
      <c r="M9" s="71"/>
      <c r="N9" s="71"/>
      <c r="O9"/>
      <c r="P9"/>
      <c r="Q9"/>
      <c r="R9"/>
      <c r="S9"/>
      <c r="T9"/>
      <c r="U9"/>
    </row>
    <row r="10" spans="1:21" s="65" customFormat="1" ht="15" customHeight="1" x14ac:dyDescent="0.45">
      <c r="A10"/>
      <c r="B10"/>
      <c r="C10"/>
      <c r="D10"/>
      <c r="E10"/>
      <c r="F10"/>
      <c r="G10" s="79"/>
      <c r="H10" s="79"/>
      <c r="I10" s="79"/>
      <c r="J10" s="79"/>
      <c r="K10"/>
      <c r="L10"/>
      <c r="M10"/>
      <c r="N10"/>
      <c r="O10"/>
      <c r="P10"/>
      <c r="Q10"/>
      <c r="R10"/>
      <c r="S10"/>
      <c r="T10"/>
      <c r="U10"/>
    </row>
    <row r="11" spans="1:21" s="65" customFormat="1" ht="15" customHeight="1" x14ac:dyDescent="0.45">
      <c r="A11"/>
      <c r="B11"/>
      <c r="C11"/>
      <c r="D11"/>
      <c r="E11"/>
      <c r="F11"/>
      <c r="G11" s="79"/>
      <c r="H11" s="79"/>
      <c r="I11" s="79"/>
      <c r="J11" s="79"/>
      <c r="K11"/>
      <c r="L11"/>
      <c r="M11"/>
      <c r="N11"/>
      <c r="O11"/>
      <c r="P11"/>
      <c r="Q11"/>
      <c r="R11"/>
      <c r="S11"/>
      <c r="T11"/>
      <c r="U11"/>
    </row>
    <row r="12" spans="1:21" s="65" customFormat="1" ht="15" customHeight="1" x14ac:dyDescent="0.4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65" customFormat="1" ht="15" customHeight="1" x14ac:dyDescent="0.45">
      <c r="A13"/>
      <c r="B13"/>
      <c r="C13"/>
      <c r="D13"/>
      <c r="E13"/>
      <c r="F13"/>
      <c r="G13" s="79"/>
      <c r="H13" s="79"/>
      <c r="I13" s="79"/>
      <c r="J13" s="79"/>
      <c r="K13"/>
      <c r="L13"/>
      <c r="M13"/>
      <c r="N13"/>
      <c r="O13"/>
      <c r="P13"/>
      <c r="Q13"/>
      <c r="R13"/>
      <c r="S13"/>
      <c r="T13"/>
      <c r="U13"/>
    </row>
    <row r="14" spans="1:21" s="65" customFormat="1" ht="15" customHeight="1" x14ac:dyDescent="0.45">
      <c r="A14"/>
      <c r="B14"/>
      <c r="C14"/>
      <c r="D14"/>
      <c r="E14"/>
      <c r="F14"/>
      <c r="G14" s="79"/>
      <c r="H14" s="79"/>
      <c r="I14" s="79"/>
      <c r="J14" s="79"/>
      <c r="K14"/>
      <c r="L14"/>
      <c r="M14"/>
      <c r="N14"/>
      <c r="O14"/>
      <c r="P14"/>
      <c r="Q14"/>
      <c r="R14"/>
      <c r="S14"/>
      <c r="T14"/>
      <c r="U14"/>
    </row>
    <row r="15" spans="1:21" s="65" customFormat="1" ht="15" customHeight="1" x14ac:dyDescent="0.45">
      <c r="A15"/>
      <c r="B15"/>
      <c r="C15"/>
      <c r="D15"/>
      <c r="E15"/>
      <c r="F15"/>
      <c r="G15" s="79"/>
      <c r="H15" s="79"/>
      <c r="I15" s="79"/>
      <c r="J15" s="79"/>
      <c r="K15"/>
      <c r="L15"/>
      <c r="M15"/>
      <c r="N15"/>
      <c r="O15"/>
      <c r="P15"/>
      <c r="Q15"/>
      <c r="R15"/>
      <c r="S15"/>
      <c r="T15"/>
      <c r="U15"/>
    </row>
    <row r="16" spans="1:21" s="65" customFormat="1" ht="15" customHeight="1" x14ac:dyDescent="0.4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65" customFormat="1" ht="15" customHeight="1" x14ac:dyDescent="0.45">
      <c r="A17"/>
      <c r="B17"/>
      <c r="C17"/>
      <c r="D17"/>
      <c r="E17"/>
      <c r="F17"/>
      <c r="G17" s="79"/>
      <c r="H17" s="79"/>
      <c r="I17" s="79"/>
      <c r="J17" s="79"/>
      <c r="K17"/>
      <c r="L17"/>
      <c r="M17"/>
      <c r="N17"/>
      <c r="O17"/>
      <c r="P17"/>
      <c r="Q17"/>
      <c r="R17"/>
      <c r="S17"/>
      <c r="T17"/>
      <c r="U17"/>
    </row>
    <row r="18" spans="1:21" s="65" customFormat="1" ht="15" customHeight="1" x14ac:dyDescent="0.4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45"/>
  </sheetData>
  <mergeCells count="9">
    <mergeCell ref="G10:J11"/>
    <mergeCell ref="G13:J15"/>
    <mergeCell ref="G17:J17"/>
    <mergeCell ref="A1:N1"/>
    <mergeCell ref="A2:N2"/>
    <mergeCell ref="C4:D4"/>
    <mergeCell ref="A5:N6"/>
    <mergeCell ref="A7:N7"/>
    <mergeCell ref="A8:N8"/>
  </mergeCells>
  <hyperlinks>
    <hyperlink ref="A8" r:id="rId1" xr:uid="{A6BEA0F0-09A2-436F-BA11-99DC998EC290}"/>
  </hyperlinks>
  <pageMargins left="0.7" right="0.7" top="0.75" bottom="0.75" header="0.3" footer="0.3"/>
  <pageSetup paperSize="9" orientation="landscape" verticalDpi="1200" r:id="rId2"/>
  <headerFooter>
    <oddHeader xml:space="preserve">&amp;R&amp;10&amp;F 
&amp;A
</oddHeader>
    <oddFooter>&amp;L&amp;10© 2020&amp;C&amp;10Page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1ECD4-9350-41FA-AAEB-C906626A873B}">
  <dimension ref="A1:X22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1328125" customWidth="1"/>
    <col min="4" max="4" width="2.86328125" customWidth="1"/>
    <col min="5" max="7" width="1.3984375" customWidth="1"/>
    <col min="8" max="8" width="2.86328125" customWidth="1"/>
    <col min="9" max="9" width="42.8632812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9.1328125" customWidth="1"/>
  </cols>
  <sheetData>
    <row r="1" spans="1:24" ht="45" customHeight="1" x14ac:dyDescent="0.85">
      <c r="A1" s="39" t="s">
        <v>222</v>
      </c>
      <c r="B1" s="39"/>
      <c r="C1" s="39"/>
      <c r="D1" s="39"/>
      <c r="E1" s="39"/>
      <c r="F1" s="39"/>
      <c r="G1" s="39"/>
      <c r="H1" s="39"/>
      <c r="I1" s="39"/>
      <c r="J1" s="40"/>
      <c r="K1" s="40"/>
      <c r="L1" s="40"/>
      <c r="M1" s="40"/>
      <c r="N1" s="40"/>
      <c r="O1" s="40"/>
      <c r="P1" s="40"/>
      <c r="Q1" s="40"/>
      <c r="R1" s="40"/>
    </row>
    <row r="2" spans="1:24" ht="30" customHeight="1" x14ac:dyDescent="0.6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2"/>
      <c r="M2" s="42"/>
      <c r="N2" s="42"/>
      <c r="O2" s="42"/>
      <c r="P2" s="42"/>
      <c r="Q2" s="42"/>
      <c r="R2" s="42"/>
    </row>
    <row r="3" spans="1:24" s="43" customFormat="1" ht="7.5" customHeight="1" x14ac:dyDescent="0.45">
      <c r="S3"/>
      <c r="T3"/>
      <c r="U3"/>
      <c r="V3"/>
      <c r="W3"/>
      <c r="X3"/>
    </row>
    <row r="4" spans="1:24" s="43" customFormat="1" ht="22.5" customHeight="1" x14ac:dyDescent="0.45">
      <c r="A4" s="44"/>
      <c r="B4" s="86" t="s">
        <v>182</v>
      </c>
      <c r="C4" s="86"/>
      <c r="D4" s="86"/>
      <c r="E4" s="86"/>
      <c r="F4" s="86"/>
      <c r="G4" s="86"/>
      <c r="H4" s="86"/>
      <c r="I4" s="86"/>
      <c r="K4" s="44"/>
      <c r="L4" s="86" t="s">
        <v>183</v>
      </c>
      <c r="M4" s="86"/>
      <c r="N4" s="86"/>
      <c r="O4" s="86"/>
      <c r="P4" s="86"/>
      <c r="Q4" s="45"/>
      <c r="R4" s="45"/>
      <c r="S4"/>
      <c r="T4"/>
      <c r="U4"/>
      <c r="V4"/>
      <c r="W4"/>
      <c r="X4"/>
    </row>
    <row r="5" spans="1:24" s="43" customFormat="1" ht="15" customHeight="1" x14ac:dyDescent="0.45">
      <c r="A5" s="46"/>
      <c r="B5" s="47" t="s">
        <v>184</v>
      </c>
      <c r="C5" s="48" t="s">
        <v>200</v>
      </c>
      <c r="D5" s="49"/>
      <c r="E5" s="49"/>
      <c r="F5" s="49"/>
      <c r="G5" s="49"/>
      <c r="H5" s="49"/>
      <c r="I5" s="49"/>
      <c r="K5" s="44"/>
      <c r="L5" s="50" t="s">
        <v>185</v>
      </c>
      <c r="M5" s="50"/>
      <c r="N5" s="85" t="s">
        <v>206</v>
      </c>
      <c r="O5" s="85"/>
      <c r="P5" s="85"/>
      <c r="Q5" s="85"/>
      <c r="R5" s="45"/>
      <c r="S5"/>
      <c r="T5"/>
      <c r="U5"/>
      <c r="V5"/>
      <c r="W5"/>
      <c r="X5"/>
    </row>
    <row r="6" spans="1:24" s="43" customFormat="1" ht="15" customHeight="1" x14ac:dyDescent="0.45">
      <c r="A6" s="51"/>
      <c r="B6" s="47"/>
      <c r="C6" s="48"/>
      <c r="D6" s="49"/>
      <c r="E6" s="49"/>
      <c r="F6" s="49"/>
      <c r="G6" s="49"/>
      <c r="H6" s="49"/>
      <c r="I6" s="49"/>
      <c r="K6" s="46"/>
      <c r="L6" s="50" t="s">
        <v>186</v>
      </c>
      <c r="M6" s="50"/>
      <c r="N6" s="87">
        <v>43830</v>
      </c>
      <c r="O6" s="87"/>
      <c r="P6" s="87"/>
      <c r="Q6" s="87"/>
      <c r="R6" s="45"/>
      <c r="S6"/>
      <c r="T6"/>
      <c r="U6"/>
      <c r="V6"/>
      <c r="W6"/>
      <c r="X6"/>
    </row>
    <row r="7" spans="1:24" s="43" customFormat="1" ht="15" customHeight="1" x14ac:dyDescent="0.45">
      <c r="A7" s="49"/>
      <c r="B7" s="47"/>
      <c r="C7" s="48"/>
      <c r="D7" s="49"/>
      <c r="E7" s="49"/>
      <c r="F7" s="49"/>
      <c r="G7" s="49"/>
      <c r="H7" s="49"/>
      <c r="I7" s="49"/>
      <c r="K7" s="51"/>
      <c r="L7" s="50" t="s">
        <v>0</v>
      </c>
      <c r="M7" s="50"/>
      <c r="N7" s="85" t="s">
        <v>207</v>
      </c>
      <c r="O7" s="85"/>
      <c r="P7" s="85"/>
      <c r="Q7" s="85"/>
      <c r="R7" s="45"/>
      <c r="S7"/>
      <c r="T7"/>
      <c r="U7"/>
      <c r="V7"/>
      <c r="W7"/>
      <c r="X7"/>
    </row>
    <row r="8" spans="1:24" s="43" customFormat="1" ht="15" customHeight="1" x14ac:dyDescent="0.45">
      <c r="A8" s="49"/>
      <c r="B8" s="47"/>
      <c r="C8" s="49"/>
      <c r="D8" s="49"/>
      <c r="E8" s="49"/>
      <c r="F8" s="49"/>
      <c r="G8" s="49"/>
      <c r="H8" s="49"/>
      <c r="I8" s="49"/>
      <c r="K8" s="49"/>
      <c r="L8" s="50" t="s">
        <v>1</v>
      </c>
      <c r="M8" s="50"/>
      <c r="N8" s="85" t="s">
        <v>208</v>
      </c>
      <c r="O8" s="85"/>
      <c r="P8" s="85"/>
      <c r="Q8" s="85"/>
      <c r="R8" s="45"/>
      <c r="S8"/>
      <c r="T8"/>
      <c r="U8"/>
      <c r="V8"/>
      <c r="W8"/>
      <c r="X8"/>
    </row>
    <row r="9" spans="1:24" s="43" customFormat="1" ht="15" customHeight="1" x14ac:dyDescent="0.45">
      <c r="A9" s="52"/>
      <c r="B9" s="53"/>
      <c r="C9" s="52"/>
      <c r="D9" s="52"/>
      <c r="E9" s="52"/>
      <c r="F9" s="52"/>
      <c r="G9" s="52"/>
      <c r="H9" s="52"/>
      <c r="I9" s="52"/>
      <c r="K9" s="49"/>
      <c r="L9" s="50" t="s">
        <v>187</v>
      </c>
      <c r="M9" s="50"/>
      <c r="N9" s="85" t="s">
        <v>188</v>
      </c>
      <c r="O9" s="85"/>
      <c r="P9" s="85"/>
      <c r="Q9" s="85"/>
      <c r="R9" s="45"/>
      <c r="S9"/>
      <c r="T9"/>
      <c r="U9"/>
      <c r="V9"/>
      <c r="W9"/>
      <c r="X9"/>
    </row>
    <row r="10" spans="1:24" s="43" customFormat="1" ht="15" customHeight="1" x14ac:dyDescent="0.45">
      <c r="A10" s="54"/>
      <c r="B10" s="54"/>
      <c r="C10" s="54"/>
      <c r="D10" s="54"/>
      <c r="E10" s="54"/>
      <c r="F10" s="54"/>
      <c r="G10" s="54"/>
      <c r="H10" s="54"/>
      <c r="I10" s="54"/>
      <c r="K10" s="49"/>
      <c r="L10" s="50" t="s">
        <v>189</v>
      </c>
      <c r="M10" s="50"/>
      <c r="N10" s="88">
        <v>1</v>
      </c>
      <c r="O10" s="88"/>
      <c r="P10" s="88"/>
      <c r="Q10" s="88"/>
      <c r="R10" s="55"/>
      <c r="S10"/>
      <c r="T10"/>
      <c r="U10"/>
      <c r="V10"/>
      <c r="W10"/>
      <c r="X10"/>
    </row>
    <row r="11" spans="1:24" s="43" customFormat="1" ht="15" customHeight="1" x14ac:dyDescent="0.45">
      <c r="A11" s="54"/>
      <c r="B11" s="54"/>
      <c r="C11" s="54"/>
      <c r="D11" s="54"/>
      <c r="E11" s="54"/>
      <c r="F11" s="54"/>
      <c r="G11" s="54"/>
      <c r="H11" s="54"/>
      <c r="I11" s="54"/>
      <c r="K11" s="49"/>
      <c r="L11" s="50" t="s">
        <v>205</v>
      </c>
      <c r="M11" s="50"/>
      <c r="N11" s="88">
        <v>1</v>
      </c>
      <c r="O11" s="88"/>
      <c r="P11" s="88"/>
      <c r="Q11" s="88"/>
      <c r="R11" s="55"/>
      <c r="S11"/>
      <c r="T11"/>
      <c r="U11"/>
      <c r="V11"/>
      <c r="W11"/>
      <c r="X11"/>
    </row>
    <row r="12" spans="1:24" s="43" customFormat="1" ht="15" customHeight="1" thickBot="1" x14ac:dyDescent="0.5">
      <c r="A12" s="56"/>
      <c r="B12" s="56"/>
      <c r="C12" s="56"/>
      <c r="D12" s="56"/>
      <c r="E12" s="56"/>
      <c r="F12" s="56"/>
      <c r="G12" s="56"/>
      <c r="H12" s="56"/>
      <c r="I12" s="56"/>
      <c r="K12" s="56"/>
      <c r="L12" s="56"/>
      <c r="M12" s="56"/>
      <c r="N12" s="56"/>
      <c r="O12" s="56"/>
      <c r="P12" s="56"/>
      <c r="Q12" s="56"/>
      <c r="R12" s="56"/>
      <c r="S12"/>
      <c r="T12"/>
      <c r="U12"/>
      <c r="V12"/>
      <c r="W12"/>
      <c r="X12"/>
    </row>
    <row r="13" spans="1:24" s="43" customFormat="1" ht="7.5" customHeight="1" x14ac:dyDescent="0.45">
      <c r="K13" s="57"/>
      <c r="L13" s="57"/>
      <c r="M13" s="57"/>
      <c r="N13" s="57"/>
      <c r="O13" s="57"/>
      <c r="P13" s="57"/>
      <c r="Q13" s="57"/>
      <c r="R13" s="57"/>
      <c r="S13"/>
      <c r="T13"/>
      <c r="U13"/>
      <c r="V13"/>
      <c r="W13"/>
      <c r="X13"/>
    </row>
    <row r="14" spans="1:24" s="43" customFormat="1" ht="22.5" customHeight="1" x14ac:dyDescent="0.45">
      <c r="A14" s="48"/>
      <c r="B14" s="86" t="s">
        <v>190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N14" s="44"/>
      <c r="O14" s="86" t="s">
        <v>191</v>
      </c>
      <c r="P14" s="86"/>
      <c r="Q14" s="86"/>
      <c r="R14" s="58"/>
      <c r="S14"/>
      <c r="T14"/>
      <c r="U14"/>
      <c r="V14"/>
      <c r="W14"/>
      <c r="X14"/>
    </row>
    <row r="15" spans="1:24" s="43" customFormat="1" ht="15" customHeight="1" x14ac:dyDescent="0.45">
      <c r="A15" s="49"/>
      <c r="B15" s="88" t="s">
        <v>192</v>
      </c>
      <c r="C15" s="88"/>
      <c r="D15" s="88" t="s">
        <v>2</v>
      </c>
      <c r="E15" s="88"/>
      <c r="F15" s="88"/>
      <c r="G15" s="88"/>
      <c r="H15" s="88"/>
      <c r="I15" s="88"/>
      <c r="J15" s="88"/>
      <c r="K15" s="88"/>
      <c r="L15" s="88"/>
      <c r="N15" s="46"/>
      <c r="O15" s="59"/>
      <c r="P15" s="60"/>
      <c r="Q15" s="60"/>
      <c r="R15" s="49"/>
      <c r="S15"/>
      <c r="T15"/>
      <c r="U15"/>
      <c r="V15"/>
      <c r="W15"/>
      <c r="X15"/>
    </row>
    <row r="16" spans="1:24" s="43" customFormat="1" ht="15" customHeight="1" x14ac:dyDescent="0.45">
      <c r="A16" s="49"/>
      <c r="B16" s="88" t="s">
        <v>193</v>
      </c>
      <c r="C16" s="88"/>
      <c r="D16" s="88" t="s">
        <v>33</v>
      </c>
      <c r="E16" s="88"/>
      <c r="F16" s="88"/>
      <c r="G16" s="88"/>
      <c r="H16" s="88"/>
      <c r="I16" s="88"/>
      <c r="J16" s="88"/>
      <c r="K16" s="88"/>
      <c r="L16" s="88"/>
      <c r="N16" s="51"/>
      <c r="O16" s="59"/>
      <c r="P16" s="61" t="s">
        <v>194</v>
      </c>
      <c r="Q16" s="60"/>
      <c r="R16" s="49"/>
      <c r="S16"/>
      <c r="T16"/>
      <c r="U16"/>
      <c r="V16"/>
      <c r="W16"/>
      <c r="X16"/>
    </row>
    <row r="17" spans="1:24" s="43" customFormat="1" ht="15" customHeight="1" x14ac:dyDescent="0.45">
      <c r="A17" s="49"/>
      <c r="B17" s="88" t="s">
        <v>195</v>
      </c>
      <c r="C17" s="88"/>
      <c r="D17" s="88" t="s">
        <v>196</v>
      </c>
      <c r="E17" s="88"/>
      <c r="F17" s="88"/>
      <c r="G17" s="88"/>
      <c r="H17" s="88"/>
      <c r="I17" s="88"/>
      <c r="J17" s="88"/>
      <c r="K17" s="88"/>
      <c r="L17" s="88"/>
      <c r="N17" s="49"/>
      <c r="O17" s="59"/>
      <c r="P17" s="62" t="s">
        <v>197</v>
      </c>
      <c r="Q17" s="60"/>
      <c r="R17" s="49"/>
      <c r="S17"/>
      <c r="T17"/>
      <c r="U17"/>
      <c r="V17"/>
      <c r="W17"/>
      <c r="X17"/>
    </row>
    <row r="18" spans="1:24" s="43" customFormat="1" ht="15" customHeight="1" x14ac:dyDescent="0.45">
      <c r="A18" s="49"/>
      <c r="B18" s="88" t="s">
        <v>201</v>
      </c>
      <c r="C18" s="88"/>
      <c r="D18" s="88" t="s">
        <v>204</v>
      </c>
      <c r="E18" s="88"/>
      <c r="F18" s="88"/>
      <c r="G18" s="88"/>
      <c r="H18" s="88"/>
      <c r="I18" s="88"/>
      <c r="J18" s="88"/>
      <c r="K18" s="88"/>
      <c r="L18" s="88"/>
      <c r="N18" s="49"/>
      <c r="O18" s="59"/>
      <c r="P18" t="s">
        <v>198</v>
      </c>
      <c r="Q18" s="60"/>
      <c r="R18" s="49"/>
      <c r="S18"/>
      <c r="T18"/>
      <c r="U18"/>
      <c r="V18"/>
      <c r="W18"/>
      <c r="X18"/>
    </row>
    <row r="19" spans="1:24" s="43" customFormat="1" ht="15" customHeight="1" x14ac:dyDescent="0.45">
      <c r="A19" s="54"/>
      <c r="B19" s="88" t="s">
        <v>202</v>
      </c>
      <c r="C19" s="88"/>
      <c r="D19" s="88" t="s">
        <v>212</v>
      </c>
      <c r="E19" s="88"/>
      <c r="F19" s="88"/>
      <c r="G19" s="88"/>
      <c r="H19" s="88"/>
      <c r="I19" s="88"/>
      <c r="J19" s="88"/>
      <c r="K19" s="88"/>
      <c r="L19" s="88"/>
      <c r="N19" s="54"/>
      <c r="O19" s="63"/>
      <c r="P19" s="63"/>
      <c r="Q19" s="63"/>
      <c r="R19" s="54"/>
      <c r="S19"/>
      <c r="T19"/>
      <c r="U19"/>
      <c r="V19"/>
      <c r="W19"/>
      <c r="X19"/>
    </row>
    <row r="20" spans="1:24" s="43" customFormat="1" ht="15" customHeight="1" x14ac:dyDescent="0.45">
      <c r="A20" s="54"/>
      <c r="B20" s="64" t="s">
        <v>203</v>
      </c>
      <c r="C20" s="64"/>
      <c r="D20" s="64" t="s">
        <v>199</v>
      </c>
      <c r="E20" s="64"/>
      <c r="F20" s="64"/>
      <c r="G20" s="64"/>
      <c r="H20" s="64"/>
      <c r="I20" s="64"/>
      <c r="J20" s="64"/>
      <c r="K20" s="64"/>
      <c r="L20" s="64"/>
      <c r="N20" s="54"/>
      <c r="O20" s="63"/>
      <c r="P20" s="63"/>
      <c r="Q20" s="63"/>
      <c r="R20" s="54"/>
      <c r="S20"/>
      <c r="T20"/>
      <c r="U20"/>
      <c r="V20"/>
      <c r="W20"/>
      <c r="X20"/>
    </row>
    <row r="21" spans="1:24" ht="14.65" thickBot="1" x14ac:dyDescent="0.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N21" s="56"/>
      <c r="O21" s="56"/>
      <c r="P21" s="56"/>
      <c r="Q21" s="56"/>
      <c r="R21" s="56"/>
    </row>
    <row r="22" spans="1:24" x14ac:dyDescent="0.45">
      <c r="Q22" s="65"/>
    </row>
  </sheetData>
  <mergeCells count="21">
    <mergeCell ref="B19:C19"/>
    <mergeCell ref="D19:L19"/>
    <mergeCell ref="N11:Q11"/>
    <mergeCell ref="B16:C16"/>
    <mergeCell ref="D16:L16"/>
    <mergeCell ref="B17:C17"/>
    <mergeCell ref="D17:L17"/>
    <mergeCell ref="B18:C18"/>
    <mergeCell ref="D18:L18"/>
    <mergeCell ref="N9:Q9"/>
    <mergeCell ref="N10:Q10"/>
    <mergeCell ref="B14:L14"/>
    <mergeCell ref="O14:Q14"/>
    <mergeCell ref="B15:C15"/>
    <mergeCell ref="D15:L15"/>
    <mergeCell ref="N8:Q8"/>
    <mergeCell ref="B4:I4"/>
    <mergeCell ref="L4:P4"/>
    <mergeCell ref="N5:Q5"/>
    <mergeCell ref="N6:Q6"/>
    <mergeCell ref="N7:Q7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2020&amp;C&amp;10Page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4162-755B-470E-B063-9FA8A5E414A1}">
  <dimension ref="A1:R26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73046875" customWidth="1"/>
    <col min="2" max="2" width="41.3984375" customWidth="1"/>
    <col min="3" max="11" width="10.73046875" customWidth="1"/>
  </cols>
  <sheetData>
    <row r="1" spans="1:13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x14ac:dyDescent="0.45">
      <c r="A2" s="9"/>
      <c r="B2" s="9"/>
      <c r="C2" s="13" t="str">
        <f>IF(C3&gt;Info!$N$6,"Proj.","Hist.")</f>
        <v>Hist.</v>
      </c>
      <c r="D2" s="13" t="str">
        <f>IF(D3&gt;Info!$N$6,"Proj.","Hist.")</f>
        <v>Hist.</v>
      </c>
      <c r="E2" s="13" t="str">
        <f>IF(E3&gt;Info!$N$6,"Proj.","Hist.")</f>
        <v>Hist.</v>
      </c>
      <c r="F2" s="13" t="str">
        <f>IF(F3&gt;Info!$N$6,"Proj.","Hist.")</f>
        <v>Hist.</v>
      </c>
      <c r="G2" s="13" t="str">
        <f>IF(G3&gt;Info!$N$6,"Proj.","Hist.")</f>
        <v>Hist.</v>
      </c>
      <c r="H2" s="13" t="str">
        <f>IF(H3&gt;Info!$N$6,"Proj.","Hist.")</f>
        <v>Proj.</v>
      </c>
      <c r="I2" s="13" t="str">
        <f>IF(I3&gt;Info!$N$6,"Proj.","Hist.")</f>
        <v>Proj.</v>
      </c>
      <c r="J2" s="13" t="str">
        <f>IF(J3&gt;Info!$N$6,"Proj.","Hist.")</f>
        <v>Proj.</v>
      </c>
      <c r="K2" s="13" t="str">
        <f>IF(K3&gt;Info!$N$6,"Proj.","Hist.")</f>
        <v>Proj.</v>
      </c>
    </row>
    <row r="3" spans="1:13" ht="21" x14ac:dyDescent="0.65">
      <c r="A3" s="73" t="s">
        <v>2</v>
      </c>
      <c r="B3" s="9"/>
      <c r="C3" s="66"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</row>
    <row r="5" spans="1:13" ht="15.75" x14ac:dyDescent="0.5">
      <c r="A5" s="11" t="s">
        <v>140</v>
      </c>
    </row>
    <row r="6" spans="1:13" x14ac:dyDescent="0.45">
      <c r="B6" s="17" t="s">
        <v>9</v>
      </c>
      <c r="C6" s="19">
        <f>C22/C19</f>
        <v>0.60702126539848844</v>
      </c>
      <c r="D6" s="19">
        <f>D22/D19</f>
        <v>0.58000914775879908</v>
      </c>
      <c r="E6" s="19">
        <f>E22/E19</f>
        <v>0.60279572062979414</v>
      </c>
      <c r="F6" s="19">
        <f>F22/F19</f>
        <v>0.57803267178277429</v>
      </c>
      <c r="G6" s="19">
        <f>G22/G19</f>
        <v>0.56438923503711469</v>
      </c>
      <c r="H6" s="23">
        <v>0.56999999999999995</v>
      </c>
      <c r="I6" s="23">
        <v>0.56999999999999995</v>
      </c>
      <c r="J6" s="23">
        <v>0.56999999999999995</v>
      </c>
      <c r="K6" s="23">
        <v>0.56999999999999995</v>
      </c>
    </row>
    <row r="7" spans="1:13" x14ac:dyDescent="0.45">
      <c r="B7" s="17" t="s">
        <v>11</v>
      </c>
      <c r="C7" s="19">
        <f>-C24/C19</f>
        <v>6.6597576724246113E-2</v>
      </c>
      <c r="D7" s="19">
        <f>-D24/D19</f>
        <v>6.5537693265150035E-2</v>
      </c>
      <c r="E7" s="19">
        <f>-E24/E19</f>
        <v>0.10183329488436473</v>
      </c>
      <c r="F7" s="19">
        <f>-F24/F19</f>
        <v>0.1062243059952951</v>
      </c>
      <c r="G7" s="19">
        <f>-G24/G19</f>
        <v>7.6619176234040937E-2</v>
      </c>
      <c r="H7" s="23">
        <v>0.06</v>
      </c>
      <c r="I7" s="23">
        <v>0.06</v>
      </c>
      <c r="J7" s="23">
        <v>0.06</v>
      </c>
      <c r="K7" s="23">
        <v>0.06</v>
      </c>
    </row>
    <row r="8" spans="1:13" x14ac:dyDescent="0.45">
      <c r="B8" s="17" t="s">
        <v>12</v>
      </c>
      <c r="C8" s="19">
        <f>-C25/C19</f>
        <v>0.41162087433861899</v>
      </c>
      <c r="D8" s="19">
        <f>-D25/D19</f>
        <v>0.3820314023064349</v>
      </c>
      <c r="E8" s="19">
        <f>-E25/E19</f>
        <v>0.39106566122613762</v>
      </c>
      <c r="F8" s="19">
        <f>-F25/F19</f>
        <v>0.37142416557027974</v>
      </c>
      <c r="G8" s="19">
        <f>-G25/G19</f>
        <v>0.32812324329412257</v>
      </c>
      <c r="H8" s="23">
        <v>0.35</v>
      </c>
      <c r="I8" s="23">
        <v>0.35</v>
      </c>
      <c r="J8" s="23">
        <v>0.35</v>
      </c>
      <c r="K8" s="23">
        <v>0.35</v>
      </c>
    </row>
    <row r="9" spans="1:13" x14ac:dyDescent="0.45">
      <c r="B9" t="s">
        <v>13</v>
      </c>
      <c r="C9">
        <f>C26</f>
        <v>0</v>
      </c>
      <c r="D9">
        <f>D26</f>
        <v>3997</v>
      </c>
      <c r="E9">
        <f>E26</f>
        <v>0</v>
      </c>
      <c r="F9">
        <f>F26</f>
        <v>-1094</v>
      </c>
      <c r="G9">
        <f>G26</f>
        <v>0</v>
      </c>
      <c r="H9" s="24">
        <v>0</v>
      </c>
      <c r="I9" s="24">
        <v>0</v>
      </c>
      <c r="J9" s="24">
        <v>0</v>
      </c>
      <c r="K9" s="24">
        <v>0</v>
      </c>
    </row>
    <row r="10" spans="1:13" x14ac:dyDescent="0.45">
      <c r="B10" t="s">
        <v>141</v>
      </c>
      <c r="C10">
        <f>C35</f>
        <v>0</v>
      </c>
      <c r="D10">
        <f>D27</f>
        <v>71</v>
      </c>
      <c r="E10">
        <f>E27</f>
        <v>-567</v>
      </c>
      <c r="F10">
        <f>F27</f>
        <v>24</v>
      </c>
      <c r="G10">
        <f>G27</f>
        <v>-195</v>
      </c>
      <c r="H10" s="24">
        <v>0</v>
      </c>
      <c r="I10" s="24">
        <v>0</v>
      </c>
      <c r="J10" s="24">
        <v>0</v>
      </c>
      <c r="K10" s="24">
        <v>0</v>
      </c>
    </row>
    <row r="11" spans="1:13" x14ac:dyDescent="0.45">
      <c r="B11" t="s">
        <v>142</v>
      </c>
      <c r="C11" s="19">
        <f>C35</f>
        <v>0</v>
      </c>
      <c r="D11" s="19">
        <f>D35</f>
        <v>0</v>
      </c>
      <c r="E11" s="19">
        <f>E35</f>
        <v>0</v>
      </c>
      <c r="F11" s="19">
        <f>F35</f>
        <v>-106</v>
      </c>
      <c r="G11" s="19">
        <f>G35</f>
        <v>108</v>
      </c>
      <c r="H11" s="24">
        <v>0</v>
      </c>
      <c r="I11" s="24">
        <v>0</v>
      </c>
      <c r="J11" s="24">
        <v>0</v>
      </c>
      <c r="K11" s="24">
        <v>0</v>
      </c>
    </row>
    <row r="12" spans="1:13" x14ac:dyDescent="0.45">
      <c r="B12" s="17" t="s">
        <v>143</v>
      </c>
      <c r="C12" s="19" t="e">
        <f>-C40/C38</f>
        <v>#DIV/0!</v>
      </c>
      <c r="D12" s="19" t="e">
        <f>-D40/D38</f>
        <v>#DIV/0!</v>
      </c>
      <c r="E12" s="19" t="e">
        <f>-E40/E38</f>
        <v>#DIV/0!</v>
      </c>
      <c r="F12" s="19" t="e">
        <f>-F40/F38</f>
        <v>#DIV/0!</v>
      </c>
      <c r="G12" s="19" t="e">
        <f>-G40/G38</f>
        <v>#DIV/0!</v>
      </c>
      <c r="H12" s="23">
        <v>0.09</v>
      </c>
      <c r="I12" s="23">
        <v>0.1</v>
      </c>
      <c r="J12" s="23">
        <v>0.1</v>
      </c>
      <c r="K12" s="23">
        <v>0.1</v>
      </c>
    </row>
    <row r="13" spans="1:13" x14ac:dyDescent="0.45">
      <c r="B13" s="17" t="s">
        <v>32</v>
      </c>
      <c r="C13" s="19" t="e">
        <f>C48/C47</f>
        <v>#DIV/0!</v>
      </c>
      <c r="D13" s="19" t="e">
        <f>D48/D47</f>
        <v>#DIV/0!</v>
      </c>
      <c r="E13" s="19" t="e">
        <f>E48/E47</f>
        <v>#DIV/0!</v>
      </c>
      <c r="F13" s="19" t="e">
        <f>F48/F47</f>
        <v>#DIV/0!</v>
      </c>
      <c r="G13" s="19" t="e">
        <f>G48/G47</f>
        <v>#DIV/0!</v>
      </c>
      <c r="H13" s="25">
        <v>0.25</v>
      </c>
      <c r="I13" s="25">
        <v>0.25</v>
      </c>
      <c r="J13" s="25">
        <v>0.25</v>
      </c>
      <c r="K13" s="25">
        <v>0.25</v>
      </c>
    </row>
    <row r="14" spans="1:13" x14ac:dyDescent="0.45">
      <c r="H14" s="24"/>
      <c r="I14" s="24"/>
      <c r="J14" s="24"/>
      <c r="K14" s="24"/>
    </row>
    <row r="16" spans="1:13" ht="15.75" x14ac:dyDescent="0.5">
      <c r="A16" s="11" t="s">
        <v>2</v>
      </c>
    </row>
    <row r="17" spans="2:18" s="17" customFormat="1" x14ac:dyDescent="0.45">
      <c r="B17" t="s">
        <v>3</v>
      </c>
      <c r="C17">
        <f>Revenues!C45</f>
        <v>246008</v>
      </c>
      <c r="D17">
        <f>Revenues!D45</f>
        <v>265167</v>
      </c>
      <c r="E17">
        <f>Revenues!E45</f>
        <v>275651</v>
      </c>
      <c r="F17">
        <f>Revenues!F45</f>
        <v>303202</v>
      </c>
      <c r="G17">
        <f>Revenues!G45</f>
        <v>381312</v>
      </c>
      <c r="H17">
        <f>Revenues!H45</f>
        <v>417303.38999999996</v>
      </c>
      <c r="I17" t="str">
        <f ca="1">_xlfn.FORMULATEXT(H17)</f>
        <v>=Revenues!H45</v>
      </c>
      <c r="J17"/>
      <c r="K17"/>
      <c r="L17"/>
      <c r="M17" s="16"/>
    </row>
    <row r="18" spans="2:18" x14ac:dyDescent="0.45">
      <c r="B18" t="s">
        <v>4</v>
      </c>
      <c r="C18" s="14">
        <v>1013</v>
      </c>
      <c r="D18" s="14">
        <v>1565</v>
      </c>
      <c r="E18" s="14">
        <v>1773</v>
      </c>
      <c r="F18" s="14">
        <v>1587</v>
      </c>
      <c r="G18" s="14">
        <v>1151</v>
      </c>
      <c r="H18">
        <f>G18</f>
        <v>1151</v>
      </c>
      <c r="I18" t="str">
        <f ca="1">_xlfn.FORMULATEXT(H18)</f>
        <v>=G18</v>
      </c>
      <c r="M18" s="4"/>
      <c r="R18" s="33"/>
    </row>
    <row r="19" spans="2:18" s="33" customFormat="1" x14ac:dyDescent="0.45">
      <c r="B19" t="s">
        <v>5</v>
      </c>
      <c r="C19">
        <f>SUM(C17:C18)</f>
        <v>247021</v>
      </c>
      <c r="D19">
        <f t="shared" ref="D19:H19" si="1">SUM(D17:D18)</f>
        <v>266732</v>
      </c>
      <c r="E19">
        <f t="shared" si="1"/>
        <v>277424</v>
      </c>
      <c r="F19">
        <f t="shared" si="1"/>
        <v>304789</v>
      </c>
      <c r="G19">
        <f t="shared" si="1"/>
        <v>382463</v>
      </c>
      <c r="H19">
        <f t="shared" si="1"/>
        <v>418454.38999999996</v>
      </c>
      <c r="I19" t="str">
        <f ca="1">_xlfn.FORMULATEXT(H19)</f>
        <v>=SUM(H17:H18)</v>
      </c>
      <c r="J19"/>
      <c r="K19"/>
      <c r="L19"/>
      <c r="M19" s="38"/>
    </row>
    <row r="20" spans="2:18" x14ac:dyDescent="0.45">
      <c r="R20" s="33"/>
    </row>
    <row r="21" spans="2:18" x14ac:dyDescent="0.45">
      <c r="B21" t="s">
        <v>6</v>
      </c>
      <c r="R21" s="33"/>
    </row>
    <row r="22" spans="2:18" s="33" customFormat="1" x14ac:dyDescent="0.45">
      <c r="B22" t="s">
        <v>7</v>
      </c>
      <c r="C22" s="14">
        <v>149947</v>
      </c>
      <c r="D22" s="14">
        <v>154707</v>
      </c>
      <c r="E22" s="14">
        <v>167230</v>
      </c>
      <c r="F22" s="14">
        <v>176178</v>
      </c>
      <c r="G22" s="14">
        <v>215858</v>
      </c>
      <c r="H22"/>
      <c r="I22"/>
      <c r="J22"/>
      <c r="K22"/>
      <c r="L22"/>
    </row>
    <row r="23" spans="2:18" x14ac:dyDescent="0.45">
      <c r="R23" s="33"/>
    </row>
    <row r="24" spans="2:18" x14ac:dyDescent="0.45">
      <c r="B24" t="s">
        <v>10</v>
      </c>
      <c r="C24" s="14">
        <v>-16451</v>
      </c>
      <c r="D24" s="14">
        <v>-17481</v>
      </c>
      <c r="E24" s="14">
        <v>-28251</v>
      </c>
      <c r="F24" s="14">
        <v>-32376</v>
      </c>
      <c r="G24" s="14">
        <v>-29304</v>
      </c>
      <c r="R24" s="33"/>
    </row>
    <row r="25" spans="2:18" x14ac:dyDescent="0.45">
      <c r="B25" t="s">
        <v>139</v>
      </c>
      <c r="C25" s="14">
        <v>-101679</v>
      </c>
      <c r="D25" s="14">
        <v>-101900</v>
      </c>
      <c r="E25" s="14">
        <v>-108491</v>
      </c>
      <c r="F25" s="14">
        <v>-113206</v>
      </c>
      <c r="G25" s="14">
        <v>-125495</v>
      </c>
      <c r="R25" s="33"/>
    </row>
    <row r="26" spans="2:18" x14ac:dyDescent="0.45">
      <c r="B26" t="s">
        <v>13</v>
      </c>
      <c r="C26" s="5"/>
      <c r="D26" s="14">
        <v>3997</v>
      </c>
      <c r="E26" s="14">
        <v>0</v>
      </c>
      <c r="F26" s="14">
        <v>-1094</v>
      </c>
      <c r="G26" s="14">
        <v>0</v>
      </c>
      <c r="R26" s="33"/>
    </row>
    <row r="27" spans="2:18" x14ac:dyDescent="0.45">
      <c r="B27" t="s">
        <v>14</v>
      </c>
      <c r="C27" s="14">
        <v>0</v>
      </c>
      <c r="D27" s="14">
        <v>71</v>
      </c>
      <c r="E27" s="14">
        <v>-567</v>
      </c>
      <c r="F27" s="14">
        <v>24</v>
      </c>
      <c r="G27" s="14">
        <v>-195</v>
      </c>
      <c r="R27" s="33"/>
    </row>
    <row r="28" spans="2:18" s="17" customFormat="1" x14ac:dyDescent="0.45">
      <c r="B28" t="s">
        <v>15</v>
      </c>
      <c r="C28"/>
      <c r="D28"/>
      <c r="E28"/>
      <c r="F28"/>
      <c r="G28"/>
      <c r="H28"/>
      <c r="I28"/>
      <c r="J28"/>
      <c r="K28"/>
      <c r="L28"/>
    </row>
    <row r="29" spans="2:18" x14ac:dyDescent="0.45">
      <c r="R29" s="33"/>
    </row>
    <row r="30" spans="2:18" x14ac:dyDescent="0.45">
      <c r="B30" t="s">
        <v>17</v>
      </c>
      <c r="C30" s="14">
        <v>-9975</v>
      </c>
      <c r="D30" s="14">
        <v>-11023</v>
      </c>
      <c r="E30" s="14">
        <v>-11479</v>
      </c>
      <c r="F30" s="14">
        <v>-12044</v>
      </c>
      <c r="G30" s="14">
        <v>-18216</v>
      </c>
      <c r="H30" s="17"/>
      <c r="J30" s="17"/>
      <c r="K30" s="17"/>
      <c r="R30" s="33"/>
    </row>
    <row r="31" spans="2:18" s="17" customFormat="1" x14ac:dyDescent="0.45">
      <c r="B31" t="s">
        <v>19</v>
      </c>
      <c r="C31"/>
      <c r="D31"/>
      <c r="E31"/>
      <c r="F31"/>
      <c r="G31"/>
      <c r="H31"/>
      <c r="I31"/>
      <c r="J31"/>
      <c r="K31"/>
      <c r="L31"/>
    </row>
    <row r="33" spans="2:18" x14ac:dyDescent="0.45">
      <c r="B33" t="s">
        <v>21</v>
      </c>
      <c r="C33" s="14">
        <v>837</v>
      </c>
      <c r="D33" s="14">
        <v>426</v>
      </c>
      <c r="E33" s="14">
        <v>93</v>
      </c>
      <c r="F33" s="14">
        <v>16</v>
      </c>
      <c r="G33" s="14">
        <v>51</v>
      </c>
      <c r="H33" s="17"/>
      <c r="J33" s="17"/>
      <c r="K33" s="17"/>
    </row>
    <row r="34" spans="2:18" x14ac:dyDescent="0.45">
      <c r="B34" t="s">
        <v>22</v>
      </c>
      <c r="C34" s="14">
        <v>-1781</v>
      </c>
      <c r="D34" s="14">
        <v>-915</v>
      </c>
      <c r="E34" s="14">
        <v>-1013</v>
      </c>
      <c r="F34" s="14">
        <v>-712</v>
      </c>
      <c r="G34" s="14">
        <v>-927</v>
      </c>
      <c r="H34" s="17"/>
      <c r="J34" s="17"/>
      <c r="K34" s="17"/>
    </row>
    <row r="35" spans="2:18" x14ac:dyDescent="0.45">
      <c r="B35" t="s">
        <v>142</v>
      </c>
      <c r="C35" s="14">
        <v>0</v>
      </c>
      <c r="D35" s="14">
        <v>0</v>
      </c>
      <c r="E35" s="14">
        <v>0</v>
      </c>
      <c r="F35" s="14">
        <f>-83-23</f>
        <v>-106</v>
      </c>
      <c r="G35" s="14">
        <f>-51+159</f>
        <v>108</v>
      </c>
    </row>
    <row r="36" spans="2:18" x14ac:dyDescent="0.45">
      <c r="B36" t="s">
        <v>23</v>
      </c>
    </row>
    <row r="38" spans="2:18" x14ac:dyDescent="0.45">
      <c r="B38" t="s">
        <v>24</v>
      </c>
    </row>
    <row r="40" spans="2:18" x14ac:dyDescent="0.45">
      <c r="B40" t="s">
        <v>25</v>
      </c>
      <c r="C40" s="14">
        <v>-1089</v>
      </c>
      <c r="D40" s="14">
        <v>-1793</v>
      </c>
      <c r="E40" s="14">
        <v>-281</v>
      </c>
      <c r="F40" s="14">
        <v>1215</v>
      </c>
      <c r="G40" s="14">
        <v>-2607</v>
      </c>
      <c r="H40" s="17"/>
      <c r="J40" s="17"/>
      <c r="K40" s="17"/>
    </row>
    <row r="41" spans="2:18" x14ac:dyDescent="0.45">
      <c r="B41" t="s">
        <v>26</v>
      </c>
    </row>
    <row r="42" spans="2:18" x14ac:dyDescent="0.45">
      <c r="B42" s="17"/>
    </row>
    <row r="43" spans="2:18" s="33" customFormat="1" x14ac:dyDescent="0.45">
      <c r="B43" s="7" t="s">
        <v>27</v>
      </c>
      <c r="L43"/>
    </row>
    <row r="44" spans="2:18" x14ac:dyDescent="0.45">
      <c r="B44" t="s">
        <v>28</v>
      </c>
      <c r="C44" s="14">
        <f>50000-676.136</f>
        <v>49323.864000000001</v>
      </c>
      <c r="D44" s="14">
        <f>50000-717.546</f>
        <v>49282.453999999998</v>
      </c>
      <c r="E44" s="14">
        <f>50000-685.183</f>
        <v>49314.817000000003</v>
      </c>
      <c r="F44" s="14">
        <f>56068.965-695.055</f>
        <v>55373.909999999996</v>
      </c>
      <c r="G44" s="14">
        <f>56068.965-686.956</f>
        <v>55382.008999999998</v>
      </c>
      <c r="R44" s="33"/>
    </row>
    <row r="45" spans="2:18" x14ac:dyDescent="0.45">
      <c r="B45" t="s">
        <v>29</v>
      </c>
      <c r="C45" s="14">
        <v>49537</v>
      </c>
      <c r="D45" s="14">
        <v>49031</v>
      </c>
      <c r="E45" s="14">
        <v>49308</v>
      </c>
      <c r="F45" s="14">
        <v>51223</v>
      </c>
      <c r="G45" s="14">
        <v>55180</v>
      </c>
      <c r="R45" s="33"/>
    </row>
    <row r="47" spans="2:18" x14ac:dyDescent="0.45">
      <c r="B47" t="s">
        <v>30</v>
      </c>
      <c r="C47">
        <f>C41/C45</f>
        <v>0</v>
      </c>
      <c r="D47">
        <f t="shared" ref="D47:G47" si="2">D41/D45</f>
        <v>0</v>
      </c>
      <c r="E47">
        <f t="shared" si="2"/>
        <v>0</v>
      </c>
      <c r="F47">
        <f t="shared" si="2"/>
        <v>0</v>
      </c>
      <c r="G47">
        <f t="shared" si="2"/>
        <v>0</v>
      </c>
    </row>
    <row r="48" spans="2:18" x14ac:dyDescent="0.45">
      <c r="B48" t="s">
        <v>31</v>
      </c>
      <c r="C48" s="20">
        <v>0.13900000000000001</v>
      </c>
      <c r="D48" s="20">
        <v>0.183</v>
      </c>
      <c r="E48" s="20">
        <v>0.1207</v>
      </c>
      <c r="F48" s="20">
        <v>7.9799999999999996E-2</v>
      </c>
      <c r="G48" s="20">
        <v>0.17510000000000001</v>
      </c>
      <c r="H48" s="77"/>
      <c r="J48" s="77"/>
      <c r="K48" s="77"/>
      <c r="R48" s="33"/>
    </row>
    <row r="51" spans="2:18" x14ac:dyDescent="0.45">
      <c r="B51" t="s">
        <v>219</v>
      </c>
      <c r="C51" s="19">
        <f t="shared" ref="C51:G51" si="3">C22/C19</f>
        <v>0.60702126539848844</v>
      </c>
      <c r="D51" s="19">
        <f t="shared" si="3"/>
        <v>0.58000914775879908</v>
      </c>
      <c r="E51" s="19">
        <f t="shared" si="3"/>
        <v>0.60279572062979414</v>
      </c>
      <c r="F51" s="19">
        <f t="shared" si="3"/>
        <v>0.57803267178277429</v>
      </c>
      <c r="G51" s="19">
        <f t="shared" si="3"/>
        <v>0.56438923503711469</v>
      </c>
      <c r="H51" s="19"/>
      <c r="J51" s="19"/>
      <c r="K51" s="19"/>
      <c r="R51" s="33"/>
    </row>
    <row r="52" spans="2:18" x14ac:dyDescent="0.45">
      <c r="B52" t="s">
        <v>218</v>
      </c>
      <c r="C52" s="19"/>
      <c r="D52" s="19">
        <f>D24/C24-1</f>
        <v>6.2610175673211366E-2</v>
      </c>
      <c r="E52" s="19">
        <f>E24/D24-1</f>
        <v>0.61609747726102615</v>
      </c>
      <c r="F52" s="19">
        <f>F24/E24-1</f>
        <v>0.14601253052989271</v>
      </c>
      <c r="G52" s="19">
        <f>G24/F24-1</f>
        <v>-9.4885100074128981E-2</v>
      </c>
      <c r="H52" s="19"/>
      <c r="J52" s="19"/>
      <c r="K52" s="19"/>
      <c r="R52" s="33"/>
    </row>
    <row r="53" spans="2:18" x14ac:dyDescent="0.45">
      <c r="B53" t="s">
        <v>220</v>
      </c>
      <c r="C53" s="19">
        <f t="shared" ref="C53:G53" si="4">C28/C19</f>
        <v>0</v>
      </c>
      <c r="D53" s="19">
        <f t="shared" si="4"/>
        <v>0</v>
      </c>
      <c r="E53" s="19">
        <f t="shared" si="4"/>
        <v>0</v>
      </c>
      <c r="F53" s="19">
        <f t="shared" si="4"/>
        <v>0</v>
      </c>
      <c r="G53" s="19">
        <f t="shared" si="4"/>
        <v>0</v>
      </c>
      <c r="H53" s="19"/>
      <c r="J53" s="19"/>
      <c r="K53" s="19"/>
      <c r="R53" s="33"/>
    </row>
    <row r="54" spans="2:18" x14ac:dyDescent="0.45">
      <c r="B54" t="s">
        <v>221</v>
      </c>
      <c r="C54" s="19"/>
      <c r="D54" s="19">
        <f>D30/C30-1</f>
        <v>0.10506265664160397</v>
      </c>
      <c r="E54" s="19">
        <f>E30/D30-1</f>
        <v>4.1368048625600951E-2</v>
      </c>
      <c r="F54" s="19">
        <f>F30/E30-1</f>
        <v>4.9220315358480704E-2</v>
      </c>
      <c r="G54" s="19">
        <f>G30/F30-1</f>
        <v>0.51245433410826968</v>
      </c>
      <c r="H54" s="19"/>
      <c r="J54" s="19"/>
      <c r="K54" s="19"/>
      <c r="R54" s="33"/>
    </row>
    <row r="55" spans="2:18" x14ac:dyDescent="0.45">
      <c r="B55" t="s">
        <v>18</v>
      </c>
      <c r="C55" s="19">
        <f t="shared" ref="C55:G55" si="5">-C30/C19</f>
        <v>4.0381182166698379E-2</v>
      </c>
      <c r="D55" s="19">
        <f t="shared" si="5"/>
        <v>4.1326125099350658E-2</v>
      </c>
      <c r="E55" s="19">
        <f t="shared" si="5"/>
        <v>4.1377097871849587E-2</v>
      </c>
      <c r="F55" s="19">
        <f t="shared" si="5"/>
        <v>3.9515861792912471E-2</v>
      </c>
      <c r="G55" s="19">
        <f t="shared" si="5"/>
        <v>4.762813657791734E-2</v>
      </c>
      <c r="H55" s="19"/>
      <c r="J55" s="19"/>
      <c r="K55" s="19"/>
      <c r="R55" s="33"/>
    </row>
    <row r="56" spans="2:18" x14ac:dyDescent="0.45">
      <c r="B56" t="s">
        <v>20</v>
      </c>
      <c r="C56" s="19">
        <f t="shared" ref="C56:G56" si="6">C31/C19</f>
        <v>0</v>
      </c>
      <c r="D56" s="19">
        <f t="shared" si="6"/>
        <v>0</v>
      </c>
      <c r="E56" s="19">
        <f t="shared" si="6"/>
        <v>0</v>
      </c>
      <c r="F56" s="19">
        <f t="shared" si="6"/>
        <v>0</v>
      </c>
      <c r="G56" s="19">
        <f t="shared" si="6"/>
        <v>0</v>
      </c>
      <c r="H56" s="19"/>
      <c r="J56" s="19"/>
      <c r="K56" s="19"/>
    </row>
    <row r="253" spans="2:2" x14ac:dyDescent="0.45">
      <c r="B253" s="17"/>
    </row>
    <row r="254" spans="2:2" x14ac:dyDescent="0.45">
      <c r="B254" s="17"/>
    </row>
    <row r="255" spans="2:2" x14ac:dyDescent="0.45">
      <c r="B255" s="17"/>
    </row>
    <row r="256" spans="2:2" x14ac:dyDescent="0.45">
      <c r="B256" s="17"/>
    </row>
    <row r="257" spans="2:2" x14ac:dyDescent="0.45">
      <c r="B257" s="17"/>
    </row>
    <row r="258" spans="2:2" x14ac:dyDescent="0.45">
      <c r="B258" s="17"/>
    </row>
    <row r="259" spans="2:2" x14ac:dyDescent="0.45">
      <c r="B259" s="17"/>
    </row>
    <row r="260" spans="2:2" x14ac:dyDescent="0.45">
      <c r="B260" s="17"/>
    </row>
    <row r="261" spans="2:2" x14ac:dyDescent="0.45">
      <c r="B261" s="17"/>
    </row>
    <row r="262" spans="2:2" x14ac:dyDescent="0.45">
      <c r="B262" s="17"/>
    </row>
    <row r="263" spans="2:2" x14ac:dyDescent="0.45">
      <c r="B263" s="17"/>
    </row>
    <row r="264" spans="2:2" x14ac:dyDescent="0.45">
      <c r="B264" s="17"/>
    </row>
    <row r="265" spans="2:2" x14ac:dyDescent="0.45">
      <c r="B265" s="17"/>
    </row>
    <row r="266" spans="2:2" x14ac:dyDescent="0.45">
      <c r="B266" s="17"/>
    </row>
    <row r="267" spans="2:2" x14ac:dyDescent="0.45">
      <c r="B267" s="17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8702-2686-45D7-94AE-EE261099DEC4}">
  <dimension ref="A1:U79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33</v>
      </c>
      <c r="B3" s="9"/>
      <c r="C3" s="66">
        <f>IS!C3</f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15.75" x14ac:dyDescent="0.5">
      <c r="A5" s="11" t="s">
        <v>48</v>
      </c>
      <c r="B5" s="17"/>
    </row>
    <row r="6" spans="1:21" x14ac:dyDescent="0.45">
      <c r="B6" t="s">
        <v>73</v>
      </c>
      <c r="D6" s="19">
        <f>D18/IS!D19</f>
        <v>3.6291108678373797E-2</v>
      </c>
      <c r="E6" s="19">
        <f>E18/IS!E19</f>
        <v>5.3823749927908185E-2</v>
      </c>
      <c r="F6" s="19">
        <f>F18/IS!F19</f>
        <v>5.3774906574712344E-2</v>
      </c>
      <c r="G6" s="19">
        <f>G18/IS!G19</f>
        <v>6.771635426171943E-2</v>
      </c>
      <c r="H6" s="25">
        <v>0.06</v>
      </c>
      <c r="I6" s="25">
        <v>0.06</v>
      </c>
      <c r="J6" s="25">
        <v>0.05</v>
      </c>
      <c r="K6" s="25">
        <v>0.05</v>
      </c>
    </row>
    <row r="7" spans="1:21" x14ac:dyDescent="0.45">
      <c r="B7" t="s">
        <v>72</v>
      </c>
      <c r="D7" s="19">
        <f>D24/IS!D19</f>
        <v>3.1477288064424215E-2</v>
      </c>
      <c r="E7" s="19">
        <f>E24/IS!E19</f>
        <v>1.806620912394025E-2</v>
      </c>
      <c r="F7" s="19">
        <f>F24/IS!F19</f>
        <v>3.3035969145868128E-2</v>
      </c>
      <c r="G7" s="19">
        <f>G24/IS!G19</f>
        <v>3.8241607684926383E-2</v>
      </c>
      <c r="H7" s="25">
        <v>3.5000000000000003E-2</v>
      </c>
      <c r="I7" s="25">
        <v>3.5000000000000003E-2</v>
      </c>
      <c r="J7" s="25">
        <v>3.5000000000000003E-2</v>
      </c>
      <c r="K7" s="25">
        <v>3.5000000000000003E-2</v>
      </c>
      <c r="N7" s="33"/>
    </row>
    <row r="8" spans="1:21" x14ac:dyDescent="0.45">
      <c r="B8" t="s">
        <v>52</v>
      </c>
      <c r="D8" s="19" t="e">
        <f>-D19/C20</f>
        <v>#DIV/0!</v>
      </c>
      <c r="E8" s="19" t="e">
        <f>-E19/D20</f>
        <v>#DIV/0!</v>
      </c>
      <c r="F8" s="19" t="e">
        <f>-F19/E20</f>
        <v>#DIV/0!</v>
      </c>
      <c r="G8" s="19" t="e">
        <f>-G19/F20</f>
        <v>#DIV/0!</v>
      </c>
      <c r="H8" s="23">
        <v>0.12</v>
      </c>
      <c r="I8" s="23">
        <f>H8</f>
        <v>0.12</v>
      </c>
      <c r="J8" s="23">
        <f>I8</f>
        <v>0.12</v>
      </c>
      <c r="K8" s="23">
        <f>J8</f>
        <v>0.12</v>
      </c>
    </row>
    <row r="9" spans="1:21" x14ac:dyDescent="0.45">
      <c r="B9" t="s">
        <v>53</v>
      </c>
      <c r="D9" s="19" t="e">
        <f>-D25/C26</f>
        <v>#DIV/0!</v>
      </c>
      <c r="E9" s="19" t="e">
        <f>-E25/D26</f>
        <v>#DIV/0!</v>
      </c>
      <c r="F9" s="19" t="e">
        <f>-F25/E26</f>
        <v>#DIV/0!</v>
      </c>
      <c r="G9" s="19" t="e">
        <f>-G25/F26</f>
        <v>#DIV/0!</v>
      </c>
      <c r="H9" s="23" t="e">
        <f>G9+1%</f>
        <v>#DIV/0!</v>
      </c>
      <c r="I9" s="23" t="e">
        <f>H9+1%</f>
        <v>#DIV/0!</v>
      </c>
      <c r="J9" s="23" t="e">
        <f>I9+1%</f>
        <v>#DIV/0!</v>
      </c>
      <c r="K9" s="23" t="e">
        <f>J9+1%</f>
        <v>#DIV/0!</v>
      </c>
    </row>
    <row r="10" spans="1:21" x14ac:dyDescent="0.45">
      <c r="B10" t="s">
        <v>172</v>
      </c>
      <c r="H10" s="23">
        <v>0</v>
      </c>
      <c r="I10" s="23">
        <v>0</v>
      </c>
      <c r="J10" s="23">
        <v>0</v>
      </c>
      <c r="K10" s="23">
        <v>0</v>
      </c>
    </row>
    <row r="11" spans="1:21" x14ac:dyDescent="0.45">
      <c r="B11" t="s">
        <v>151</v>
      </c>
      <c r="C11" t="e">
        <f>-C55/IS!C21*365</f>
        <v>#DIV/0!</v>
      </c>
      <c r="D11" t="e">
        <f>-D55/IS!D21*365</f>
        <v>#DIV/0!</v>
      </c>
      <c r="E11" t="e">
        <f>-E55/IS!E21*365</f>
        <v>#DIV/0!</v>
      </c>
      <c r="F11" t="e">
        <f>-F55/IS!F21*365</f>
        <v>#DIV/0!</v>
      </c>
      <c r="G11" t="e">
        <f>-G55/IS!G21*365</f>
        <v>#DIV/0!</v>
      </c>
      <c r="H11" s="24">
        <v>340</v>
      </c>
      <c r="I11" s="24">
        <v>320</v>
      </c>
      <c r="J11" s="24">
        <v>300</v>
      </c>
      <c r="K11" s="24">
        <v>280</v>
      </c>
    </row>
    <row r="12" spans="1:21" x14ac:dyDescent="0.45">
      <c r="B12" t="s">
        <v>152</v>
      </c>
      <c r="C12">
        <f>C56/IS!C19*365</f>
        <v>84.264981519789814</v>
      </c>
      <c r="D12">
        <f>D56/IS!D19*365</f>
        <v>73.678186344345633</v>
      </c>
      <c r="E12">
        <f>E56/IS!E19*365</f>
        <v>65.450916286983102</v>
      </c>
      <c r="F12">
        <f>F56/IS!F19*365</f>
        <v>72.068545780851665</v>
      </c>
      <c r="G12">
        <f>G56/IS!G19*365</f>
        <v>77.817893495579966</v>
      </c>
      <c r="H12" s="24">
        <v>75</v>
      </c>
      <c r="I12" s="24">
        <v>75</v>
      </c>
      <c r="J12" s="24">
        <v>75</v>
      </c>
      <c r="K12" s="24">
        <v>75</v>
      </c>
    </row>
    <row r="13" spans="1:21" x14ac:dyDescent="0.45">
      <c r="B13" t="s">
        <v>153</v>
      </c>
      <c r="C13">
        <f>C68/(IS!C19-IS!C28)*365</f>
        <v>67.588707033005292</v>
      </c>
      <c r="D13">
        <f>D68/(IS!D19-IS!D28)*365</f>
        <v>81.902358922064096</v>
      </c>
      <c r="E13">
        <f>E68/(IS!E19-IS!E28)*365</f>
        <v>69.654499971163276</v>
      </c>
      <c r="F13">
        <f>F68/(IS!F19-IS!F28)*365</f>
        <v>81.6309807768653</v>
      </c>
      <c r="G13">
        <f>G68/(IS!G19-IS!G28)*365</f>
        <v>87.717269382920691</v>
      </c>
      <c r="H13" s="24">
        <v>100</v>
      </c>
      <c r="I13" s="24">
        <v>95</v>
      </c>
      <c r="J13" s="24">
        <v>90</v>
      </c>
      <c r="K13" s="24">
        <v>90</v>
      </c>
    </row>
    <row r="15" spans="1:21" ht="15.75" x14ac:dyDescent="0.5">
      <c r="A15" s="11" t="s">
        <v>146</v>
      </c>
      <c r="B15" s="17"/>
    </row>
    <row r="16" spans="1:21" x14ac:dyDescent="0.45">
      <c r="B16" s="7" t="s">
        <v>34</v>
      </c>
    </row>
    <row r="17" spans="2:14" x14ac:dyDescent="0.45">
      <c r="B17" t="s">
        <v>147</v>
      </c>
      <c r="C17" s="6"/>
      <c r="D17" s="17"/>
      <c r="E17" s="17"/>
      <c r="F17" s="17"/>
      <c r="G17" s="17"/>
      <c r="H17" s="17"/>
      <c r="I17" s="17"/>
      <c r="J17" s="17"/>
      <c r="K17" s="17"/>
    </row>
    <row r="18" spans="2:14" x14ac:dyDescent="0.45">
      <c r="B18" t="s">
        <v>148</v>
      </c>
      <c r="C18" s="14">
        <v>0</v>
      </c>
      <c r="D18" s="14">
        <v>9680</v>
      </c>
      <c r="E18" s="14">
        <v>14932</v>
      </c>
      <c r="F18" s="14">
        <v>16390</v>
      </c>
      <c r="G18" s="14">
        <v>25899</v>
      </c>
      <c r="H18" s="17"/>
      <c r="I18" s="17"/>
      <c r="J18" s="17"/>
      <c r="K18" s="17"/>
    </row>
    <row r="19" spans="2:14" x14ac:dyDescent="0.45">
      <c r="B19" t="s">
        <v>149</v>
      </c>
      <c r="C19" s="14">
        <v>-7993</v>
      </c>
      <c r="D19" s="14">
        <v>-8618</v>
      </c>
      <c r="E19" s="14">
        <v>-8673</v>
      </c>
      <c r="F19" s="14">
        <v>-9547</v>
      </c>
      <c r="G19" s="14">
        <v>-14360</v>
      </c>
      <c r="H19" s="17"/>
      <c r="I19" s="17"/>
      <c r="J19" s="17"/>
      <c r="K19" s="17"/>
      <c r="N19" s="33"/>
    </row>
    <row r="20" spans="2:14" x14ac:dyDescent="0.45">
      <c r="B20" t="s">
        <v>51</v>
      </c>
      <c r="I20" s="17"/>
    </row>
    <row r="21" spans="2:14" x14ac:dyDescent="0.45">
      <c r="B21" s="17"/>
    </row>
    <row r="22" spans="2:14" x14ac:dyDescent="0.45">
      <c r="B22" s="7" t="s">
        <v>35</v>
      </c>
    </row>
    <row r="23" spans="2:14" x14ac:dyDescent="0.45">
      <c r="B23" t="s">
        <v>147</v>
      </c>
      <c r="C23" s="6"/>
      <c r="D23" s="17"/>
      <c r="E23" s="17"/>
      <c r="F23" s="17"/>
      <c r="G23" s="17"/>
      <c r="H23" s="17"/>
      <c r="I23" s="17"/>
      <c r="J23" s="17"/>
      <c r="K23" s="17"/>
    </row>
    <row r="24" spans="2:14" x14ac:dyDescent="0.45">
      <c r="B24" t="s">
        <v>148</v>
      </c>
      <c r="C24" s="6"/>
      <c r="D24" s="14">
        <v>8396</v>
      </c>
      <c r="E24" s="14">
        <v>5012</v>
      </c>
      <c r="F24" s="14">
        <v>10069</v>
      </c>
      <c r="G24" s="14">
        <v>14626</v>
      </c>
      <c r="H24" s="17"/>
      <c r="I24" s="17"/>
      <c r="J24" s="17"/>
      <c r="K24" s="17"/>
    </row>
    <row r="25" spans="2:14" x14ac:dyDescent="0.45">
      <c r="B25" t="s">
        <v>150</v>
      </c>
      <c r="C25" s="14">
        <v>-1982</v>
      </c>
      <c r="D25" s="14">
        <v>-2405</v>
      </c>
      <c r="E25" s="14">
        <v>-2806</v>
      </c>
      <c r="F25" s="14">
        <v>-2497</v>
      </c>
      <c r="G25" s="14">
        <v>-3856</v>
      </c>
      <c r="H25" s="17"/>
      <c r="I25" s="17"/>
      <c r="J25" s="17"/>
      <c r="K25" s="17"/>
      <c r="N25" s="33"/>
    </row>
    <row r="26" spans="2:14" x14ac:dyDescent="0.45">
      <c r="B26" t="s">
        <v>51</v>
      </c>
      <c r="I26" s="17"/>
    </row>
    <row r="27" spans="2:14" x14ac:dyDescent="0.45">
      <c r="B27" s="17"/>
    </row>
    <row r="28" spans="2:14" x14ac:dyDescent="0.45">
      <c r="B28" s="7" t="s">
        <v>175</v>
      </c>
    </row>
    <row r="29" spans="2:14" x14ac:dyDescent="0.45">
      <c r="B29" t="s">
        <v>147</v>
      </c>
      <c r="I29" s="17"/>
    </row>
    <row r="30" spans="2:14" x14ac:dyDescent="0.45">
      <c r="B30" t="s">
        <v>173</v>
      </c>
      <c r="I30" s="17"/>
    </row>
    <row r="31" spans="2:14" x14ac:dyDescent="0.45">
      <c r="B31" t="s">
        <v>174</v>
      </c>
      <c r="I31" s="17"/>
    </row>
    <row r="32" spans="2:14" x14ac:dyDescent="0.45">
      <c r="B32" t="s">
        <v>51</v>
      </c>
      <c r="I32" s="17"/>
    </row>
    <row r="33" spans="1:11" x14ac:dyDescent="0.45">
      <c r="B33" s="17"/>
    </row>
    <row r="34" spans="1:11" x14ac:dyDescent="0.45">
      <c r="B34" s="7" t="s">
        <v>58</v>
      </c>
    </row>
    <row r="35" spans="1:11" x14ac:dyDescent="0.45">
      <c r="B35" t="s">
        <v>49</v>
      </c>
      <c r="I35" s="17"/>
    </row>
    <row r="36" spans="1:11" x14ac:dyDescent="0.45">
      <c r="B36" t="s">
        <v>26</v>
      </c>
      <c r="I36" s="17"/>
    </row>
    <row r="37" spans="1:11" x14ac:dyDescent="0.45">
      <c r="B37" t="s">
        <v>59</v>
      </c>
      <c r="I37" s="17"/>
    </row>
    <row r="38" spans="1:11" x14ac:dyDescent="0.45">
      <c r="B38" t="s">
        <v>51</v>
      </c>
      <c r="I38" s="17"/>
    </row>
    <row r="39" spans="1:11" x14ac:dyDescent="0.4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45">
      <c r="B40" s="21" t="s">
        <v>164</v>
      </c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45">
      <c r="B41" t="s">
        <v>38</v>
      </c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45">
      <c r="B42" t="s">
        <v>39</v>
      </c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45">
      <c r="B43" t="s">
        <v>40</v>
      </c>
      <c r="C43" s="17"/>
      <c r="D43" s="17"/>
      <c r="E43" s="17"/>
      <c r="F43" s="17"/>
      <c r="G43" s="17"/>
      <c r="H43" s="17"/>
      <c r="I43" s="17"/>
      <c r="J43" s="17"/>
      <c r="K43" s="17"/>
    </row>
    <row r="44" spans="1:11" x14ac:dyDescent="0.45">
      <c r="B44" t="s">
        <v>46</v>
      </c>
      <c r="C44" s="17"/>
      <c r="D44" s="17"/>
      <c r="E44" s="17"/>
      <c r="F44" s="17"/>
      <c r="G44" s="17"/>
      <c r="H44" s="17"/>
      <c r="I44" s="17"/>
      <c r="J44" s="17"/>
      <c r="K44" s="17"/>
    </row>
    <row r="45" spans="1:11" x14ac:dyDescent="0.45">
      <c r="B45" t="s">
        <v>159</v>
      </c>
      <c r="C45" s="17"/>
      <c r="D45" s="17"/>
      <c r="E45" s="17"/>
      <c r="F45" s="17"/>
      <c r="G45" s="17"/>
      <c r="H45" s="17"/>
      <c r="I45" s="17"/>
      <c r="J45" s="17"/>
      <c r="K45" s="17"/>
    </row>
    <row r="46" spans="1:11" x14ac:dyDescent="0.45">
      <c r="B46" t="s">
        <v>165</v>
      </c>
      <c r="C46" s="17"/>
      <c r="D46" s="17"/>
      <c r="E46" s="17"/>
      <c r="F46" s="17"/>
      <c r="G46" s="17"/>
      <c r="H46" s="17"/>
      <c r="I46" s="17"/>
      <c r="J46" s="17"/>
      <c r="K46" s="17"/>
    </row>
    <row r="47" spans="1:11" x14ac:dyDescent="0.45">
      <c r="B47" s="17"/>
      <c r="C47" s="2"/>
    </row>
    <row r="48" spans="1:11" ht="15.75" x14ac:dyDescent="0.5">
      <c r="A48" s="11" t="s">
        <v>33</v>
      </c>
      <c r="B48" s="17"/>
    </row>
    <row r="49" spans="2:16" x14ac:dyDescent="0.45">
      <c r="B49" t="s">
        <v>34</v>
      </c>
      <c r="C49" s="14">
        <v>81803</v>
      </c>
      <c r="D49" s="14">
        <v>82822</v>
      </c>
      <c r="E49" s="14">
        <v>89056</v>
      </c>
      <c r="F49" s="14">
        <v>95837</v>
      </c>
      <c r="G49" s="14">
        <v>131608</v>
      </c>
      <c r="I49" s="17"/>
    </row>
    <row r="50" spans="2:16" x14ac:dyDescent="0.45">
      <c r="B50" t="s">
        <v>35</v>
      </c>
      <c r="C50" s="14">
        <v>18881</v>
      </c>
      <c r="D50" s="14">
        <v>24872</v>
      </c>
      <c r="E50" s="14">
        <v>27078</v>
      </c>
      <c r="F50" s="14">
        <v>34650</v>
      </c>
      <c r="G50" s="14">
        <v>45079</v>
      </c>
      <c r="I50" s="17"/>
    </row>
    <row r="51" spans="2:16" x14ac:dyDescent="0.45">
      <c r="B51" t="s">
        <v>170</v>
      </c>
      <c r="C51" s="14">
        <v>0</v>
      </c>
      <c r="D51" s="14">
        <v>2571</v>
      </c>
      <c r="E51" s="14">
        <v>2054</v>
      </c>
      <c r="F51" s="14">
        <v>2038</v>
      </c>
      <c r="G51" s="14">
        <v>1843</v>
      </c>
      <c r="I51" s="17"/>
    </row>
    <row r="52" spans="2:16" x14ac:dyDescent="0.45">
      <c r="B52" t="s">
        <v>36</v>
      </c>
      <c r="C52" s="14">
        <v>8871</v>
      </c>
      <c r="D52" s="14">
        <v>10252</v>
      </c>
      <c r="E52" s="14">
        <v>11893</v>
      </c>
      <c r="F52" s="14">
        <v>16036</v>
      </c>
      <c r="G52" s="14">
        <v>14660</v>
      </c>
      <c r="I52" s="17"/>
    </row>
    <row r="53" spans="2:16" x14ac:dyDescent="0.45">
      <c r="B53" t="s">
        <v>37</v>
      </c>
      <c r="C53" s="14">
        <f>139+70</f>
        <v>209</v>
      </c>
      <c r="D53" s="14">
        <f>189+70</f>
        <v>259</v>
      </c>
      <c r="E53" s="14">
        <f>65+69</f>
        <v>134</v>
      </c>
      <c r="F53" s="14">
        <f>65+70</f>
        <v>135</v>
      </c>
      <c r="G53" s="14">
        <f>65+71</f>
        <v>136</v>
      </c>
      <c r="I53" s="17"/>
    </row>
    <row r="54" spans="2:16" x14ac:dyDescent="0.45">
      <c r="B54" s="17"/>
      <c r="C54" s="6"/>
      <c r="D54" s="6"/>
      <c r="E54" s="6"/>
      <c r="F54" s="6"/>
      <c r="G54" s="6"/>
    </row>
    <row r="55" spans="2:16" x14ac:dyDescent="0.45">
      <c r="B55" t="s">
        <v>38</v>
      </c>
      <c r="C55" s="14">
        <v>63859</v>
      </c>
      <c r="D55" s="14">
        <v>67386</v>
      </c>
      <c r="E55" s="14">
        <v>75492</v>
      </c>
      <c r="F55" s="14">
        <v>94861</v>
      </c>
      <c r="G55" s="14">
        <v>158811</v>
      </c>
      <c r="I55" s="17"/>
    </row>
    <row r="56" spans="2:16" x14ac:dyDescent="0.45">
      <c r="B56" t="s">
        <v>39</v>
      </c>
      <c r="C56" s="14">
        <v>57028</v>
      </c>
      <c r="D56" s="14">
        <v>53842</v>
      </c>
      <c r="E56" s="14">
        <v>49747</v>
      </c>
      <c r="F56" s="14">
        <v>60180</v>
      </c>
      <c r="G56" s="14">
        <v>81541</v>
      </c>
      <c r="I56" s="17"/>
    </row>
    <row r="57" spans="2:16" x14ac:dyDescent="0.45">
      <c r="B57" t="s">
        <v>40</v>
      </c>
      <c r="C57" s="14">
        <v>3945</v>
      </c>
      <c r="D57" s="14">
        <v>4466</v>
      </c>
      <c r="E57" s="14">
        <v>2228</v>
      </c>
      <c r="F57" s="14">
        <v>3452</v>
      </c>
      <c r="G57" s="14">
        <v>10107</v>
      </c>
      <c r="I57" s="17"/>
    </row>
    <row r="58" spans="2:16" x14ac:dyDescent="0.45">
      <c r="B58" t="s">
        <v>41</v>
      </c>
      <c r="C58" s="14">
        <v>29251</v>
      </c>
      <c r="D58" s="14">
        <v>41378</v>
      </c>
      <c r="E58" s="14">
        <v>40700</v>
      </c>
      <c r="F58" s="14">
        <v>95511</v>
      </c>
      <c r="G58" s="14">
        <v>67426</v>
      </c>
      <c r="I58" s="17"/>
    </row>
    <row r="59" spans="2:16" x14ac:dyDescent="0.45">
      <c r="B59" s="17"/>
      <c r="C59" s="6"/>
      <c r="D59" s="6"/>
      <c r="E59" s="6"/>
      <c r="F59" s="6"/>
      <c r="G59" s="6"/>
    </row>
    <row r="60" spans="2:16" x14ac:dyDescent="0.45">
      <c r="B60" t="s">
        <v>42</v>
      </c>
      <c r="I60" s="17"/>
    </row>
    <row r="61" spans="2:16" x14ac:dyDescent="0.45">
      <c r="C61" s="6"/>
      <c r="D61" s="6"/>
      <c r="E61" s="6"/>
      <c r="F61" s="6"/>
      <c r="G61" s="6"/>
    </row>
    <row r="62" spans="2:16" x14ac:dyDescent="0.45">
      <c r="B62" t="s">
        <v>43</v>
      </c>
      <c r="C62" s="14">
        <v>32631</v>
      </c>
      <c r="D62" s="14">
        <v>20828</v>
      </c>
      <c r="E62" s="14">
        <v>27029</v>
      </c>
      <c r="F62" s="14">
        <v>16589</v>
      </c>
      <c r="G62" s="14">
        <v>72104</v>
      </c>
      <c r="I62" s="17"/>
      <c r="P62" s="33"/>
    </row>
    <row r="63" spans="2:16" x14ac:dyDescent="0.45">
      <c r="B63" t="s">
        <v>44</v>
      </c>
      <c r="C63" s="14">
        <v>1344</v>
      </c>
      <c r="D63" s="14">
        <v>1640</v>
      </c>
      <c r="E63" s="14">
        <v>1438</v>
      </c>
      <c r="F63" s="14">
        <v>1243</v>
      </c>
      <c r="G63" s="14">
        <v>1078</v>
      </c>
      <c r="I63" s="17"/>
    </row>
    <row r="64" spans="2:16" x14ac:dyDescent="0.45">
      <c r="B64" t="s">
        <v>158</v>
      </c>
      <c r="C64" s="14">
        <v>5861</v>
      </c>
      <c r="D64" s="14">
        <v>5532</v>
      </c>
      <c r="E64" s="14">
        <v>5005</v>
      </c>
      <c r="F64" s="14">
        <v>9884</v>
      </c>
      <c r="G64" s="14">
        <v>8934</v>
      </c>
      <c r="I64" s="17"/>
    </row>
    <row r="65" spans="2:16" x14ac:dyDescent="0.45">
      <c r="C65" s="6"/>
      <c r="D65" s="6"/>
      <c r="E65" s="6"/>
      <c r="F65" s="6"/>
      <c r="G65" s="6"/>
    </row>
    <row r="66" spans="2:16" x14ac:dyDescent="0.45">
      <c r="B66" t="s">
        <v>45</v>
      </c>
      <c r="C66" s="6"/>
      <c r="D66" s="6"/>
      <c r="E66" s="6"/>
      <c r="F66" s="6"/>
      <c r="G66" s="6"/>
    </row>
    <row r="67" spans="2:16" x14ac:dyDescent="0.45">
      <c r="B67" t="s">
        <v>43</v>
      </c>
      <c r="C67" s="14">
        <v>10147</v>
      </c>
      <c r="D67" s="14">
        <v>12966</v>
      </c>
      <c r="E67" s="14">
        <v>16208</v>
      </c>
      <c r="F67" s="14">
        <v>17635</v>
      </c>
      <c r="G67" s="14">
        <v>12701</v>
      </c>
      <c r="I67" s="17"/>
      <c r="P67" s="33"/>
    </row>
    <row r="68" spans="2:16" x14ac:dyDescent="0.45">
      <c r="B68" t="s">
        <v>46</v>
      </c>
      <c r="C68" s="14">
        <v>45742</v>
      </c>
      <c r="D68" s="14">
        <v>59852</v>
      </c>
      <c r="E68" s="14">
        <v>52942</v>
      </c>
      <c r="F68" s="14">
        <v>68165</v>
      </c>
      <c r="G68" s="14">
        <v>91914</v>
      </c>
      <c r="I68" s="17"/>
      <c r="P68" s="33"/>
    </row>
    <row r="69" spans="2:16" x14ac:dyDescent="0.45">
      <c r="B69" t="s">
        <v>159</v>
      </c>
      <c r="C69" s="14">
        <v>3337</v>
      </c>
      <c r="D69" s="14">
        <v>3624</v>
      </c>
      <c r="E69" s="14">
        <v>4073</v>
      </c>
      <c r="F69" s="14">
        <v>1712</v>
      </c>
      <c r="G69" s="14">
        <v>2094</v>
      </c>
      <c r="I69" s="17"/>
    </row>
    <row r="70" spans="2:16" x14ac:dyDescent="0.45">
      <c r="C70" s="6"/>
      <c r="D70" s="6"/>
      <c r="E70" s="6"/>
      <c r="F70" s="6"/>
      <c r="G70" s="6"/>
    </row>
    <row r="71" spans="2:16" x14ac:dyDescent="0.45">
      <c r="B71" t="s">
        <v>47</v>
      </c>
      <c r="I71" s="17"/>
    </row>
    <row r="72" spans="2:16" x14ac:dyDescent="0.45">
      <c r="C72" s="6"/>
      <c r="D72" s="6"/>
      <c r="E72" s="6"/>
      <c r="F72" s="6"/>
      <c r="G72" s="6"/>
    </row>
    <row r="73" spans="2:16" x14ac:dyDescent="0.45">
      <c r="B73" t="s">
        <v>58</v>
      </c>
      <c r="C73" s="14">
        <v>164785</v>
      </c>
      <c r="D73" s="14">
        <v>183406</v>
      </c>
      <c r="E73" s="14">
        <v>191687</v>
      </c>
      <c r="F73" s="14">
        <v>287472</v>
      </c>
      <c r="G73" s="14">
        <v>322386</v>
      </c>
      <c r="I73" s="17"/>
    </row>
    <row r="74" spans="2:16" x14ac:dyDescent="0.45">
      <c r="B74" t="s">
        <v>144</v>
      </c>
      <c r="I74" s="17"/>
    </row>
    <row r="76" spans="2:16" x14ac:dyDescent="0.45">
      <c r="B76" t="s">
        <v>145</v>
      </c>
      <c r="I76" s="17"/>
    </row>
    <row r="77" spans="2:16" x14ac:dyDescent="0.45">
      <c r="B77" s="17"/>
    </row>
    <row r="78" spans="2:16" x14ac:dyDescent="0.45">
      <c r="B78" s="17"/>
      <c r="C78" s="2"/>
    </row>
    <row r="79" spans="2:16" x14ac:dyDescent="0.45">
      <c r="B79" s="17"/>
      <c r="C79" s="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531F-1E3F-447C-A93D-A14B93243254}">
  <dimension ref="A1:U106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4" sqref="A14:XFD14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196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33" t="s">
        <v>176</v>
      </c>
    </row>
    <row r="6" spans="1:21" x14ac:dyDescent="0.45">
      <c r="B6" t="s">
        <v>154</v>
      </c>
      <c r="D6">
        <f>BS!D62-BS!C62</f>
        <v>-11803</v>
      </c>
      <c r="E6">
        <f>BS!E62-BS!D62</f>
        <v>6201</v>
      </c>
      <c r="F6">
        <f>BS!F62-BS!E62</f>
        <v>-10440</v>
      </c>
      <c r="G6">
        <f>BS!G62-BS!F62</f>
        <v>55515</v>
      </c>
      <c r="H6" s="24">
        <v>0</v>
      </c>
      <c r="I6" s="24">
        <v>0</v>
      </c>
      <c r="J6" s="24">
        <v>0</v>
      </c>
      <c r="K6" s="24">
        <v>0</v>
      </c>
    </row>
    <row r="7" spans="1:21" x14ac:dyDescent="0.45">
      <c r="B7" t="s">
        <v>155</v>
      </c>
      <c r="D7">
        <f>BS!D67-BS!C67</f>
        <v>2819</v>
      </c>
      <c r="E7">
        <f>BS!E67-BS!D67</f>
        <v>3242</v>
      </c>
      <c r="F7">
        <f>BS!F67-BS!E67</f>
        <v>1427</v>
      </c>
      <c r="G7">
        <f>BS!G67-BS!F67</f>
        <v>-4934</v>
      </c>
      <c r="H7" s="24">
        <v>0</v>
      </c>
      <c r="I7" s="24">
        <v>0</v>
      </c>
      <c r="J7" s="24">
        <v>0</v>
      </c>
      <c r="K7" s="24">
        <v>0</v>
      </c>
    </row>
    <row r="8" spans="1:21" x14ac:dyDescent="0.45">
      <c r="B8" t="s">
        <v>156</v>
      </c>
      <c r="D8" s="19">
        <f>D44/AVERAGE(SUM(BS!C62,BS!C67),SUM(BS!D62,BS!D67))</f>
        <v>0</v>
      </c>
      <c r="E8" s="19">
        <f>E44/AVERAGE(SUM(BS!D62,BS!D67),SUM(BS!E62,BS!E67))</f>
        <v>0</v>
      </c>
      <c r="F8" s="19">
        <f>F44/AVERAGE(SUM(BS!E62,BS!E67),SUM(BS!F62,BS!F67))</f>
        <v>0</v>
      </c>
      <c r="G8" s="19">
        <f>G44/AVERAGE(SUM(BS!F62,BS!F67),SUM(BS!G62,BS!G67))</f>
        <v>0</v>
      </c>
      <c r="H8" s="25">
        <v>1.6E-2</v>
      </c>
      <c r="I8" s="25">
        <v>1.6E-2</v>
      </c>
      <c r="J8" s="25">
        <v>1.6E-2</v>
      </c>
      <c r="K8" s="25">
        <v>1.6E-2</v>
      </c>
    </row>
    <row r="9" spans="1:21" x14ac:dyDescent="0.45">
      <c r="B9" t="s">
        <v>157</v>
      </c>
      <c r="D9" s="19" t="e">
        <f>'CFS and Debt Schedule'!D47/AVERAGE('CFS and Debt Schedule'!C46:D46)</f>
        <v>#DIV/0!</v>
      </c>
      <c r="E9" s="19" t="e">
        <f>'CFS and Debt Schedule'!E47/AVERAGE('CFS and Debt Schedule'!D46:E46)</f>
        <v>#DIV/0!</v>
      </c>
      <c r="F9" s="19" t="e">
        <f>'CFS and Debt Schedule'!F47/AVERAGE('CFS and Debt Schedule'!E46:F46)</f>
        <v>#DIV/0!</v>
      </c>
      <c r="G9" s="19" t="e">
        <f>'CFS and Debt Schedule'!G47/AVERAGE('CFS and Debt Schedule'!F46:G46)</f>
        <v>#DIV/0!</v>
      </c>
      <c r="H9" s="25">
        <v>1E-3</v>
      </c>
      <c r="I9" s="25">
        <v>1E-3</v>
      </c>
      <c r="J9" s="25">
        <v>1E-3</v>
      </c>
      <c r="K9" s="25">
        <v>1E-3</v>
      </c>
    </row>
    <row r="10" spans="1:21" ht="15.75" x14ac:dyDescent="0.5">
      <c r="A10" s="11"/>
      <c r="B10" s="17"/>
    </row>
    <row r="11" spans="1:21" ht="15.75" x14ac:dyDescent="0.5">
      <c r="A11" s="11" t="s">
        <v>60</v>
      </c>
      <c r="B11" s="17"/>
    </row>
    <row r="12" spans="1:21" x14ac:dyDescent="0.45">
      <c r="B12" s="7" t="s">
        <v>61</v>
      </c>
    </row>
    <row r="13" spans="1:21" x14ac:dyDescent="0.45">
      <c r="B13" t="s">
        <v>26</v>
      </c>
      <c r="D13" s="17"/>
      <c r="E13" s="17"/>
      <c r="F13" s="17"/>
      <c r="G13" s="17"/>
    </row>
    <row r="14" spans="1:21" x14ac:dyDescent="0.45">
      <c r="B14" t="s">
        <v>14</v>
      </c>
      <c r="D14" s="17"/>
      <c r="E14" s="17"/>
      <c r="F14" s="17"/>
      <c r="G14" s="17"/>
    </row>
    <row r="15" spans="1:21" x14ac:dyDescent="0.45">
      <c r="B15" t="s">
        <v>160</v>
      </c>
      <c r="D15" s="17"/>
      <c r="E15" s="17"/>
      <c r="F15" s="17"/>
      <c r="G15" s="17"/>
    </row>
    <row r="16" spans="1:21" x14ac:dyDescent="0.45">
      <c r="B16" t="s">
        <v>169</v>
      </c>
      <c r="D16" s="17"/>
      <c r="E16" s="17"/>
      <c r="F16" s="17"/>
      <c r="G16" s="17"/>
      <c r="N16" s="33"/>
    </row>
    <row r="17" spans="2:14" x14ac:dyDescent="0.45">
      <c r="B17" t="s">
        <v>166</v>
      </c>
      <c r="D17" s="14"/>
      <c r="E17" s="14"/>
      <c r="F17" s="14"/>
      <c r="G17" s="14"/>
    </row>
    <row r="18" spans="2:14" x14ac:dyDescent="0.45">
      <c r="B18" t="s">
        <v>167</v>
      </c>
      <c r="D18" s="14"/>
      <c r="E18" s="14"/>
      <c r="F18" s="14"/>
      <c r="G18" s="14"/>
    </row>
    <row r="19" spans="2:14" x14ac:dyDescent="0.45">
      <c r="B19" t="s">
        <v>168</v>
      </c>
      <c r="D19" s="14"/>
      <c r="E19" s="14"/>
      <c r="F19" s="14"/>
      <c r="G19" s="14"/>
    </row>
    <row r="20" spans="2:14" x14ac:dyDescent="0.45">
      <c r="B20" t="s">
        <v>62</v>
      </c>
    </row>
    <row r="21" spans="2:14" x14ac:dyDescent="0.45">
      <c r="B21" s="17"/>
      <c r="D21" s="6"/>
      <c r="E21" s="6"/>
      <c r="F21" s="6"/>
      <c r="G21" s="6"/>
    </row>
    <row r="22" spans="2:14" x14ac:dyDescent="0.45">
      <c r="B22" s="7" t="s">
        <v>63</v>
      </c>
      <c r="D22" s="6"/>
      <c r="E22" s="6"/>
      <c r="F22" s="6"/>
      <c r="G22" s="6"/>
    </row>
    <row r="23" spans="2:14" x14ac:dyDescent="0.45">
      <c r="B23" t="s">
        <v>64</v>
      </c>
      <c r="D23" s="14"/>
      <c r="E23" s="14"/>
      <c r="F23" s="14"/>
      <c r="G23" s="14"/>
    </row>
    <row r="24" spans="2:14" x14ac:dyDescent="0.45">
      <c r="B24" t="s">
        <v>65</v>
      </c>
      <c r="D24" s="14"/>
      <c r="E24" s="14"/>
      <c r="F24" s="14"/>
      <c r="G24" s="14"/>
    </row>
    <row r="25" spans="2:14" x14ac:dyDescent="0.45">
      <c r="B25" t="s">
        <v>171</v>
      </c>
      <c r="D25" s="14"/>
      <c r="E25" s="14"/>
      <c r="F25" s="14"/>
      <c r="G25" s="14"/>
    </row>
    <row r="26" spans="2:14" x14ac:dyDescent="0.45">
      <c r="B26" t="s">
        <v>66</v>
      </c>
      <c r="D26" s="14"/>
      <c r="E26" s="14"/>
      <c r="F26" s="14"/>
      <c r="G26" s="14"/>
      <c r="N26" s="33"/>
    </row>
    <row r="27" spans="2:14" x14ac:dyDescent="0.45">
      <c r="B27" t="s">
        <v>67</v>
      </c>
    </row>
    <row r="28" spans="2:14" x14ac:dyDescent="0.45">
      <c r="B28" s="17"/>
      <c r="D28" s="6"/>
      <c r="E28" s="6"/>
      <c r="F28" s="6"/>
      <c r="G28" s="6"/>
    </row>
    <row r="29" spans="2:14" x14ac:dyDescent="0.45">
      <c r="B29" s="7" t="s">
        <v>68</v>
      </c>
      <c r="D29" s="6"/>
      <c r="E29" s="6"/>
      <c r="F29" s="6"/>
      <c r="G29" s="6"/>
    </row>
    <row r="30" spans="2:14" x14ac:dyDescent="0.45">
      <c r="B30" t="s">
        <v>181</v>
      </c>
      <c r="D30" s="14"/>
      <c r="E30" s="14"/>
      <c r="F30" s="14"/>
      <c r="G30" s="14"/>
    </row>
    <row r="31" spans="2:14" x14ac:dyDescent="0.45">
      <c r="B31" t="s">
        <v>180</v>
      </c>
      <c r="D31" s="14"/>
      <c r="E31" s="14"/>
      <c r="F31" s="14"/>
      <c r="G31" s="14"/>
    </row>
    <row r="32" spans="2:14" x14ac:dyDescent="0.45">
      <c r="B32" t="s">
        <v>69</v>
      </c>
      <c r="D32" s="14"/>
      <c r="E32" s="14"/>
      <c r="F32" s="14"/>
      <c r="G32" s="14"/>
      <c r="N32" s="33"/>
    </row>
    <row r="33" spans="1:11" x14ac:dyDescent="0.45">
      <c r="B33" t="s">
        <v>70</v>
      </c>
      <c r="D33" s="14"/>
      <c r="E33" s="14"/>
      <c r="F33" s="14"/>
      <c r="G33" s="14"/>
    </row>
    <row r="34" spans="1:11" x14ac:dyDescent="0.45">
      <c r="B34" t="s">
        <v>71</v>
      </c>
    </row>
    <row r="35" spans="1:11" x14ac:dyDescent="0.45">
      <c r="B35" s="17"/>
      <c r="D35" s="6"/>
      <c r="E35" s="6"/>
      <c r="F35" s="6"/>
      <c r="G35" s="6"/>
      <c r="H35" s="6"/>
      <c r="I35" s="6"/>
      <c r="J35" s="6"/>
      <c r="K35" s="6"/>
    </row>
    <row r="36" spans="1:11" x14ac:dyDescent="0.45">
      <c r="B36" t="s">
        <v>163</v>
      </c>
      <c r="D36" s="14">
        <v>12127</v>
      </c>
      <c r="E36" s="14">
        <v>-678</v>
      </c>
      <c r="F36" s="14">
        <v>54811</v>
      </c>
      <c r="G36" s="14">
        <v>-28085</v>
      </c>
    </row>
    <row r="37" spans="1:11" x14ac:dyDescent="0.45">
      <c r="D37" s="2"/>
      <c r="E37" s="2"/>
      <c r="F37" s="2"/>
      <c r="G37" s="2"/>
      <c r="H37" s="2"/>
      <c r="I37" s="2"/>
      <c r="J37" s="2"/>
      <c r="K37" s="2"/>
    </row>
    <row r="38" spans="1:11" x14ac:dyDescent="0.45">
      <c r="B38" t="s">
        <v>161</v>
      </c>
    </row>
    <row r="39" spans="1:11" x14ac:dyDescent="0.45">
      <c r="B39" t="s">
        <v>162</v>
      </c>
    </row>
    <row r="40" spans="1:11" ht="13.5" customHeight="1" x14ac:dyDescent="0.45">
      <c r="B40" s="17"/>
    </row>
    <row r="41" spans="1:11" ht="15.75" x14ac:dyDescent="0.45">
      <c r="A41" s="28" t="s">
        <v>177</v>
      </c>
      <c r="B41" s="7"/>
    </row>
    <row r="42" spans="1:11" ht="15.75" x14ac:dyDescent="0.45">
      <c r="A42" s="28"/>
      <c r="B42" t="s">
        <v>179</v>
      </c>
    </row>
    <row r="43" spans="1:11" ht="15.75" x14ac:dyDescent="0.45">
      <c r="A43" s="28"/>
      <c r="B43" t="s">
        <v>178</v>
      </c>
    </row>
    <row r="44" spans="1:11" x14ac:dyDescent="0.45">
      <c r="B44" t="s">
        <v>54</v>
      </c>
    </row>
    <row r="46" spans="1:11" x14ac:dyDescent="0.45">
      <c r="B46" t="s">
        <v>55</v>
      </c>
    </row>
    <row r="47" spans="1:11" x14ac:dyDescent="0.45">
      <c r="B47" t="s">
        <v>56</v>
      </c>
    </row>
    <row r="49" spans="2:3" x14ac:dyDescent="0.45">
      <c r="B49" t="s">
        <v>57</v>
      </c>
    </row>
    <row r="50" spans="2:3" x14ac:dyDescent="0.45">
      <c r="B50" s="17"/>
      <c r="C50" s="2"/>
    </row>
    <row r="53" spans="2:3" x14ac:dyDescent="0.45">
      <c r="B53" s="17"/>
    </row>
    <row r="54" spans="2:3" x14ac:dyDescent="0.45">
      <c r="B54" s="17"/>
    </row>
    <row r="55" spans="2:3" x14ac:dyDescent="0.45">
      <c r="B55" s="17"/>
    </row>
    <row r="56" spans="2:3" x14ac:dyDescent="0.45">
      <c r="B56" s="17"/>
    </row>
    <row r="57" spans="2:3" x14ac:dyDescent="0.45">
      <c r="B57" s="17"/>
    </row>
    <row r="58" spans="2:3" x14ac:dyDescent="0.45">
      <c r="B58" s="17"/>
    </row>
    <row r="59" spans="2:3" x14ac:dyDescent="0.45">
      <c r="B59" s="17"/>
    </row>
    <row r="60" spans="2:3" x14ac:dyDescent="0.45">
      <c r="B60" s="17"/>
    </row>
    <row r="61" spans="2:3" x14ac:dyDescent="0.45">
      <c r="B61" s="17"/>
    </row>
    <row r="62" spans="2:3" x14ac:dyDescent="0.45">
      <c r="B62" s="17"/>
    </row>
    <row r="63" spans="2:3" x14ac:dyDescent="0.45">
      <c r="B63" s="17"/>
    </row>
    <row r="64" spans="2:3" x14ac:dyDescent="0.45">
      <c r="B64" s="17"/>
    </row>
    <row r="65" spans="2:2" x14ac:dyDescent="0.45">
      <c r="B65" s="17"/>
    </row>
    <row r="66" spans="2:2" x14ac:dyDescent="0.45">
      <c r="B66" s="17"/>
    </row>
    <row r="67" spans="2:2" x14ac:dyDescent="0.45">
      <c r="B67" s="17"/>
    </row>
    <row r="68" spans="2:2" x14ac:dyDescent="0.45">
      <c r="B68" s="17"/>
    </row>
    <row r="69" spans="2:2" x14ac:dyDescent="0.45">
      <c r="B69" s="17"/>
    </row>
    <row r="70" spans="2:2" x14ac:dyDescent="0.45">
      <c r="B70" s="17"/>
    </row>
    <row r="71" spans="2:2" x14ac:dyDescent="0.45">
      <c r="B71" s="17"/>
    </row>
    <row r="72" spans="2:2" x14ac:dyDescent="0.45">
      <c r="B72" s="17"/>
    </row>
    <row r="73" spans="2:2" x14ac:dyDescent="0.45">
      <c r="B73" s="17"/>
    </row>
    <row r="74" spans="2:2" x14ac:dyDescent="0.45">
      <c r="B74" s="17"/>
    </row>
    <row r="75" spans="2:2" x14ac:dyDescent="0.45">
      <c r="B75" s="17"/>
    </row>
    <row r="76" spans="2:2" x14ac:dyDescent="0.45">
      <c r="B76" s="17"/>
    </row>
    <row r="77" spans="2:2" x14ac:dyDescent="0.45">
      <c r="B77" s="17"/>
    </row>
    <row r="78" spans="2:2" x14ac:dyDescent="0.45">
      <c r="B78" s="17"/>
    </row>
    <row r="79" spans="2:2" x14ac:dyDescent="0.45">
      <c r="B79" s="17"/>
    </row>
    <row r="80" spans="2:2" x14ac:dyDescent="0.45">
      <c r="B80" s="17"/>
    </row>
    <row r="81" spans="2:2" x14ac:dyDescent="0.45">
      <c r="B81" s="17"/>
    </row>
    <row r="82" spans="2:2" x14ac:dyDescent="0.45">
      <c r="B82" s="17"/>
    </row>
    <row r="83" spans="2:2" x14ac:dyDescent="0.45">
      <c r="B83" s="17"/>
    </row>
    <row r="84" spans="2:2" x14ac:dyDescent="0.45">
      <c r="B84" s="17"/>
    </row>
    <row r="85" spans="2:2" x14ac:dyDescent="0.45">
      <c r="B85" s="17"/>
    </row>
    <row r="86" spans="2:2" x14ac:dyDescent="0.45">
      <c r="B86" s="17"/>
    </row>
    <row r="87" spans="2:2" x14ac:dyDescent="0.45">
      <c r="B87" s="17"/>
    </row>
    <row r="88" spans="2:2" x14ac:dyDescent="0.45">
      <c r="B88" s="17"/>
    </row>
    <row r="89" spans="2:2" x14ac:dyDescent="0.45">
      <c r="B89" s="17"/>
    </row>
    <row r="90" spans="2:2" x14ac:dyDescent="0.45">
      <c r="B90" s="17"/>
    </row>
    <row r="91" spans="2:2" x14ac:dyDescent="0.45">
      <c r="B91" s="17"/>
    </row>
    <row r="92" spans="2:2" x14ac:dyDescent="0.45">
      <c r="B92" s="17"/>
    </row>
    <row r="93" spans="2:2" x14ac:dyDescent="0.45">
      <c r="B93" s="17"/>
    </row>
    <row r="94" spans="2:2" x14ac:dyDescent="0.45">
      <c r="B94" s="17"/>
    </row>
    <row r="95" spans="2:2" x14ac:dyDescent="0.45">
      <c r="B95" s="17"/>
    </row>
    <row r="96" spans="2:2" x14ac:dyDescent="0.45">
      <c r="B96" s="17"/>
    </row>
    <row r="97" spans="2:2" x14ac:dyDescent="0.45">
      <c r="B97" s="17"/>
    </row>
    <row r="98" spans="2:2" x14ac:dyDescent="0.45">
      <c r="B98" s="17"/>
    </row>
    <row r="99" spans="2:2" x14ac:dyDescent="0.45">
      <c r="B99" s="17"/>
    </row>
    <row r="100" spans="2:2" x14ac:dyDescent="0.45">
      <c r="B100" s="17"/>
    </row>
    <row r="101" spans="2:2" x14ac:dyDescent="0.45">
      <c r="B101" s="17"/>
    </row>
    <row r="102" spans="2:2" x14ac:dyDescent="0.45">
      <c r="B102" s="17"/>
    </row>
    <row r="103" spans="2:2" x14ac:dyDescent="0.45">
      <c r="B103" s="17"/>
    </row>
    <row r="104" spans="2:2" x14ac:dyDescent="0.45">
      <c r="B104" s="17"/>
    </row>
    <row r="105" spans="2:2" x14ac:dyDescent="0.45">
      <c r="B105" s="17"/>
    </row>
    <row r="106" spans="2:2" x14ac:dyDescent="0.45">
      <c r="B106" s="1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zoomScaleNormal="100" workbookViewId="0"/>
  </sheetViews>
  <sheetFormatPr defaultRowHeight="14.25" outlineLevelRow="1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136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7" t="s">
        <v>135</v>
      </c>
    </row>
    <row r="6" spans="1:21" x14ac:dyDescent="0.45">
      <c r="B6" t="s">
        <v>223</v>
      </c>
      <c r="D6" s="19">
        <f t="shared" ref="D6:G7" si="0">D25/C25-1</f>
        <v>8.644572335780909E-2</v>
      </c>
      <c r="E6" s="19">
        <f t="shared" si="0"/>
        <v>7.3594417857012484E-2</v>
      </c>
      <c r="F6" s="19">
        <f t="shared" si="0"/>
        <v>0.14744364100382823</v>
      </c>
      <c r="G6" s="19">
        <f t="shared" si="0"/>
        <v>3.2413517000044578E-2</v>
      </c>
      <c r="H6" s="23">
        <v>0.03</v>
      </c>
      <c r="I6" s="23">
        <v>0.03</v>
      </c>
      <c r="J6" s="23">
        <v>0.03</v>
      </c>
      <c r="K6" s="23">
        <v>0.03</v>
      </c>
    </row>
    <row r="7" spans="1:21" x14ac:dyDescent="0.45">
      <c r="B7" t="s">
        <v>224</v>
      </c>
      <c r="D7" s="19">
        <f t="shared" si="0"/>
        <v>7.2331999838364247E-3</v>
      </c>
      <c r="E7" s="19">
        <f t="shared" si="0"/>
        <v>6.2184064831902752E-3</v>
      </c>
      <c r="F7" s="19">
        <f t="shared" si="0"/>
        <v>-5.0277102188907907E-2</v>
      </c>
      <c r="G7" s="19">
        <f t="shared" si="0"/>
        <v>0.1400923593618808</v>
      </c>
      <c r="H7" s="23">
        <v>0.25</v>
      </c>
      <c r="I7" s="23">
        <v>-7.0000000000000007E-2</v>
      </c>
      <c r="J7" s="23">
        <v>-0.03</v>
      </c>
      <c r="K7" s="23">
        <v>-0.03</v>
      </c>
    </row>
    <row r="8" spans="1:21" x14ac:dyDescent="0.45">
      <c r="B8" t="s">
        <v>79</v>
      </c>
      <c r="D8" s="19"/>
      <c r="E8" s="19"/>
      <c r="F8" s="19">
        <f>F28/E28-1</f>
        <v>19.353970390309556</v>
      </c>
      <c r="G8" s="19">
        <f>G28/F28-1</f>
        <v>1.6735105468491702</v>
      </c>
      <c r="H8" s="23">
        <v>0.31</v>
      </c>
      <c r="I8" s="23">
        <v>0.28000000000000003</v>
      </c>
      <c r="J8" s="23">
        <v>0.25</v>
      </c>
      <c r="K8" s="23">
        <v>0.21</v>
      </c>
    </row>
    <row r="9" spans="1:21" x14ac:dyDescent="0.45">
      <c r="B9" t="s">
        <v>80</v>
      </c>
      <c r="D9" s="19">
        <f t="shared" ref="D9:E12" si="1">D29/C29-1</f>
        <v>0.37920098846787487</v>
      </c>
      <c r="E9" s="19">
        <f t="shared" si="1"/>
        <v>0.17726281840714297</v>
      </c>
      <c r="F9" s="19">
        <f>F29/E29-1</f>
        <v>-8.5559191335007445E-2</v>
      </c>
      <c r="G9" s="19">
        <f>G29/F29-1</f>
        <v>-0.11775312066574206</v>
      </c>
      <c r="H9" s="23">
        <v>-0.05</v>
      </c>
      <c r="I9" s="23">
        <v>-0.05</v>
      </c>
      <c r="J9" s="23">
        <v>-0.05</v>
      </c>
      <c r="K9" s="23">
        <v>-0.1</v>
      </c>
    </row>
    <row r="10" spans="1:21" x14ac:dyDescent="0.45">
      <c r="B10" t="s">
        <v>81</v>
      </c>
      <c r="D10" s="19">
        <f t="shared" si="1"/>
        <v>3.1394481730052215E-2</v>
      </c>
      <c r="E10" s="19">
        <f t="shared" si="1"/>
        <v>-0.81584845636613401</v>
      </c>
      <c r="F10" s="19">
        <f t="shared" ref="F10:F16" si="2">F30/E30-1</f>
        <v>-1</v>
      </c>
      <c r="G10" s="19">
        <v>0</v>
      </c>
      <c r="H10" s="23">
        <f>G10</f>
        <v>0</v>
      </c>
      <c r="I10" s="23">
        <f>H10</f>
        <v>0</v>
      </c>
      <c r="J10" s="23">
        <f>I10</f>
        <v>0</v>
      </c>
      <c r="K10" s="23">
        <f>J10</f>
        <v>0</v>
      </c>
    </row>
    <row r="11" spans="1:21" x14ac:dyDescent="0.45">
      <c r="B11" t="s">
        <v>82</v>
      </c>
      <c r="D11" s="19">
        <f t="shared" si="1"/>
        <v>0.63989810966617511</v>
      </c>
      <c r="E11" s="19">
        <f t="shared" si="1"/>
        <v>0.16890124264224982</v>
      </c>
      <c r="F11" s="19">
        <f t="shared" si="2"/>
        <v>6.861099454469155E-2</v>
      </c>
      <c r="G11" s="19">
        <f>G31/F31-1</f>
        <v>-4.6861705609005821E-2</v>
      </c>
      <c r="H11" s="23">
        <v>7.0000000000000007E-2</v>
      </c>
      <c r="I11" s="23">
        <v>-0.05</v>
      </c>
      <c r="J11" s="23">
        <v>-0.05</v>
      </c>
      <c r="K11" s="23">
        <v>-0.05</v>
      </c>
    </row>
    <row r="12" spans="1:21" x14ac:dyDescent="0.45">
      <c r="B12" t="s">
        <v>83</v>
      </c>
      <c r="D12" s="19">
        <f t="shared" si="1"/>
        <v>2.0253848231163829E-2</v>
      </c>
      <c r="E12" s="19">
        <f t="shared" si="1"/>
        <v>-3.5733192165167127E-3</v>
      </c>
      <c r="F12" s="19">
        <f t="shared" si="2"/>
        <v>-1.9657325009961535E-2</v>
      </c>
      <c r="G12" s="19">
        <f>G32/F32-1</f>
        <v>-0.21880503996748413</v>
      </c>
      <c r="H12" s="23">
        <v>-0.43</v>
      </c>
      <c r="I12" s="23">
        <v>-0.2</v>
      </c>
      <c r="J12" s="23">
        <v>-0.2</v>
      </c>
      <c r="K12" s="23">
        <v>-0.2</v>
      </c>
    </row>
    <row r="13" spans="1:21" x14ac:dyDescent="0.45">
      <c r="B13" t="s">
        <v>84</v>
      </c>
      <c r="D13" s="19"/>
      <c r="E13" s="19"/>
      <c r="F13" s="19">
        <f t="shared" si="2"/>
        <v>1.8863104109005748</v>
      </c>
      <c r="G13" s="19">
        <f>G33/F33-1</f>
        <v>0.62440067861621307</v>
      </c>
      <c r="H13" s="23">
        <v>0.32</v>
      </c>
      <c r="I13" s="23">
        <v>0.2</v>
      </c>
      <c r="J13" s="23">
        <v>0.25</v>
      </c>
      <c r="K13" s="23">
        <v>0.1</v>
      </c>
    </row>
    <row r="14" spans="1:21" x14ac:dyDescent="0.45">
      <c r="B14" t="s">
        <v>85</v>
      </c>
      <c r="D14" s="19">
        <f t="shared" ref="D14:E16" si="3">D34/C34-1</f>
        <v>-0.26020130576713818</v>
      </c>
      <c r="E14" s="19">
        <f t="shared" si="3"/>
        <v>-0.27486670343813202</v>
      </c>
      <c r="F14" s="19">
        <f t="shared" si="2"/>
        <v>-1</v>
      </c>
      <c r="G14" s="19">
        <v>0</v>
      </c>
      <c r="H14" s="30">
        <f>G14</f>
        <v>0</v>
      </c>
      <c r="I14" s="30">
        <f>H14</f>
        <v>0</v>
      </c>
      <c r="J14" s="30">
        <f>I14</f>
        <v>0</v>
      </c>
      <c r="K14" s="30">
        <f>J14</f>
        <v>0</v>
      </c>
    </row>
    <row r="15" spans="1:21" x14ac:dyDescent="0.45">
      <c r="B15" t="s">
        <v>86</v>
      </c>
      <c r="D15" s="19">
        <f t="shared" si="3"/>
        <v>-8.5016835016834991E-2</v>
      </c>
      <c r="E15" s="19">
        <f t="shared" si="3"/>
        <v>-0.33928242870285186</v>
      </c>
      <c r="F15" s="19">
        <f t="shared" si="2"/>
        <v>-0.34948482316903373</v>
      </c>
      <c r="G15" s="19">
        <f>G35/F35-1</f>
        <v>-1</v>
      </c>
      <c r="H15" s="30">
        <v>0</v>
      </c>
      <c r="I15" s="30">
        <v>0</v>
      </c>
      <c r="J15" s="30">
        <v>0</v>
      </c>
      <c r="K15" s="30">
        <v>0</v>
      </c>
    </row>
    <row r="16" spans="1:21" x14ac:dyDescent="0.45">
      <c r="B16" t="s">
        <v>87</v>
      </c>
      <c r="D16" s="19">
        <f t="shared" si="3"/>
        <v>1.1539900249376558</v>
      </c>
      <c r="E16" s="19">
        <f t="shared" si="3"/>
        <v>0.30246020260492035</v>
      </c>
      <c r="F16" s="19">
        <f t="shared" si="2"/>
        <v>0.24677777777777776</v>
      </c>
      <c r="G16" s="19">
        <f>G36/F36-1</f>
        <v>0.18242580875144809</v>
      </c>
      <c r="H16" s="23">
        <v>0.05</v>
      </c>
      <c r="I16" s="23">
        <v>0.02</v>
      </c>
      <c r="J16" s="23">
        <v>0.03</v>
      </c>
      <c r="K16" s="23">
        <v>-0.1</v>
      </c>
    </row>
    <row r="17" spans="1:11" x14ac:dyDescent="0.45">
      <c r="B17" t="s">
        <v>50</v>
      </c>
      <c r="D17" s="19">
        <f>D38/C38-1</f>
        <v>0.99094231686000311</v>
      </c>
      <c r="E17" s="19">
        <f>E38/D38-1</f>
        <v>2.123074467236008E-2</v>
      </c>
      <c r="F17" s="19">
        <f>F38/E38-1</f>
        <v>-0.2613520906604142</v>
      </c>
      <c r="G17" s="19">
        <f>G38/F38-1</f>
        <v>0.68648820230663432</v>
      </c>
      <c r="H17" s="22">
        <v>3000</v>
      </c>
      <c r="I17" s="22">
        <v>3000</v>
      </c>
      <c r="J17" s="22">
        <v>3000</v>
      </c>
      <c r="K17" s="22">
        <v>3000</v>
      </c>
    </row>
    <row r="18" spans="1:11" x14ac:dyDescent="0.45">
      <c r="B18" t="s">
        <v>89</v>
      </c>
      <c r="D18" s="19">
        <f t="shared" ref="D18:G19" si="4">D40/C40-1</f>
        <v>6.0580723624201971E-2</v>
      </c>
      <c r="E18" s="19">
        <f t="shared" si="4"/>
        <v>2.2754963090374725E-2</v>
      </c>
      <c r="F18" s="19">
        <f t="shared" si="4"/>
        <v>4.0187800007007501E-2</v>
      </c>
      <c r="G18" s="19">
        <f t="shared" si="4"/>
        <v>9.6604688763136659E-2</v>
      </c>
      <c r="H18" s="23">
        <v>-0.14000000000000001</v>
      </c>
      <c r="I18" s="23">
        <v>-0.03</v>
      </c>
      <c r="J18" s="23">
        <v>0.08</v>
      </c>
      <c r="K18" s="23">
        <v>0.09</v>
      </c>
    </row>
    <row r="19" spans="1:11" x14ac:dyDescent="0.45">
      <c r="B19" t="s">
        <v>90</v>
      </c>
      <c r="D19" s="19">
        <f t="shared" si="4"/>
        <v>-0.52347592785810104</v>
      </c>
      <c r="E19" s="19">
        <f t="shared" si="4"/>
        <v>-0.18579918673756646</v>
      </c>
      <c r="F19" s="19">
        <f t="shared" si="4"/>
        <v>-0.17134076066077608</v>
      </c>
      <c r="G19" s="19">
        <f t="shared" si="4"/>
        <v>-2.8280018544274421E-2</v>
      </c>
      <c r="H19" s="23">
        <v>-0.73</v>
      </c>
      <c r="I19" s="23">
        <v>-0.15</v>
      </c>
      <c r="J19" s="23">
        <v>0</v>
      </c>
      <c r="K19" s="23">
        <v>0</v>
      </c>
    </row>
    <row r="20" spans="1:11" x14ac:dyDescent="0.45">
      <c r="B20" t="s">
        <v>91</v>
      </c>
      <c r="D20" s="19">
        <f>D43/C43-1</f>
        <v>-9.1460382141080987E-2</v>
      </c>
      <c r="E20" s="19">
        <f>E43/D43-1</f>
        <v>7.8877666337053176E-2</v>
      </c>
      <c r="F20" s="19">
        <f>F43/E43-1</f>
        <v>-0.10677752500040916</v>
      </c>
      <c r="G20" s="19">
        <f>G43/F43-1</f>
        <v>0.20293174530462665</v>
      </c>
      <c r="H20" s="23">
        <v>0.25</v>
      </c>
      <c r="I20" s="23">
        <v>0.15</v>
      </c>
      <c r="J20" s="23">
        <v>0.04</v>
      </c>
      <c r="K20" s="23">
        <v>0.03</v>
      </c>
    </row>
    <row r="21" spans="1:11" x14ac:dyDescent="0.45">
      <c r="B21" t="s">
        <v>92</v>
      </c>
      <c r="D21" s="19">
        <f>D44/C44-1</f>
        <v>0</v>
      </c>
      <c r="E21" s="19">
        <f>E44/D44-1</f>
        <v>0.43195266272189348</v>
      </c>
      <c r="F21" s="19">
        <f>F44/E44-1</f>
        <v>-1</v>
      </c>
      <c r="G21" s="19">
        <v>0</v>
      </c>
      <c r="H21" s="30">
        <v>0</v>
      </c>
      <c r="I21" s="30">
        <v>0</v>
      </c>
      <c r="J21" s="30">
        <v>0</v>
      </c>
      <c r="K21" s="30">
        <v>0</v>
      </c>
    </row>
    <row r="24" spans="1:11" x14ac:dyDescent="0.45">
      <c r="A24" s="33" t="s">
        <v>138</v>
      </c>
    </row>
    <row r="25" spans="1:11" outlineLevel="1" x14ac:dyDescent="0.45">
      <c r="B25" t="s">
        <v>77</v>
      </c>
      <c r="C25" s="14">
        <v>50390</v>
      </c>
      <c r="D25" s="14">
        <v>54746</v>
      </c>
      <c r="E25" s="14">
        <v>58775</v>
      </c>
      <c r="F25" s="14">
        <v>67441</v>
      </c>
      <c r="G25" s="14">
        <v>69627</v>
      </c>
      <c r="H25">
        <f t="shared" ref="H25:H26" si="5">G25*(1+H6)</f>
        <v>71715.81</v>
      </c>
      <c r="I25" t="str">
        <f ca="1">_xlfn.FORMULATEXT(H25)</f>
        <v>=G25*(1+H6)</v>
      </c>
    </row>
    <row r="26" spans="1:11" outlineLevel="1" x14ac:dyDescent="0.45">
      <c r="B26" t="s">
        <v>78</v>
      </c>
      <c r="C26" s="14">
        <v>24747</v>
      </c>
      <c r="D26" s="14">
        <v>24926</v>
      </c>
      <c r="E26" s="14">
        <v>25081</v>
      </c>
      <c r="F26" s="14">
        <v>23820</v>
      </c>
      <c r="G26" s="14">
        <v>27157</v>
      </c>
      <c r="H26">
        <f t="shared" si="5"/>
        <v>33946.25</v>
      </c>
      <c r="I26" t="str">
        <f t="shared" ref="I26:I45" ca="1" si="6">_xlfn.FORMULATEXT(H26)</f>
        <v>=G26*(1+H7)</v>
      </c>
    </row>
    <row r="27" spans="1:11" x14ac:dyDescent="0.45">
      <c r="B27" t="s">
        <v>76</v>
      </c>
      <c r="C27">
        <f t="shared" ref="C27:H27" si="7">SUM(C25:C26)</f>
        <v>75137</v>
      </c>
      <c r="D27">
        <f t="shared" si="7"/>
        <v>79672</v>
      </c>
      <c r="E27">
        <f t="shared" si="7"/>
        <v>83856</v>
      </c>
      <c r="F27">
        <f t="shared" si="7"/>
        <v>91261</v>
      </c>
      <c r="G27">
        <f t="shared" si="7"/>
        <v>96784</v>
      </c>
      <c r="H27">
        <f t="shared" si="7"/>
        <v>105662.06</v>
      </c>
      <c r="I27" t="str">
        <f t="shared" ca="1" si="6"/>
        <v>=SUM(H25:H26)</v>
      </c>
    </row>
    <row r="28" spans="1:11" x14ac:dyDescent="0.45">
      <c r="B28" t="s">
        <v>79</v>
      </c>
      <c r="C28" s="6"/>
      <c r="D28" s="6"/>
      <c r="E28" s="14">
        <v>1486</v>
      </c>
      <c r="F28" s="14">
        <v>30246</v>
      </c>
      <c r="G28" s="14">
        <v>80863</v>
      </c>
      <c r="H28">
        <f>G28*(1+H8)</f>
        <v>105930.53</v>
      </c>
      <c r="I28" t="str">
        <f t="shared" ca="1" si="6"/>
        <v>=G28*(1+H8)</v>
      </c>
    </row>
    <row r="29" spans="1:11" x14ac:dyDescent="0.45">
      <c r="B29" t="s">
        <v>80</v>
      </c>
      <c r="C29" s="14">
        <v>24280</v>
      </c>
      <c r="D29" s="14">
        <v>33487</v>
      </c>
      <c r="E29" s="14">
        <v>39423</v>
      </c>
      <c r="F29" s="14">
        <v>36050</v>
      </c>
      <c r="G29" s="14">
        <v>31805</v>
      </c>
      <c r="H29">
        <f t="shared" ref="H29:H36" si="8">G29*(1+H9)</f>
        <v>30214.75</v>
      </c>
      <c r="I29" t="str">
        <f t="shared" ca="1" si="6"/>
        <v>=G29*(1+H9)</v>
      </c>
    </row>
    <row r="30" spans="1:11" x14ac:dyDescent="0.45">
      <c r="B30" t="s">
        <v>81</v>
      </c>
      <c r="C30" s="14">
        <v>13410</v>
      </c>
      <c r="D30" s="14">
        <v>13831</v>
      </c>
      <c r="E30" s="14">
        <v>2547</v>
      </c>
      <c r="F30" s="14">
        <v>0</v>
      </c>
      <c r="G30" s="14">
        <v>0</v>
      </c>
      <c r="H30">
        <f t="shared" si="8"/>
        <v>0</v>
      </c>
      <c r="I30" t="str">
        <f t="shared" ca="1" si="6"/>
        <v>=G30*(1+H10)</v>
      </c>
    </row>
    <row r="31" spans="1:11" x14ac:dyDescent="0.45">
      <c r="B31" t="s">
        <v>82</v>
      </c>
      <c r="C31" s="14">
        <v>7459</v>
      </c>
      <c r="D31" s="14">
        <v>12232</v>
      </c>
      <c r="E31" s="14">
        <v>14298</v>
      </c>
      <c r="F31" s="14">
        <v>15279</v>
      </c>
      <c r="G31" s="14">
        <v>14563</v>
      </c>
      <c r="H31">
        <f t="shared" si="8"/>
        <v>15582.410000000002</v>
      </c>
      <c r="I31" t="str">
        <f t="shared" ca="1" si="6"/>
        <v>=G31*(1+H11)</v>
      </c>
    </row>
    <row r="32" spans="1:11" x14ac:dyDescent="0.45">
      <c r="B32" t="s">
        <v>83</v>
      </c>
      <c r="C32" s="14">
        <v>7406</v>
      </c>
      <c r="D32" s="14">
        <v>7556</v>
      </c>
      <c r="E32" s="14">
        <v>7529</v>
      </c>
      <c r="F32" s="14">
        <v>7381</v>
      </c>
      <c r="G32" s="14">
        <v>5766</v>
      </c>
      <c r="H32">
        <f t="shared" si="8"/>
        <v>3286.6200000000003</v>
      </c>
      <c r="I32" t="str">
        <f t="shared" ca="1" si="6"/>
        <v>=G32*(1+H12)</v>
      </c>
    </row>
    <row r="33" spans="1:11" x14ac:dyDescent="0.45">
      <c r="B33" t="s">
        <v>84</v>
      </c>
      <c r="C33" s="6"/>
      <c r="D33" s="14">
        <v>172</v>
      </c>
      <c r="E33" s="14">
        <v>4697</v>
      </c>
      <c r="F33" s="14">
        <v>13557</v>
      </c>
      <c r="G33" s="14">
        <v>22022</v>
      </c>
      <c r="H33">
        <f t="shared" si="8"/>
        <v>29069.040000000001</v>
      </c>
      <c r="I33" t="str">
        <f t="shared" ca="1" si="6"/>
        <v>=G33*(1+H13)</v>
      </c>
    </row>
    <row r="34" spans="1:11" x14ac:dyDescent="0.45">
      <c r="B34" t="s">
        <v>85</v>
      </c>
      <c r="C34" s="14">
        <v>7352</v>
      </c>
      <c r="D34" s="14">
        <v>5439</v>
      </c>
      <c r="E34" s="14">
        <v>3944</v>
      </c>
      <c r="F34" s="14">
        <v>0</v>
      </c>
      <c r="G34" s="14">
        <v>0</v>
      </c>
      <c r="H34">
        <f t="shared" si="8"/>
        <v>0</v>
      </c>
      <c r="I34" t="str">
        <f t="shared" ca="1" si="6"/>
        <v>=G34*(1+H14)</v>
      </c>
    </row>
    <row r="35" spans="1:11" x14ac:dyDescent="0.45">
      <c r="B35" t="s">
        <v>86</v>
      </c>
      <c r="C35" s="14">
        <v>5940</v>
      </c>
      <c r="D35" s="14">
        <v>5435</v>
      </c>
      <c r="E35" s="14">
        <v>3591</v>
      </c>
      <c r="F35" s="14">
        <v>2336</v>
      </c>
      <c r="G35" s="14">
        <v>0</v>
      </c>
      <c r="H35">
        <f t="shared" si="8"/>
        <v>0</v>
      </c>
      <c r="I35" t="str">
        <f t="shared" ca="1" si="6"/>
        <v>=G35*(1+H15)</v>
      </c>
    </row>
    <row r="36" spans="1:11" x14ac:dyDescent="0.45">
      <c r="B36" t="s">
        <v>87</v>
      </c>
      <c r="C36" s="14">
        <v>3208</v>
      </c>
      <c r="D36" s="14">
        <v>6910</v>
      </c>
      <c r="E36" s="14">
        <v>9000</v>
      </c>
      <c r="F36" s="14">
        <v>11221</v>
      </c>
      <c r="G36" s="14">
        <v>13268</v>
      </c>
      <c r="H36">
        <f t="shared" si="8"/>
        <v>13931.400000000001</v>
      </c>
      <c r="I36" t="str">
        <f t="shared" ca="1" si="6"/>
        <v>=G36*(1+H16)</v>
      </c>
    </row>
    <row r="37" spans="1:11" x14ac:dyDescent="0.45">
      <c r="B37" t="s">
        <v>88</v>
      </c>
      <c r="C37" s="6"/>
      <c r="D37" s="6"/>
      <c r="E37" s="6"/>
      <c r="F37" s="6"/>
      <c r="G37" s="6"/>
    </row>
    <row r="38" spans="1:11" x14ac:dyDescent="0.45">
      <c r="B38" t="s">
        <v>50</v>
      </c>
      <c r="C38" s="14">
        <v>6293</v>
      </c>
      <c r="D38" s="14">
        <f>12701-D33</f>
        <v>12529</v>
      </c>
      <c r="E38" s="14">
        <v>12795</v>
      </c>
      <c r="F38" s="14">
        <v>9451</v>
      </c>
      <c r="G38" s="14">
        <v>15939</v>
      </c>
      <c r="H38">
        <f>H17</f>
        <v>3000</v>
      </c>
      <c r="I38" t="str">
        <f t="shared" ca="1" si="6"/>
        <v>=H17</v>
      </c>
    </row>
    <row r="39" spans="1:11" x14ac:dyDescent="0.45">
      <c r="B39" t="s">
        <v>137</v>
      </c>
      <c r="C39">
        <f t="shared" ref="C39:H39" si="9">SUM(C27:C38)</f>
        <v>150485</v>
      </c>
      <c r="D39">
        <f t="shared" si="9"/>
        <v>177263</v>
      </c>
      <c r="E39">
        <f t="shared" si="9"/>
        <v>183166</v>
      </c>
      <c r="F39">
        <f t="shared" si="9"/>
        <v>216782</v>
      </c>
      <c r="G39">
        <f t="shared" si="9"/>
        <v>281010</v>
      </c>
      <c r="H39">
        <f t="shared" si="9"/>
        <v>306676.81</v>
      </c>
      <c r="I39" t="str">
        <f t="shared" ca="1" si="6"/>
        <v>=SUM(H27:H38)</v>
      </c>
    </row>
    <row r="40" spans="1:11" x14ac:dyDescent="0.45">
      <c r="B40" t="s">
        <v>89</v>
      </c>
      <c r="C40" s="14">
        <v>26312</v>
      </c>
      <c r="D40" s="14">
        <v>27906</v>
      </c>
      <c r="E40" s="14">
        <v>28541</v>
      </c>
      <c r="F40" s="14">
        <v>29688</v>
      </c>
      <c r="G40" s="14">
        <v>32556</v>
      </c>
      <c r="H40">
        <f t="shared" ref="H40:H41" si="10">G40*(1+H18)</f>
        <v>27998.16</v>
      </c>
      <c r="I40" t="str">
        <f t="shared" ca="1" si="6"/>
        <v>=G40*(1+H18)</v>
      </c>
    </row>
    <row r="41" spans="1:11" x14ac:dyDescent="0.45">
      <c r="B41" t="s">
        <v>90</v>
      </c>
      <c r="C41" s="14">
        <v>6709</v>
      </c>
      <c r="D41" s="14">
        <v>3197</v>
      </c>
      <c r="E41" s="14">
        <v>2603</v>
      </c>
      <c r="F41" s="14">
        <v>2157</v>
      </c>
      <c r="G41" s="14">
        <v>2096</v>
      </c>
      <c r="H41">
        <f t="shared" si="10"/>
        <v>565.92000000000007</v>
      </c>
      <c r="I41" t="str">
        <f t="shared" ca="1" si="6"/>
        <v>=G41*(1+H19)</v>
      </c>
    </row>
    <row r="42" spans="1:11" s="33" customFormat="1" x14ac:dyDescent="0.45">
      <c r="B42" t="s">
        <v>75</v>
      </c>
      <c r="C42">
        <f t="shared" ref="C42:H42" si="11">SUM(C39:C41)</f>
        <v>183506</v>
      </c>
      <c r="D42">
        <f t="shared" si="11"/>
        <v>208366</v>
      </c>
      <c r="E42">
        <f t="shared" si="11"/>
        <v>214310</v>
      </c>
      <c r="F42">
        <f t="shared" si="11"/>
        <v>248627</v>
      </c>
      <c r="G42">
        <f t="shared" si="11"/>
        <v>315662</v>
      </c>
      <c r="H42">
        <f t="shared" si="11"/>
        <v>335240.88999999996</v>
      </c>
      <c r="I42" t="str">
        <f t="shared" ca="1" si="6"/>
        <v>=SUM(H39:H41)</v>
      </c>
      <c r="J42"/>
      <c r="K42"/>
    </row>
    <row r="43" spans="1:11" x14ac:dyDescent="0.45">
      <c r="B43" t="s">
        <v>91</v>
      </c>
      <c r="C43" s="14">
        <v>62333</v>
      </c>
      <c r="D43" s="14">
        <v>56632</v>
      </c>
      <c r="E43" s="14">
        <v>61099</v>
      </c>
      <c r="F43" s="14">
        <v>54575</v>
      </c>
      <c r="G43" s="14">
        <v>65650</v>
      </c>
      <c r="H43">
        <f t="shared" ref="H43:H44" si="12">G43*(1+H20)</f>
        <v>82062.5</v>
      </c>
      <c r="I43" t="str">
        <f t="shared" ca="1" si="6"/>
        <v>=G43*(1+H20)</v>
      </c>
    </row>
    <row r="44" spans="1:11" x14ac:dyDescent="0.45">
      <c r="B44" t="s">
        <v>92</v>
      </c>
      <c r="C44" s="14">
        <v>169</v>
      </c>
      <c r="D44" s="14">
        <v>169</v>
      </c>
      <c r="E44" s="14">
        <v>242</v>
      </c>
      <c r="F44" s="14">
        <v>0</v>
      </c>
      <c r="G44" s="14">
        <v>0</v>
      </c>
      <c r="H44">
        <f t="shared" si="12"/>
        <v>0</v>
      </c>
      <c r="I44" t="str">
        <f t="shared" ca="1" si="6"/>
        <v>=G44*(1+H21)</v>
      </c>
    </row>
    <row r="45" spans="1:11" s="33" customFormat="1" x14ac:dyDescent="0.45">
      <c r="A45" t="s">
        <v>74</v>
      </c>
      <c r="B45"/>
      <c r="C45">
        <f t="shared" ref="C45:H45" si="13">SUM(C42:C44)</f>
        <v>246008</v>
      </c>
      <c r="D45">
        <f t="shared" si="13"/>
        <v>265167</v>
      </c>
      <c r="E45">
        <f t="shared" si="13"/>
        <v>275651</v>
      </c>
      <c r="F45">
        <f t="shared" si="13"/>
        <v>303202</v>
      </c>
      <c r="G45">
        <f t="shared" si="13"/>
        <v>381312</v>
      </c>
      <c r="H45">
        <f t="shared" si="13"/>
        <v>417303.38999999996</v>
      </c>
      <c r="I45" t="str">
        <f t="shared" ca="1" si="6"/>
        <v>=SUM(H42:H44)</v>
      </c>
      <c r="J45"/>
      <c r="K45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CCE8-34B2-4A39-87BE-445864A15524}">
  <dimension ref="A1:AA10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25" outlineLevelCol="1" x14ac:dyDescent="0.45"/>
  <cols>
    <col min="1" max="1" width="1.73046875" customWidth="1"/>
    <col min="2" max="2" width="55" customWidth="1"/>
    <col min="3" max="5" width="10.73046875" customWidth="1"/>
    <col min="6" max="6" width="10.73046875" hidden="1" customWidth="1" outlineLevel="1"/>
    <col min="7" max="7" width="10.86328125" hidden="1" customWidth="1" outlineLevel="1"/>
    <col min="8" max="8" width="10.73046875" customWidth="1" collapsed="1"/>
    <col min="9" max="19" width="10.73046875" customWidth="1"/>
  </cols>
  <sheetData>
    <row r="1" spans="1:19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45">
      <c r="A2" s="9"/>
      <c r="B2" s="9"/>
      <c r="C2" s="13"/>
      <c r="D2" s="13"/>
      <c r="E2" s="13"/>
      <c r="F2" s="13"/>
      <c r="G2" s="13"/>
      <c r="H2" s="13" t="s">
        <v>216</v>
      </c>
      <c r="I2" s="13" t="s">
        <v>213</v>
      </c>
      <c r="J2" s="13" t="s">
        <v>213</v>
      </c>
      <c r="K2" s="13" t="s">
        <v>213</v>
      </c>
      <c r="L2" s="13" t="s">
        <v>213</v>
      </c>
      <c r="M2" s="13" t="s">
        <v>213</v>
      </c>
      <c r="N2" s="13" t="s">
        <v>213</v>
      </c>
      <c r="O2" s="13" t="s">
        <v>213</v>
      </c>
      <c r="P2" s="13" t="s">
        <v>213</v>
      </c>
      <c r="Q2" s="13" t="str">
        <f>P2</f>
        <v>Proj.</v>
      </c>
      <c r="R2" s="13" t="str">
        <f>Q2</f>
        <v>Proj.</v>
      </c>
      <c r="S2" s="13" t="str">
        <f>R2</f>
        <v>Proj.</v>
      </c>
    </row>
    <row r="3" spans="1:19" ht="21" x14ac:dyDescent="0.65">
      <c r="A3" s="73" t="s">
        <v>211</v>
      </c>
      <c r="B3" s="9"/>
      <c r="C3" s="12"/>
      <c r="D3" s="12"/>
      <c r="E3" s="12"/>
      <c r="F3" s="12"/>
      <c r="G3" s="12"/>
      <c r="H3" s="31">
        <f>IS!G3</f>
        <v>43830</v>
      </c>
      <c r="I3" s="31">
        <f>EDATE(H3,12)</f>
        <v>44196</v>
      </c>
      <c r="J3" s="31">
        <f t="shared" ref="J3:S3" si="0">EDATE(I3,12)</f>
        <v>44561</v>
      </c>
      <c r="K3" s="31">
        <f t="shared" si="0"/>
        <v>44926</v>
      </c>
      <c r="L3" s="31">
        <f t="shared" si="0"/>
        <v>45291</v>
      </c>
      <c r="M3" s="31">
        <f t="shared" si="0"/>
        <v>45657</v>
      </c>
      <c r="N3" s="31">
        <f t="shared" si="0"/>
        <v>46022</v>
      </c>
      <c r="O3" s="31">
        <f t="shared" si="0"/>
        <v>46387</v>
      </c>
      <c r="P3" s="31">
        <f t="shared" si="0"/>
        <v>46752</v>
      </c>
      <c r="Q3" s="31">
        <f t="shared" si="0"/>
        <v>47118</v>
      </c>
      <c r="R3" s="31">
        <f t="shared" si="0"/>
        <v>47483</v>
      </c>
      <c r="S3" s="31">
        <f t="shared" si="0"/>
        <v>47848</v>
      </c>
    </row>
    <row r="5" spans="1:19" ht="15.75" x14ac:dyDescent="0.5">
      <c r="A5" s="28" t="s">
        <v>129</v>
      </c>
      <c r="B5" s="11"/>
    </row>
    <row r="6" spans="1:19" x14ac:dyDescent="0.45">
      <c r="B6" s="21" t="s">
        <v>128</v>
      </c>
      <c r="C6" s="21" t="s">
        <v>126</v>
      </c>
      <c r="D6" s="21" t="s">
        <v>127</v>
      </c>
      <c r="F6" s="21"/>
      <c r="G6" s="21"/>
    </row>
    <row r="7" spans="1:19" x14ac:dyDescent="0.45">
      <c r="B7" s="17" t="s">
        <v>94</v>
      </c>
      <c r="C7" s="75"/>
      <c r="D7" s="30">
        <v>0.65</v>
      </c>
      <c r="F7" s="29"/>
      <c r="G7" s="76" t="e">
        <f ca="1">_xlfn.FORMULATEXT(C7)</f>
        <v>#N/A</v>
      </c>
    </row>
    <row r="8" spans="1:19" x14ac:dyDescent="0.45">
      <c r="B8" s="17" t="s">
        <v>95</v>
      </c>
      <c r="C8" s="75"/>
      <c r="D8" s="18"/>
      <c r="F8" s="29"/>
      <c r="G8" s="76" t="e">
        <f ca="1">_xlfn.FORMULATEXT(C8)</f>
        <v>#N/A</v>
      </c>
    </row>
    <row r="9" spans="1:19" x14ac:dyDescent="0.45">
      <c r="B9" s="17" t="s">
        <v>96</v>
      </c>
      <c r="C9" s="26">
        <v>9.5</v>
      </c>
      <c r="F9" s="26"/>
    </row>
    <row r="10" spans="1:19" x14ac:dyDescent="0.45">
      <c r="B10" s="17"/>
    </row>
    <row r="11" spans="1:19" x14ac:dyDescent="0.45">
      <c r="B11" s="21" t="s">
        <v>132</v>
      </c>
      <c r="C11" s="21" t="s">
        <v>126</v>
      </c>
      <c r="D11" s="21" t="s">
        <v>127</v>
      </c>
      <c r="E11" s="21" t="s">
        <v>93</v>
      </c>
      <c r="F11" s="21"/>
    </row>
    <row r="12" spans="1:19" x14ac:dyDescent="0.45">
      <c r="B12" s="17" t="s">
        <v>130</v>
      </c>
      <c r="C12" s="74"/>
      <c r="D12" s="30">
        <v>0.73</v>
      </c>
      <c r="E12" s="18"/>
      <c r="F12" s="17"/>
      <c r="G12" s="76" t="e">
        <f ca="1">_xlfn.FORMULATEXT(C12)</f>
        <v>#N/A</v>
      </c>
    </row>
    <row r="13" spans="1:19" x14ac:dyDescent="0.45">
      <c r="B13" s="17" t="s">
        <v>131</v>
      </c>
      <c r="C13" s="74"/>
      <c r="D13" s="18"/>
      <c r="E13" s="18"/>
      <c r="F13" s="17"/>
      <c r="G13" s="76" t="e">
        <f ca="1">_xlfn.FORMULATEXT(C13)</f>
        <v>#N/A</v>
      </c>
    </row>
    <row r="14" spans="1:19" x14ac:dyDescent="0.45">
      <c r="B14" s="17" t="s">
        <v>96</v>
      </c>
      <c r="C14" s="26">
        <v>5.8</v>
      </c>
      <c r="E14" s="18"/>
      <c r="F14" s="26"/>
      <c r="G14" s="26"/>
    </row>
    <row r="16" spans="1:19" x14ac:dyDescent="0.45">
      <c r="B16" s="17" t="s">
        <v>125</v>
      </c>
      <c r="C16" s="27">
        <v>1.2</v>
      </c>
    </row>
    <row r="17" spans="1:19" ht="15.75" x14ac:dyDescent="0.45">
      <c r="A17" s="28" t="s">
        <v>97</v>
      </c>
    </row>
    <row r="18" spans="1:19" x14ac:dyDescent="0.45">
      <c r="B18" t="s">
        <v>98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x14ac:dyDescent="0.45">
      <c r="B19" t="s">
        <v>99</v>
      </c>
      <c r="I19" s="25">
        <v>6.5000000000000002E-2</v>
      </c>
      <c r="J19" s="25">
        <v>6.5000000000000002E-2</v>
      </c>
      <c r="K19" s="25">
        <v>6.5000000000000002E-2</v>
      </c>
      <c r="L19" s="25">
        <v>6.5000000000000002E-2</v>
      </c>
      <c r="M19" s="25">
        <v>6.5000000000000002E-2</v>
      </c>
      <c r="N19" s="25">
        <v>6.5000000000000002E-2</v>
      </c>
      <c r="O19" s="25">
        <f>N19*0.9</f>
        <v>5.8500000000000003E-2</v>
      </c>
      <c r="P19" s="25">
        <f>O19*0.9</f>
        <v>5.2650000000000002E-2</v>
      </c>
      <c r="Q19" s="25">
        <f>P19*0.9</f>
        <v>4.7385000000000004E-2</v>
      </c>
      <c r="R19" s="25">
        <f>Q19*0.9</f>
        <v>4.2646500000000004E-2</v>
      </c>
      <c r="S19" s="25">
        <f>R19*0.9</f>
        <v>3.8381850000000002E-2</v>
      </c>
    </row>
    <row r="21" spans="1:19" x14ac:dyDescent="0.45">
      <c r="B21" t="s">
        <v>100</v>
      </c>
      <c r="C21" s="30">
        <v>0.9</v>
      </c>
    </row>
    <row r="22" spans="1:19" x14ac:dyDescent="0.45">
      <c r="B22" t="s">
        <v>101</v>
      </c>
      <c r="C22" s="32"/>
      <c r="D22" t="str">
        <f>[2]!FR(C22)</f>
        <v/>
      </c>
    </row>
    <row r="23" spans="1:19" x14ac:dyDescent="0.45">
      <c r="B23" t="s">
        <v>102</v>
      </c>
      <c r="C23" s="15"/>
      <c r="D23" t="str">
        <f>[2]!FR(C23)</f>
        <v/>
      </c>
    </row>
    <row r="25" spans="1:19" x14ac:dyDescent="0.45">
      <c r="B25" t="s">
        <v>103</v>
      </c>
      <c r="C25" s="30">
        <v>0.7</v>
      </c>
    </row>
    <row r="26" spans="1:19" x14ac:dyDescent="0.45">
      <c r="B26" t="s">
        <v>104</v>
      </c>
      <c r="C26" s="18">
        <f>1-C25</f>
        <v>0.30000000000000004</v>
      </c>
    </row>
    <row r="27" spans="1:19" x14ac:dyDescent="0.45">
      <c r="B27" t="s">
        <v>105</v>
      </c>
      <c r="C27" s="30">
        <v>0.2</v>
      </c>
    </row>
    <row r="29" spans="1:19" x14ac:dyDescent="0.45">
      <c r="B29" t="s">
        <v>106</v>
      </c>
      <c r="C29" s="30">
        <v>0.8</v>
      </c>
    </row>
    <row r="30" spans="1:19" x14ac:dyDescent="0.45">
      <c r="B30" t="s">
        <v>107</v>
      </c>
      <c r="C30" s="30">
        <v>0.95</v>
      </c>
    </row>
    <row r="31" spans="1:19" x14ac:dyDescent="0.45">
      <c r="B31" t="s">
        <v>108</v>
      </c>
      <c r="C31" s="30">
        <v>0.03</v>
      </c>
    </row>
    <row r="32" spans="1:19" x14ac:dyDescent="0.45">
      <c r="B32" t="s">
        <v>109</v>
      </c>
      <c r="C32" s="22">
        <v>20</v>
      </c>
    </row>
    <row r="33" spans="2:27" x14ac:dyDescent="0.45">
      <c r="B33" t="s">
        <v>214</v>
      </c>
      <c r="C33" s="30">
        <v>0.04</v>
      </c>
    </row>
    <row r="34" spans="2:27" x14ac:dyDescent="0.45">
      <c r="B34" t="s">
        <v>215</v>
      </c>
      <c r="C34" s="30">
        <v>0.2</v>
      </c>
    </row>
    <row r="35" spans="2:27" x14ac:dyDescent="0.45">
      <c r="B35" t="s">
        <v>110</v>
      </c>
      <c r="C35" s="30">
        <v>0.25</v>
      </c>
    </row>
    <row r="37" spans="2:27" x14ac:dyDescent="0.45">
      <c r="B37" t="s">
        <v>111</v>
      </c>
      <c r="J37" s="30">
        <v>0.01</v>
      </c>
      <c r="K37" s="19"/>
      <c r="L37" s="19"/>
      <c r="M37" s="19"/>
      <c r="N37" s="19"/>
      <c r="O37" s="30">
        <v>7.4999999999999997E-2</v>
      </c>
      <c r="P37" s="19"/>
      <c r="Q37" s="19"/>
      <c r="R37" s="19"/>
      <c r="S37" s="19"/>
    </row>
    <row r="38" spans="2:27" x14ac:dyDescent="0.45">
      <c r="B38" t="s">
        <v>217</v>
      </c>
    </row>
    <row r="39" spans="2:27" x14ac:dyDescent="0.45">
      <c r="B39" s="3" t="s">
        <v>112</v>
      </c>
    </row>
    <row r="40" spans="2:27" x14ac:dyDescent="0.45">
      <c r="B40" s="3" t="s">
        <v>113</v>
      </c>
    </row>
    <row r="42" spans="2:27" x14ac:dyDescent="0.45">
      <c r="B42" t="s">
        <v>114</v>
      </c>
    </row>
    <row r="43" spans="2:27" x14ac:dyDescent="0.45">
      <c r="B43" t="s">
        <v>115</v>
      </c>
    </row>
    <row r="44" spans="2:27" x14ac:dyDescent="0.45">
      <c r="B44" t="s">
        <v>116</v>
      </c>
    </row>
    <row r="45" spans="2:27" x14ac:dyDescent="0.45">
      <c r="B45" s="78" t="s">
        <v>5</v>
      </c>
    </row>
    <row r="47" spans="2:27" x14ac:dyDescent="0.45">
      <c r="B47" t="s">
        <v>7</v>
      </c>
      <c r="AA47" s="33"/>
    </row>
    <row r="48" spans="2:27" x14ac:dyDescent="0.45">
      <c r="B48" t="s">
        <v>8</v>
      </c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50" spans="1:19" x14ac:dyDescent="0.45">
      <c r="B50" t="s">
        <v>117</v>
      </c>
    </row>
    <row r="51" spans="1:19" x14ac:dyDescent="0.45">
      <c r="B51" t="s">
        <v>118</v>
      </c>
    </row>
    <row r="53" spans="1:19" x14ac:dyDescent="0.45">
      <c r="B53" s="78" t="s">
        <v>15</v>
      </c>
    </row>
    <row r="54" spans="1:19" x14ac:dyDescent="0.45">
      <c r="B54" t="s">
        <v>16</v>
      </c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6" spans="1:19" ht="15.75" x14ac:dyDescent="0.45">
      <c r="A56" s="28" t="s">
        <v>94</v>
      </c>
    </row>
    <row r="57" spans="1:19" x14ac:dyDescent="0.45">
      <c r="B57" t="s">
        <v>98</v>
      </c>
    </row>
    <row r="58" spans="1:19" x14ac:dyDescent="0.45">
      <c r="B58" t="s">
        <v>99</v>
      </c>
      <c r="I58" s="30">
        <v>0.15</v>
      </c>
      <c r="J58" s="30">
        <v>0.15</v>
      </c>
      <c r="K58" s="30">
        <v>0.15</v>
      </c>
      <c r="L58" s="30">
        <v>0.15</v>
      </c>
      <c r="M58" s="30">
        <v>0.15</v>
      </c>
      <c r="N58" s="30">
        <v>0.15</v>
      </c>
      <c r="O58" s="30">
        <f>N58*0.9</f>
        <v>0.13500000000000001</v>
      </c>
      <c r="P58" s="30">
        <f>O58*0.9</f>
        <v>0.12150000000000001</v>
      </c>
      <c r="Q58" s="30">
        <f>P58*0.9</f>
        <v>0.10935000000000002</v>
      </c>
      <c r="R58" s="30">
        <f>Q58*0.9</f>
        <v>9.8415000000000016E-2</v>
      </c>
      <c r="S58" s="30">
        <f>R58*0.9</f>
        <v>8.8573500000000013E-2</v>
      </c>
    </row>
    <row r="60" spans="1:19" x14ac:dyDescent="0.45">
      <c r="B60" t="s">
        <v>100</v>
      </c>
      <c r="C60" s="30">
        <v>0.9</v>
      </c>
    </row>
    <row r="61" spans="1:19" x14ac:dyDescent="0.45">
      <c r="B61" t="str">
        <f>"Peak market share (" &amp; YEAR(INDEX(I3:S3,MATCH(MAX(I72:S72),I72:S72,0))) &amp; ")"</f>
        <v>Peak market share (2027)</v>
      </c>
      <c r="C61" s="32"/>
    </row>
    <row r="63" spans="1:19" x14ac:dyDescent="0.45">
      <c r="B63" t="s">
        <v>103</v>
      </c>
      <c r="C63" s="30">
        <v>0</v>
      </c>
    </row>
    <row r="64" spans="1:19" x14ac:dyDescent="0.45">
      <c r="B64" t="s">
        <v>105</v>
      </c>
      <c r="C64" s="30">
        <v>0.3</v>
      </c>
    </row>
    <row r="66" spans="2:19" x14ac:dyDescent="0.45">
      <c r="B66" t="s">
        <v>106</v>
      </c>
      <c r="C66" s="30">
        <v>0.85</v>
      </c>
    </row>
    <row r="67" spans="2:19" x14ac:dyDescent="0.45">
      <c r="B67" t="s">
        <v>107</v>
      </c>
      <c r="C67" s="30">
        <v>0.95</v>
      </c>
    </row>
    <row r="68" spans="2:19" x14ac:dyDescent="0.45">
      <c r="B68" t="s">
        <v>214</v>
      </c>
      <c r="C68" s="23">
        <v>0.03</v>
      </c>
    </row>
    <row r="69" spans="2:19" x14ac:dyDescent="0.45">
      <c r="B69" t="s">
        <v>109</v>
      </c>
      <c r="C69" s="22">
        <v>0</v>
      </c>
    </row>
    <row r="70" spans="2:19" x14ac:dyDescent="0.45">
      <c r="B70" t="s">
        <v>110</v>
      </c>
      <c r="C70" s="23">
        <v>0.25</v>
      </c>
    </row>
    <row r="72" spans="2:19" x14ac:dyDescent="0.45">
      <c r="B72" t="s">
        <v>111</v>
      </c>
      <c r="K72" s="25">
        <v>4.0000000000000001E-3</v>
      </c>
      <c r="L72" s="19"/>
      <c r="M72" s="19"/>
      <c r="N72" s="19"/>
      <c r="O72" s="19"/>
      <c r="P72" s="23">
        <v>2.5000000000000001E-2</v>
      </c>
      <c r="Q72" s="19"/>
      <c r="R72" s="19"/>
      <c r="S72" s="19"/>
    </row>
    <row r="73" spans="2:19" x14ac:dyDescent="0.45">
      <c r="B73" t="s">
        <v>217</v>
      </c>
    </row>
    <row r="74" spans="2:19" x14ac:dyDescent="0.45">
      <c r="B74" s="3" t="s">
        <v>112</v>
      </c>
    </row>
    <row r="75" spans="2:19" x14ac:dyDescent="0.45">
      <c r="B75" s="3" t="s">
        <v>113</v>
      </c>
    </row>
    <row r="77" spans="2:19" x14ac:dyDescent="0.45">
      <c r="B77" t="s">
        <v>114</v>
      </c>
    </row>
    <row r="78" spans="2:19" x14ac:dyDescent="0.45">
      <c r="B78" t="s">
        <v>115</v>
      </c>
    </row>
    <row r="79" spans="2:19" x14ac:dyDescent="0.45">
      <c r="B79" t="s">
        <v>116</v>
      </c>
    </row>
    <row r="80" spans="2:19" x14ac:dyDescent="0.45">
      <c r="B80" s="78" t="s">
        <v>5</v>
      </c>
    </row>
    <row r="82" spans="1:19" x14ac:dyDescent="0.45">
      <c r="B82" t="s">
        <v>7</v>
      </c>
    </row>
    <row r="83" spans="1:19" x14ac:dyDescent="0.45">
      <c r="B83" t="s">
        <v>8</v>
      </c>
      <c r="K83" s="19"/>
      <c r="L83" s="19"/>
      <c r="M83" s="19"/>
      <c r="N83" s="19"/>
      <c r="O83" s="19"/>
      <c r="P83" s="19"/>
      <c r="Q83" s="19"/>
      <c r="R83" s="19"/>
      <c r="S83" s="19"/>
    </row>
    <row r="85" spans="1:19" x14ac:dyDescent="0.45">
      <c r="B85" t="s">
        <v>117</v>
      </c>
    </row>
    <row r="86" spans="1:19" x14ac:dyDescent="0.45">
      <c r="B86" t="s">
        <v>118</v>
      </c>
    </row>
    <row r="88" spans="1:19" x14ac:dyDescent="0.45">
      <c r="B88" s="78" t="s">
        <v>15</v>
      </c>
    </row>
    <row r="89" spans="1:19" x14ac:dyDescent="0.45">
      <c r="B89" t="s">
        <v>16</v>
      </c>
      <c r="K89" s="19"/>
      <c r="L89" s="19"/>
      <c r="M89" s="19"/>
      <c r="N89" s="19"/>
      <c r="O89" s="19"/>
      <c r="P89" s="19"/>
      <c r="Q89" s="19"/>
      <c r="R89" s="19"/>
      <c r="S89" s="19"/>
    </row>
    <row r="91" spans="1:19" ht="15.75" x14ac:dyDescent="0.45">
      <c r="A91" s="34" t="s">
        <v>133</v>
      </c>
      <c r="B91" s="35"/>
      <c r="H91" s="36"/>
    </row>
    <row r="92" spans="1:19" x14ac:dyDescent="0.45">
      <c r="B92" t="s">
        <v>3</v>
      </c>
    </row>
    <row r="93" spans="1:19" x14ac:dyDescent="0.45">
      <c r="B93" t="s">
        <v>7</v>
      </c>
    </row>
    <row r="94" spans="1:19" x14ac:dyDescent="0.45">
      <c r="B94" t="s">
        <v>8</v>
      </c>
      <c r="J94" s="19"/>
      <c r="K94" s="19"/>
      <c r="L94" s="19"/>
      <c r="M94" s="19"/>
      <c r="N94" s="19"/>
      <c r="O94" s="19"/>
      <c r="P94" s="19"/>
      <c r="Q94" s="19"/>
      <c r="R94" s="19"/>
      <c r="S94" s="19"/>
    </row>
    <row r="95" spans="1:19" x14ac:dyDescent="0.45">
      <c r="B95" t="s">
        <v>119</v>
      </c>
    </row>
    <row r="96" spans="1:19" x14ac:dyDescent="0.45">
      <c r="B96" t="s">
        <v>15</v>
      </c>
    </row>
    <row r="97" spans="1:22" x14ac:dyDescent="0.45">
      <c r="B97" t="s">
        <v>16</v>
      </c>
      <c r="J97" s="19"/>
      <c r="K97" s="19"/>
      <c r="L97" s="19"/>
      <c r="M97" s="19"/>
      <c r="N97" s="19"/>
      <c r="O97" s="19"/>
      <c r="P97" s="19"/>
      <c r="Q97" s="19"/>
      <c r="R97" s="19"/>
      <c r="S97" s="19"/>
    </row>
    <row r="99" spans="1:22" ht="15.75" x14ac:dyDescent="0.45">
      <c r="A99" s="34" t="s">
        <v>134</v>
      </c>
      <c r="B99" s="35"/>
      <c r="H99" s="36"/>
    </row>
    <row r="100" spans="1:22" x14ac:dyDescent="0.45">
      <c r="B100" t="s">
        <v>3</v>
      </c>
      <c r="V100" s="33"/>
    </row>
    <row r="101" spans="1:22" x14ac:dyDescent="0.45">
      <c r="B101" t="s">
        <v>7</v>
      </c>
      <c r="V101" s="33"/>
    </row>
    <row r="102" spans="1:22" x14ac:dyDescent="0.45">
      <c r="B102" t="s">
        <v>8</v>
      </c>
      <c r="J102" s="19"/>
      <c r="K102" s="19"/>
      <c r="L102" s="19"/>
      <c r="M102" s="19"/>
      <c r="N102" s="19"/>
      <c r="O102" s="19"/>
      <c r="P102" s="19"/>
      <c r="Q102" s="19"/>
      <c r="R102" s="19"/>
      <c r="S102" s="19"/>
    </row>
    <row r="103" spans="1:22" x14ac:dyDescent="0.45">
      <c r="B103" t="s">
        <v>119</v>
      </c>
    </row>
    <row r="104" spans="1:22" x14ac:dyDescent="0.45">
      <c r="B104" t="s">
        <v>15</v>
      </c>
      <c r="V104" s="33"/>
    </row>
    <row r="105" spans="1:22" x14ac:dyDescent="0.45">
      <c r="B105" t="s">
        <v>16</v>
      </c>
      <c r="J105" s="19"/>
      <c r="K105" s="19"/>
      <c r="L105" s="19"/>
      <c r="M105" s="19"/>
      <c r="N105" s="19"/>
      <c r="O105" s="19"/>
      <c r="P105" s="19"/>
      <c r="Q105" s="19"/>
      <c r="R105" s="19"/>
      <c r="S105" s="19"/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C8ABD-C054-43C9-A3A7-4C7F897046F8}">
  <dimension ref="B1:B5"/>
  <sheetViews>
    <sheetView workbookViewId="0"/>
  </sheetViews>
  <sheetFormatPr defaultRowHeight="14.25" x14ac:dyDescent="0.45"/>
  <sheetData>
    <row r="1" spans="2:2" x14ac:dyDescent="0.45">
      <c r="B1" t="s">
        <v>120</v>
      </c>
    </row>
    <row r="2" spans="2:2" x14ac:dyDescent="0.45">
      <c r="B2" t="s">
        <v>121</v>
      </c>
    </row>
    <row r="3" spans="2:2" x14ac:dyDescent="0.45">
      <c r="B3" t="s">
        <v>122</v>
      </c>
    </row>
    <row r="4" spans="2:2" x14ac:dyDescent="0.45">
      <c r="B4" t="s">
        <v>123</v>
      </c>
    </row>
    <row r="5" spans="2:2" x14ac:dyDescent="0.45">
      <c r="B5" t="s">
        <v>124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E0D113-1F09-4777-B410-469F3A180224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A2D9F3A9-8B8F-44CE-9DE9-46A08D84EB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F6D643-8871-4D99-AB49-CB7289E290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Welcome</vt:lpstr>
      <vt:lpstr>Info</vt:lpstr>
      <vt:lpstr>IS</vt:lpstr>
      <vt:lpstr>BS</vt:lpstr>
      <vt:lpstr>CFS and Debt Schedule</vt:lpstr>
      <vt:lpstr>Revenues</vt:lpstr>
      <vt:lpstr>Pipeline Drug</vt:lpstr>
      <vt:lpstr>Drugs glossary</vt:lpstr>
      <vt:lpstr>Pipeline</vt:lpstr>
      <vt:lpstr>Switch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Taylor</dc:creator>
  <cp:keywords/>
  <dc:description/>
  <cp:lastModifiedBy>Oliver Sealey</cp:lastModifiedBy>
  <cp:revision/>
  <dcterms:created xsi:type="dcterms:W3CDTF">2021-01-14T11:38:36Z</dcterms:created>
  <dcterms:modified xsi:type="dcterms:W3CDTF">2026-01-21T09:07:03Z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