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G:\.shortcut-targets-by-id\1jGMknnm-AodSJ-45D_G-saE0UTvYiu7t\7090 LBO Modeling Complexities\Elearning\6. Ownership and Goodwill\"/>
    </mc:Choice>
  </mc:AlternateContent>
  <xr:revisionPtr revIDLastSave="0" documentId="13_ncr:1_{A770A054-03EA-4F71-A995-A72414EB50AC}" xr6:coauthVersionLast="47" xr6:coauthVersionMax="47" xr10:uidLastSave="{00000000-0000-0000-0000-000000000000}"/>
  <bookViews>
    <workbookView xWindow="760" yWindow="500" windowWidth="18270" windowHeight="10300" activeTab="2" xr2:uid="{00000000-000D-0000-FFFF-FFFF00000000}"/>
  </bookViews>
  <sheets>
    <sheet name="Welcome" sheetId="1" r:id="rId1"/>
    <sheet name="Info" sheetId="6" r:id="rId2"/>
    <sheet name="LBO" sheetId="27" r:id="rId3"/>
    <sheet name="Input" sheetId="22" r:id="rId4"/>
    <sheet name="Calc" sheetId="23" r:id="rId5"/>
    <sheet name="IS" sheetId="24" r:id="rId6"/>
    <sheet name="BS" sheetId="25" r:id="rId7"/>
    <sheet name="CFS" sheetId="26" r:id="rId8"/>
    <sheet name="Debt" sheetId="28" r:id="rId9"/>
  </sheets>
  <definedNames>
    <definedName name="case">Input!$J$6</definedName>
    <definedName name="CIQWBGuid" hidden="1">"571ab0c3-d74c-43bc-a7ba-442a57d4d174"</definedName>
    <definedName name="date">Info!$N$7</definedName>
    <definedName name="FXadj" localSheetId="8">#REF!</definedName>
    <definedName name="FXadj" localSheetId="2">#REF!</definedName>
    <definedName name="FXadj">#REF!</definedName>
    <definedName name="g" localSheetId="8">#REF!</definedName>
    <definedName name="g" localSheetId="2">#REF!</definedName>
    <definedName name="g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BWSM104" localSheetId="8" hidden="1">#REF!</definedName>
    <definedName name="IQRBWSM104" localSheetId="2" hidden="1">#REF!</definedName>
    <definedName name="IQRBWSM104" hidden="1">#REF!</definedName>
    <definedName name="IQRDECKM104" localSheetId="8" hidden="1">#REF!</definedName>
    <definedName name="IQRDECKM104" localSheetId="2" hidden="1">#REF!</definedName>
    <definedName name="IQRDECKM104" hidden="1">#REF!</definedName>
    <definedName name="IQRDSWM104" localSheetId="8" hidden="1">#REF!</definedName>
    <definedName name="IQRDSWM104" localSheetId="2" hidden="1">#REF!</definedName>
    <definedName name="IQRDSWM104" hidden="1">#REF!</definedName>
    <definedName name="IQRFINLM104" localSheetId="8" hidden="1">#REF!</definedName>
    <definedName name="IQRFINLM104" localSheetId="2" hidden="1">#REF!</definedName>
    <definedName name="IQRFINLM104" hidden="1">#REF!</definedName>
    <definedName name="IQRGCOM104" localSheetId="8" hidden="1">#REF!</definedName>
    <definedName name="IQRGCOM104" localSheetId="2" hidden="1">#REF!</definedName>
    <definedName name="IQRGCOM104" hidden="1">#REF!</definedName>
    <definedName name="IQRSHOOM104" localSheetId="8" hidden="1">#REF!</definedName>
    <definedName name="IQRSHOOM104" localSheetId="2" hidden="1">#REF!</definedName>
    <definedName name="IQRSHOOM104" hidden="1">#REF!</definedName>
    <definedName name="IQRSKXM104" localSheetId="8" hidden="1">#REF!</definedName>
    <definedName name="IQRSKXM104" localSheetId="2" hidden="1">#REF!</definedName>
    <definedName name="IQRSKXM104" hidden="1">#REF!</definedName>
    <definedName name="IQRTargetM104" localSheetId="8" hidden="1">#REF!</definedName>
    <definedName name="IQRTargetM104" localSheetId="2" hidden="1">#REF!</definedName>
    <definedName name="IQRTargetM104" hidden="1">#REF!</definedName>
    <definedName name="IQRTODM104" localSheetId="8" hidden="1">#REF!</definedName>
    <definedName name="IQRTODM104" localSheetId="2" hidden="1">#REF!</definedName>
    <definedName name="IQRTODM104" hidden="1">#REF!</definedName>
    <definedName name="IQRWWWM104" localSheetId="8" hidden="1">#REF!</definedName>
    <definedName name="IQRWWWM104" localSheetId="2" hidden="1">#REF!</definedName>
    <definedName name="IQRWWWM104" hidden="1">#REF!</definedName>
    <definedName name="scenario_toggle" localSheetId="8">#REF!</definedName>
    <definedName name="scenario_toggle" localSheetId="2">#REF!</definedName>
    <definedName name="scenario_toggle">#REF!</definedName>
    <definedName name="switch">Info!$N$12</definedName>
    <definedName name="Switch2" localSheetId="2">LBO!#REF!</definedName>
    <definedName name="Switch2">Input!$F$5</definedName>
    <definedName name="wacc" localSheetId="8">#REF!</definedName>
    <definedName name="wacc" localSheetId="2">#REF!</definedName>
    <definedName name="wacc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7" l="1"/>
  <c r="J39" i="27"/>
  <c r="J38" i="27"/>
  <c r="J36" i="27"/>
  <c r="J37" i="27"/>
  <c r="J35" i="27"/>
  <c r="I36" i="27"/>
  <c r="I37" i="27"/>
  <c r="I35" i="27"/>
  <c r="F36" i="27"/>
  <c r="F37" i="27"/>
  <c r="F38" i="27"/>
  <c r="F39" i="27"/>
  <c r="F40" i="27"/>
  <c r="F41" i="27"/>
  <c r="F42" i="27"/>
  <c r="F35" i="27"/>
  <c r="G35" i="27" s="1"/>
  <c r="K22" i="27"/>
  <c r="I22" i="27"/>
  <c r="I23" i="27"/>
  <c r="K21" i="27"/>
  <c r="I21" i="27"/>
  <c r="E27" i="27"/>
  <c r="D24" i="27"/>
  <c r="D27" i="27" s="1"/>
  <c r="C27" i="27"/>
  <c r="C38" i="27"/>
  <c r="C37" i="27"/>
  <c r="C36" i="27"/>
  <c r="C35" i="27"/>
  <c r="F10" i="27"/>
  <c r="F9" i="27"/>
  <c r="F8" i="27"/>
  <c r="F6" i="27"/>
  <c r="E8" i="23"/>
  <c r="E9" i="23"/>
  <c r="F9" i="23"/>
  <c r="F8" i="23"/>
  <c r="G36" i="27" l="1"/>
  <c r="G37" i="27" s="1"/>
  <c r="G38" i="27" s="1"/>
  <c r="G39" i="27" s="1"/>
  <c r="G40" i="27" s="1"/>
  <c r="F43" i="27"/>
  <c r="H39" i="27" s="1"/>
  <c r="D31" i="27"/>
  <c r="H42" i="27" l="1"/>
  <c r="H36" i="27"/>
  <c r="H40" i="27"/>
  <c r="H37" i="27"/>
  <c r="H41" i="27"/>
  <c r="H38" i="27"/>
  <c r="H35" i="27"/>
  <c r="B22" i="26"/>
  <c r="B21" i="26"/>
  <c r="E40" i="27"/>
  <c r="E41" i="27"/>
  <c r="E42" i="27"/>
  <c r="E36" i="27"/>
  <c r="E37" i="27"/>
  <c r="E38" i="27"/>
  <c r="E39" i="27"/>
  <c r="E35" i="27"/>
  <c r="E17" i="27"/>
  <c r="J24" i="27" l="1"/>
  <c r="A1" i="28"/>
  <c r="A1" i="26"/>
  <c r="A1" i="24"/>
  <c r="A1" i="25"/>
  <c r="A1" i="23"/>
  <c r="A1" i="27"/>
  <c r="A1" i="22"/>
  <c r="K15" i="22" l="1"/>
  <c r="L15" i="22"/>
  <c r="M15" i="22"/>
  <c r="N15" i="22"/>
  <c r="O15" i="22"/>
  <c r="P15" i="22"/>
  <c r="Q15" i="22"/>
  <c r="J15" i="22"/>
  <c r="K53" i="27" l="1"/>
  <c r="B5" i="26"/>
  <c r="L53" i="27" l="1"/>
  <c r="J3" i="28"/>
  <c r="E3" i="28"/>
  <c r="D3" i="28" s="1"/>
  <c r="C3" i="28" s="1"/>
  <c r="K3" i="28" l="1"/>
  <c r="L3" i="28" s="1"/>
  <c r="M3" i="28" s="1"/>
  <c r="N3" i="28" s="1"/>
  <c r="O3" i="28" s="1"/>
  <c r="P3" i="28" s="1"/>
  <c r="Q3" i="28" s="1"/>
  <c r="M53" i="27"/>
  <c r="N53" i="27" s="1"/>
  <c r="B28" i="25"/>
  <c r="B27" i="25"/>
  <c r="B24" i="25"/>
  <c r="B23" i="25"/>
  <c r="B22" i="25"/>
  <c r="B6" i="28" s="1"/>
  <c r="B20" i="28" s="1"/>
  <c r="J3" i="27"/>
  <c r="K3" i="27" s="1"/>
  <c r="L3" i="27" s="1"/>
  <c r="M3" i="27" s="1"/>
  <c r="N3" i="27" s="1"/>
  <c r="O3" i="27" s="1"/>
  <c r="P3" i="27" s="1"/>
  <c r="Q3" i="27" s="1"/>
  <c r="E3" i="27"/>
  <c r="D3" i="27" s="1"/>
  <c r="C3" i="27" s="1"/>
  <c r="J3" i="26"/>
  <c r="K3" i="26" s="1"/>
  <c r="L3" i="26" s="1"/>
  <c r="M3" i="26" s="1"/>
  <c r="N3" i="26" s="1"/>
  <c r="O3" i="26" s="1"/>
  <c r="P3" i="26" s="1"/>
  <c r="Q3" i="26" s="1"/>
  <c r="E3" i="26"/>
  <c r="D3" i="26" s="1"/>
  <c r="C3" i="26" s="1"/>
  <c r="J3" i="25"/>
  <c r="K3" i="25" s="1"/>
  <c r="L3" i="25" s="1"/>
  <c r="M3" i="25" s="1"/>
  <c r="N3" i="25" s="1"/>
  <c r="O3" i="25" s="1"/>
  <c r="P3" i="25" s="1"/>
  <c r="Q3" i="25" s="1"/>
  <c r="E3" i="25"/>
  <c r="D3" i="25" s="1"/>
  <c r="C3" i="25" s="1"/>
  <c r="J3" i="24"/>
  <c r="K3" i="24" s="1"/>
  <c r="L3" i="24" s="1"/>
  <c r="M3" i="24" s="1"/>
  <c r="N3" i="24" s="1"/>
  <c r="O3" i="24" s="1"/>
  <c r="P3" i="24" s="1"/>
  <c r="Q3" i="24" s="1"/>
  <c r="E3" i="24"/>
  <c r="D3" i="24" s="1"/>
  <c r="C3" i="24" s="1"/>
  <c r="E3" i="23"/>
  <c r="D3" i="23" s="1"/>
  <c r="C3" i="23" s="1"/>
  <c r="J3" i="23"/>
  <c r="K3" i="23" s="1"/>
  <c r="L3" i="23" s="1"/>
  <c r="M3" i="23" s="1"/>
  <c r="N3" i="23" s="1"/>
  <c r="O3" i="23" s="1"/>
  <c r="P3" i="23" s="1"/>
  <c r="Q3" i="23" s="1"/>
  <c r="B35" i="27"/>
  <c r="O53" i="27" l="1"/>
  <c r="B19" i="26"/>
  <c r="B7" i="28"/>
  <c r="B21" i="28" s="1"/>
  <c r="B20" i="26"/>
  <c r="B8" i="28"/>
  <c r="B22" i="28" s="1"/>
  <c r="B18" i="26"/>
  <c r="P53" i="27" l="1"/>
  <c r="Q53" i="27" s="1"/>
  <c r="D14" i="22"/>
  <c r="E14" i="22"/>
  <c r="C14" i="22"/>
  <c r="F14" i="22"/>
  <c r="E11" i="22"/>
  <c r="F11" i="22"/>
  <c r="D11" i="22"/>
  <c r="D26" i="22"/>
  <c r="E26" i="22"/>
  <c r="F26" i="22"/>
  <c r="C26" i="22"/>
  <c r="D23" i="22"/>
  <c r="E23" i="22"/>
  <c r="F23" i="22"/>
  <c r="C23" i="22"/>
  <c r="D25" i="22"/>
  <c r="E25" i="22"/>
  <c r="F25" i="22"/>
  <c r="C25" i="22"/>
  <c r="D22" i="22"/>
  <c r="E22" i="22"/>
  <c r="F22" i="22"/>
  <c r="C22" i="22"/>
  <c r="D21" i="22"/>
  <c r="E21" i="22"/>
  <c r="F21" i="22"/>
  <c r="C21" i="22"/>
  <c r="D20" i="22"/>
  <c r="E20" i="22"/>
  <c r="F20" i="22"/>
  <c r="C20" i="22"/>
  <c r="D19" i="22"/>
  <c r="E19" i="22"/>
  <c r="F19" i="22"/>
  <c r="C19" i="22"/>
  <c r="D15" i="22"/>
  <c r="C15" i="22"/>
  <c r="D12" i="22"/>
  <c r="C12" i="22"/>
  <c r="D7" i="24"/>
  <c r="D10" i="24" s="1"/>
  <c r="D14" i="24" s="1"/>
  <c r="E7" i="24"/>
  <c r="E10" i="24" s="1"/>
  <c r="E14" i="24" s="1"/>
  <c r="F7" i="24"/>
  <c r="F10" i="24" s="1"/>
  <c r="C7" i="24"/>
  <c r="C10" i="24" s="1"/>
  <c r="C14" i="24" s="1"/>
  <c r="D19" i="25"/>
  <c r="D30" i="25" s="1"/>
  <c r="D33" i="25" s="1"/>
  <c r="E19" i="25"/>
  <c r="E30" i="25" s="1"/>
  <c r="E33" i="25" s="1"/>
  <c r="F19" i="25"/>
  <c r="C19" i="25"/>
  <c r="C30" i="25" s="1"/>
  <c r="C33" i="25" s="1"/>
  <c r="F17" i="24" l="1"/>
  <c r="F20" i="24" s="1"/>
  <c r="F14" i="24"/>
  <c r="F30" i="25"/>
  <c r="C17" i="24"/>
  <c r="C20" i="24" s="1"/>
  <c r="E17" i="24"/>
  <c r="E20" i="24" s="1"/>
  <c r="D17" i="24"/>
  <c r="D20" i="24" s="1"/>
  <c r="D9" i="25"/>
  <c r="C9" i="25"/>
  <c r="D15" i="25" l="1"/>
  <c r="D35" i="25" s="1"/>
  <c r="C15" i="25"/>
  <c r="C35" i="25" s="1"/>
  <c r="F33" i="25"/>
  <c r="E16" i="22"/>
  <c r="F16" i="22"/>
  <c r="D16" i="22"/>
  <c r="C16" i="22"/>
  <c r="F15" i="22" l="1"/>
  <c r="B23" i="23"/>
  <c r="B22" i="23"/>
  <c r="B21" i="23"/>
  <c r="B20" i="23"/>
  <c r="E15" i="22"/>
  <c r="F12" i="22"/>
  <c r="E12" i="22"/>
  <c r="J3" i="22"/>
  <c r="K3" i="22" s="1"/>
  <c r="L3" i="22" s="1"/>
  <c r="M3" i="22" s="1"/>
  <c r="N3" i="22" s="1"/>
  <c r="O3" i="22" s="1"/>
  <c r="P3" i="22" s="1"/>
  <c r="Q3" i="22" s="1"/>
  <c r="E3" i="22"/>
  <c r="D3" i="22" s="1"/>
  <c r="C3" i="22" s="1"/>
  <c r="F13" i="22" l="1"/>
  <c r="A1" i="6" l="1"/>
  <c r="E9" i="25" l="1"/>
  <c r="F9" i="25"/>
  <c r="F15" i="25" s="1"/>
  <c r="E15" i="25" l="1"/>
  <c r="E35" i="25" s="1"/>
  <c r="F3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J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Alastair Matchett:</t>
        </r>
        <r>
          <rPr>
            <sz val="9"/>
            <color indexed="81"/>
            <rFont val="Tahoma"/>
            <family val="2"/>
          </rPr>
          <t xml:space="preserve">
Increased the overall funding costs by 1% to reflect additional costs of Unitranche structure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Alastair Matchett:</t>
        </r>
        <r>
          <rPr>
            <sz val="9"/>
            <color indexed="81"/>
            <rFont val="Tahoma"/>
            <family val="2"/>
          </rPr>
          <t xml:space="preserve">
Includes other receivables, prepaid expenses, and prepaid income taxes</t>
        </r>
      </text>
    </comment>
    <comment ref="B2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Alastair Matchett:</t>
        </r>
        <r>
          <rPr>
            <sz val="9"/>
            <color indexed="81"/>
            <rFont val="Tahoma"/>
            <family val="2"/>
          </rPr>
          <t xml:space="preserve">
Includes deferred tax liabilities</t>
        </r>
      </text>
    </comment>
  </commentList>
</comments>
</file>

<file path=xl/sharedStrings.xml><?xml version="1.0" encoding="utf-8"?>
<sst xmlns="http://schemas.openxmlformats.org/spreadsheetml/2006/main" count="398" uniqueCount="223">
  <si>
    <t>Features</t>
  </si>
  <si>
    <t>◦</t>
  </si>
  <si>
    <t>Model Details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</si>
  <si>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</si>
  <si>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</si>
  <si>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</si>
  <si>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</si>
  <si>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</si>
  <si>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</si>
  <si>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</si>
  <si>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</si>
  <si>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</si>
  <si>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</si>
  <si>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</si>
  <si>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</si>
  <si>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</si>
  <si>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Analysis date</t>
  </si>
  <si>
    <t>Goodwill</t>
  </si>
  <si>
    <t>Depreciation</t>
  </si>
  <si>
    <t>Acquirer</t>
  </si>
  <si>
    <t>Target</t>
  </si>
  <si>
    <t>Convert local currencies to</t>
  </si>
  <si>
    <t>Model information</t>
  </si>
  <si>
    <t>Acquirer latest year end</t>
  </si>
  <si>
    <t>LBO model</t>
  </si>
  <si>
    <t>Figures in MMs</t>
  </si>
  <si>
    <t>Hist.</t>
  </si>
  <si>
    <t>Proj.</t>
  </si>
  <si>
    <t>Assumptions</t>
  </si>
  <si>
    <t>Circ switch</t>
  </si>
  <si>
    <t>COGS % sales</t>
  </si>
  <si>
    <t>Depreciation % of last year's net PP&amp;E</t>
  </si>
  <si>
    <t>SG&amp;A % sales</t>
  </si>
  <si>
    <t>Effective tax rate</t>
  </si>
  <si>
    <t>Balance sheet assumptions</t>
  </si>
  <si>
    <t>Inventory days</t>
  </si>
  <si>
    <t>Receivable days</t>
  </si>
  <si>
    <t>Other current assets % of sales</t>
  </si>
  <si>
    <t>Capex % sales</t>
  </si>
  <si>
    <t>Payable days</t>
  </si>
  <si>
    <t>Net PP&amp;E</t>
  </si>
  <si>
    <t>Beginning</t>
  </si>
  <si>
    <t>Capex</t>
  </si>
  <si>
    <t xml:space="preserve"> Ending</t>
  </si>
  <si>
    <t>Equity</t>
  </si>
  <si>
    <t>Net income</t>
  </si>
  <si>
    <t>Operating working capital</t>
  </si>
  <si>
    <t xml:space="preserve"> OWC</t>
  </si>
  <si>
    <t>Beginning cash</t>
  </si>
  <si>
    <t>Net sales</t>
  </si>
  <si>
    <t>Cost of sales</t>
  </si>
  <si>
    <t xml:space="preserve"> Gross profit</t>
  </si>
  <si>
    <t>SG&amp;A</t>
  </si>
  <si>
    <t xml:space="preserve"> EBIT</t>
  </si>
  <si>
    <t>Interest expense</t>
  </si>
  <si>
    <t>Income before tax</t>
  </si>
  <si>
    <t>Provision for income taxes</t>
  </si>
  <si>
    <t>Cash</t>
  </si>
  <si>
    <t>Accounts receivable</t>
  </si>
  <si>
    <t>Inventories</t>
  </si>
  <si>
    <t>Other current assets</t>
  </si>
  <si>
    <t xml:space="preserve"> Total current assets</t>
  </si>
  <si>
    <t>PP&amp;E</t>
  </si>
  <si>
    <t>Intangible assets</t>
  </si>
  <si>
    <t xml:space="preserve"> Total assets</t>
  </si>
  <si>
    <t>Revolver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</si>
  <si>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</si>
  <si>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</si>
  <si>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</si>
  <si>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</si>
  <si>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Balance?</t>
  </si>
  <si>
    <t>(Inc) dec in other LT assets</t>
  </si>
  <si>
    <t>Inc (dec) in other LT liabilities</t>
  </si>
  <si>
    <t>(Inc) dec in OWC</t>
  </si>
  <si>
    <t xml:space="preserve"> Cash flow from operations</t>
  </si>
  <si>
    <t>(Capex)</t>
  </si>
  <si>
    <t xml:space="preserve"> Cash flow from investing activities</t>
  </si>
  <si>
    <t>Inc (dec) in revolver</t>
  </si>
  <si>
    <t xml:space="preserve"> Cash flow from financing activities</t>
  </si>
  <si>
    <t>Net cash flow</t>
  </si>
  <si>
    <t xml:space="preserve"> Ending cash</t>
  </si>
  <si>
    <t>© 2016 Financial Edge Training</t>
  </si>
  <si>
    <t>Debenhams LBO model</t>
  </si>
  <si>
    <t xml:space="preserve"> EBITDA</t>
  </si>
  <si>
    <t>Other LT assets</t>
  </si>
  <si>
    <t>Debt</t>
  </si>
  <si>
    <t>Other LT liabilities</t>
  </si>
  <si>
    <t xml:space="preserve">LT assets amount </t>
  </si>
  <si>
    <t>LT liabilities amount</t>
  </si>
  <si>
    <t>Sales growth rate</t>
  </si>
  <si>
    <t>Income statement assumptions</t>
  </si>
  <si>
    <t>Amortization</t>
  </si>
  <si>
    <t>Amortization amount</t>
  </si>
  <si>
    <t>Inc (dec) in LT debt</t>
  </si>
  <si>
    <t>LBO</t>
  </si>
  <si>
    <t>Key assumptions</t>
  </si>
  <si>
    <t>Historic EBITDA</t>
  </si>
  <si>
    <t>EV/LTM EBITDA</t>
  </si>
  <si>
    <t>Acquisition EV</t>
  </si>
  <si>
    <t>Fees % EV</t>
  </si>
  <si>
    <t>LIBOR</t>
  </si>
  <si>
    <t>8 year GILT</t>
  </si>
  <si>
    <t>Exit year</t>
  </si>
  <si>
    <t>Sources and uses</t>
  </si>
  <si>
    <t>Net debt</t>
  </si>
  <si>
    <t>Acquisition equity value</t>
  </si>
  <si>
    <t>Refinanced net debt</t>
  </si>
  <si>
    <t>Fees</t>
  </si>
  <si>
    <t xml:space="preserve"> Total uses</t>
  </si>
  <si>
    <t>First Lien</t>
  </si>
  <si>
    <t>Second Lien</t>
  </si>
  <si>
    <t>Mezannine</t>
  </si>
  <si>
    <t>Prefs</t>
  </si>
  <si>
    <t>Common equity</t>
  </si>
  <si>
    <t xml:space="preserve"> Total sources</t>
  </si>
  <si>
    <t>Spread</t>
  </si>
  <si>
    <t>Rate</t>
  </si>
  <si>
    <t>Ownership</t>
  </si>
  <si>
    <t>At exit</t>
  </si>
  <si>
    <t>Institutions</t>
  </si>
  <si>
    <t>Mezzanine</t>
  </si>
  <si>
    <t>At entry</t>
  </si>
  <si>
    <t xml:space="preserve"> Total</t>
  </si>
  <si>
    <t>Equity purchase price</t>
  </si>
  <si>
    <t>Net identifable assets</t>
  </si>
  <si>
    <t xml:space="preserve"> Goodwill</t>
  </si>
  <si>
    <t>Accounting</t>
  </si>
  <si>
    <t>Financing</t>
  </si>
  <si>
    <t>Combo</t>
  </si>
  <si>
    <t>Beginning cash balance</t>
  </si>
  <si>
    <t>Cash flow from operations</t>
  </si>
  <si>
    <t>Cash flow from investing</t>
  </si>
  <si>
    <t>Mandatory repayment</t>
  </si>
  <si>
    <t xml:space="preserve"> Cash flow for debt repayment</t>
  </si>
  <si>
    <t>Mandatory repayments</t>
  </si>
  <si>
    <t>Beginning balance</t>
  </si>
  <si>
    <t>Accelerated repayment</t>
  </si>
  <si>
    <t xml:space="preserve"> Ending balance</t>
  </si>
  <si>
    <t xml:space="preserve"> Cash flow for second lien acceleration</t>
  </si>
  <si>
    <t>Repayment</t>
  </si>
  <si>
    <t xml:space="preserve">Beginning </t>
  </si>
  <si>
    <t>Accrued interest</t>
  </si>
  <si>
    <t>Cash flow</t>
  </si>
  <si>
    <t>Preference shares</t>
  </si>
  <si>
    <t>Accrued dividends</t>
  </si>
  <si>
    <t xml:space="preserve"> Cash flow for revolver</t>
  </si>
  <si>
    <t>Issuance (repayment)</t>
  </si>
  <si>
    <t>Cash flow for first lien acceleration</t>
  </si>
  <si>
    <t>Total interest expense</t>
  </si>
  <si>
    <t>Total cash interest</t>
  </si>
  <si>
    <t>Preference dividends</t>
  </si>
  <si>
    <t>Income statement</t>
  </si>
  <si>
    <t>Balance sheet</t>
  </si>
  <si>
    <t>Cash flow statement</t>
  </si>
  <si>
    <t>Management</t>
  </si>
  <si>
    <t>Mandatory repayment assumptions</t>
  </si>
  <si>
    <t>Cash interest</t>
  </si>
  <si>
    <t>Tax expense</t>
  </si>
  <si>
    <t>Credit ratios</t>
  </si>
  <si>
    <t>EBITDA</t>
  </si>
  <si>
    <t>EBITDA - capex</t>
  </si>
  <si>
    <t>Total debt</t>
  </si>
  <si>
    <t>Total debt / EBITDA</t>
  </si>
  <si>
    <t>Total debt / EBITDA - capex</t>
  </si>
  <si>
    <t>EBITDA / cash interest</t>
  </si>
  <si>
    <t>% of total debt repaid</t>
  </si>
  <si>
    <t>EBITDA - capex / cash interest</t>
  </si>
  <si>
    <t>Equity returns</t>
  </si>
  <si>
    <t>Year count</t>
  </si>
  <si>
    <t>Avg. life</t>
  </si>
  <si>
    <t>Repaid by year</t>
  </si>
  <si>
    <t>Debt/EBITDA</t>
  </si>
  <si>
    <t>% total</t>
  </si>
  <si>
    <t>Bank case</t>
  </si>
  <si>
    <t>Management case</t>
  </si>
  <si>
    <t>% cash sweep</t>
  </si>
  <si>
    <t>Enterprise value</t>
  </si>
  <si>
    <t>+ Cash</t>
  </si>
  <si>
    <t>- Preference shares</t>
  </si>
  <si>
    <t xml:space="preserve"> = Equity value</t>
  </si>
  <si>
    <t>- Total debt excluding mezzanine</t>
  </si>
  <si>
    <t>- Mezzanine</t>
  </si>
  <si>
    <t>Equity value</t>
  </si>
  <si>
    <t>Equity value of warrants</t>
  </si>
  <si>
    <t>Value of mezzanine loan</t>
  </si>
  <si>
    <t>Mezzanine cash flows</t>
  </si>
  <si>
    <t>IRR</t>
  </si>
  <si>
    <t>PE institutions</t>
  </si>
  <si>
    <t>Preference share value</t>
  </si>
  <si>
    <t>PE institution cash flows</t>
  </si>
  <si>
    <t>Management cash flows</t>
  </si>
  <si>
    <t>Unitranche</t>
  </si>
  <si>
    <t>Capital structure sensitivity</t>
  </si>
  <si>
    <t>Standard</t>
  </si>
  <si>
    <t>Structure</t>
  </si>
  <si>
    <t>PP&amp;E valuation uplift %</t>
  </si>
  <si>
    <t>Loan to value for leaseback</t>
  </si>
  <si>
    <t>Tax rate</t>
  </si>
  <si>
    <t>Bridge loan</t>
  </si>
  <si>
    <t>Lease</t>
  </si>
  <si>
    <t>Lease liability</t>
  </si>
  <si>
    <t>Bridge redeemed on</t>
  </si>
  <si>
    <t>Lease term (years)</t>
  </si>
  <si>
    <t>Interest rate on lease</t>
  </si>
  <si>
    <t>Financial structure choice</t>
  </si>
  <si>
    <t>Interest rate</t>
  </si>
  <si>
    <t>Issuance</t>
  </si>
  <si>
    <t>Interest</t>
  </si>
  <si>
    <t>Payment</t>
  </si>
  <si>
    <t>must be on a year end</t>
  </si>
  <si>
    <t>Cash sweep switch</t>
  </si>
  <si>
    <t xml:space="preserve"> 1 = on, 0 = off</t>
  </si>
  <si>
    <t>Cash flow for unitranche acceleration</t>
  </si>
  <si>
    <t>Issuance (redemption) of bridge loan</t>
  </si>
  <si>
    <t>Issuance (redemption) of lease liability</t>
  </si>
  <si>
    <t>Common dividends</t>
  </si>
  <si>
    <t>(Common dividends)</t>
  </si>
  <si>
    <t>Management finance rate</t>
  </si>
  <si>
    <t>Management reinvestment rate</t>
  </si>
  <si>
    <t>Multiple capital structures</t>
  </si>
  <si>
    <t>Debenhams</t>
  </si>
  <si>
    <t>Sale leaseback</t>
  </si>
  <si>
    <t>Returns to stakeholders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</si>
</sst>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0.0"/>
    <numFmt numFmtId="168" formatCode="#,##0.0_);\(#,##0.0\)\,0.0_);@_)"/>
    <numFmt numFmtId="169" formatCode="#,##0.0\ \x_);\(#,##0.0\ \x\);"/>
    <numFmt numFmtId="170" formatCode="0.0%_);\(0.0%\)"/>
    <numFmt numFmtId="171" formatCode=";;;"/>
    <numFmt numFmtId="172" formatCode="#,##0.0_);\(#,##0.0\);0.0_);@_)"/>
    <numFmt numFmtId="173" formatCode="#,##0.0_);\(#,##0.0\)"/>
    <numFmt numFmtId="174" formatCode="_ \ * #,##0.0_)_%;_ \ * \(#,##0.0\)_%;;_ \ * @_)_%"/>
    <numFmt numFmtId="175" formatCode="#,##0.0_)_%;\(#,##0.0\)_%;#,##0.0_)_%;@_)_%"/>
    <numFmt numFmtId="176" formatCode="0.00%_);\(0.00%\)"/>
    <numFmt numFmtId="177" formatCode="#,##0.0\ \x_);\(#,##0.0\ \x\)"/>
  </numFmts>
  <fonts count="50" x14ac:knownFonts="1"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808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6"/>
      <color rgb="FF0F2FB5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66CC"/>
      <name val="Arial"/>
      <family val="2"/>
    </font>
    <font>
      <u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2">
    <xf numFmtId="172" fontId="0" fillId="0" borderId="0" applyFill="0" applyBorder="0" applyAlignment="0" applyProtection="0"/>
    <xf numFmtId="0" fontId="8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5" applyNumberFormat="0" applyAlignment="0" applyProtection="0"/>
    <xf numFmtId="0" fontId="20" fillId="10" borderId="6" applyNumberFormat="0" applyAlignment="0" applyProtection="0"/>
    <xf numFmtId="0" fontId="21" fillId="10" borderId="5" applyNumberFormat="0" applyAlignment="0" applyProtection="0"/>
    <xf numFmtId="0" fontId="22" fillId="0" borderId="7" applyNumberFormat="0" applyFill="0" applyAlignment="0" applyProtection="0"/>
    <xf numFmtId="0" fontId="23" fillId="11" borderId="8" applyNumberFormat="0" applyAlignment="0" applyProtection="0"/>
    <xf numFmtId="0" fontId="24" fillId="0" borderId="0" applyNumberFormat="0" applyFill="0" applyBorder="0" applyAlignment="0" applyProtection="0"/>
    <xf numFmtId="0" fontId="11" fillId="12" borderId="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7" fillId="36" borderId="0" applyNumberFormat="0" applyBorder="0" applyAlignment="0" applyProtection="0"/>
    <xf numFmtId="0" fontId="34" fillId="2" borderId="0" applyNumberFormat="0">
      <alignment horizontal="left"/>
    </xf>
    <xf numFmtId="0" fontId="10" fillId="3" borderId="0" applyNumberFormat="0" applyAlignment="0">
      <alignment horizontal="left"/>
    </xf>
    <xf numFmtId="0" fontId="6" fillId="0" borderId="0" applyNumberFormat="0" applyFill="0" applyBorder="0">
      <alignment horizontal="left" vertical="center"/>
    </xf>
    <xf numFmtId="0" fontId="4" fillId="5" borderId="0" applyNumberFormat="0" applyFont="0" applyAlignment="0" applyProtection="0">
      <alignment vertical="top"/>
    </xf>
    <xf numFmtId="166" fontId="30" fillId="3" borderId="0">
      <alignment horizontal="center"/>
    </xf>
    <xf numFmtId="168" fontId="29" fillId="2" borderId="0">
      <alignment horizontal="center"/>
    </xf>
    <xf numFmtId="168" fontId="5" fillId="0" borderId="0">
      <alignment vertical="top"/>
    </xf>
    <xf numFmtId="166" fontId="3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31" fillId="2" borderId="0" applyFont="0" applyFill="0" applyBorder="0" applyAlignment="0" applyProtection="0"/>
    <xf numFmtId="168" fontId="32" fillId="2" borderId="0" applyNumberFormat="0" applyFill="0" applyBorder="0" applyAlignment="0" applyProtection="0"/>
    <xf numFmtId="168" fontId="33" fillId="0" borderId="0" applyNumberFormat="0" applyFill="0" applyBorder="0" applyAlignment="0">
      <alignment vertical="top"/>
    </xf>
    <xf numFmtId="171" fontId="31" fillId="2" borderId="0" applyFont="0" applyFill="0" applyBorder="0" applyAlignment="0" applyProtection="0"/>
    <xf numFmtId="169" fontId="32" fillId="37" borderId="11" applyNumberFormat="0">
      <protection locked="0"/>
    </xf>
    <xf numFmtId="0" fontId="4" fillId="5" borderId="12" applyFont="0" applyAlignment="0" applyProtection="0">
      <alignment vertical="top"/>
    </xf>
    <xf numFmtId="168" fontId="34" fillId="3" borderId="0" applyNumberFormat="0" applyBorder="0">
      <alignment horizontal="center" vertical="top"/>
    </xf>
    <xf numFmtId="168" fontId="5" fillId="38" borderId="0" applyNumberFormat="0" applyFont="0" applyBorder="0" applyAlignment="0" applyProtection="0">
      <alignment vertical="top"/>
    </xf>
    <xf numFmtId="173" fontId="32" fillId="0" borderId="0" applyNumberFormat="0" applyFill="0" applyBorder="0" applyAlignment="0" applyProtection="0"/>
    <xf numFmtId="15" fontId="37" fillId="0" borderId="0" applyFill="0" applyBorder="0" applyAlignment="0" applyProtection="0"/>
    <xf numFmtId="174" fontId="38" fillId="39" borderId="0" applyFill="0" applyBorder="0" applyAlignment="0" applyProtection="0">
      <alignment horizontal="center"/>
    </xf>
    <xf numFmtId="0" fontId="39" fillId="39" borderId="13" applyNumberFormat="0" applyBorder="0" applyAlignment="0" applyProtection="0">
      <alignment horizontal="center"/>
    </xf>
    <xf numFmtId="0" fontId="4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5" fontId="41" fillId="0" borderId="0" applyFont="0" applyFill="0" applyBorder="0" applyAlignment="0" applyProtection="0">
      <alignment horizontal="right"/>
    </xf>
    <xf numFmtId="170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5" fontId="43" fillId="0" borderId="14" applyNumberFormat="0" applyFill="0" applyAlignment="0">
      <alignment horizontal="right"/>
    </xf>
    <xf numFmtId="173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73" fontId="4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2" fontId="46" fillId="0" borderId="0"/>
    <xf numFmtId="0" fontId="47" fillId="0" borderId="0" applyFill="0" applyBorder="0" applyAlignment="0" applyProtection="0"/>
    <xf numFmtId="0" fontId="48" fillId="4" borderId="0" applyNumberFormat="0" applyFill="0" applyBorder="0" applyAlignment="0" applyProtection="0">
      <alignment horizontal="right"/>
    </xf>
  </cellStyleXfs>
  <cellXfs count="100">
    <xf numFmtId="172" fontId="0" fillId="0" borderId="0" xfId="0"/>
    <xf numFmtId="172" fontId="4" fillId="5" borderId="0" xfId="0" applyFont="1" applyFill="1" applyBorder="1"/>
    <xf numFmtId="172" fontId="4" fillId="4" borderId="0" xfId="0" applyFont="1" applyFill="1" applyBorder="1"/>
    <xf numFmtId="172" fontId="4" fillId="5" borderId="0" xfId="0" applyFont="1" applyFill="1" applyBorder="1" applyAlignment="1">
      <alignment vertical="top" wrapText="1"/>
    </xf>
    <xf numFmtId="172" fontId="4" fillId="5" borderId="1" xfId="0" applyFont="1" applyFill="1" applyBorder="1" applyAlignment="1">
      <alignment vertical="top"/>
    </xf>
    <xf numFmtId="168" fontId="34" fillId="2" borderId="0" xfId="48" applyNumberFormat="1">
      <alignment horizontal="left"/>
    </xf>
    <xf numFmtId="172" fontId="27" fillId="2" borderId="0" xfId="0" applyFont="1" applyFill="1" applyBorder="1" applyAlignment="1"/>
    <xf numFmtId="172" fontId="28" fillId="3" borderId="0" xfId="0" applyFont="1" applyFill="1" applyBorder="1" applyAlignment="1"/>
    <xf numFmtId="172" fontId="5" fillId="5" borderId="0" xfId="0" applyFont="1" applyFill="1" applyBorder="1" applyAlignment="1">
      <alignment horizontal="center" vertical="top"/>
    </xf>
    <xf numFmtId="172" fontId="5" fillId="5" borderId="0" xfId="0" applyFont="1" applyFill="1" applyBorder="1" applyAlignment="1">
      <alignment vertical="top"/>
    </xf>
    <xf numFmtId="172" fontId="27" fillId="2" borderId="0" xfId="0" applyFont="1" applyFill="1" applyBorder="1" applyAlignment="1">
      <alignment vertical="center"/>
    </xf>
    <xf numFmtId="166" fontId="30" fillId="3" borderId="0" xfId="52">
      <alignment horizontal="center"/>
    </xf>
    <xf numFmtId="168" fontId="29" fillId="2" borderId="0" xfId="53">
      <alignment horizontal="center"/>
    </xf>
    <xf numFmtId="168" fontId="34" fillId="2" borderId="0" xfId="48" applyNumberFormat="1" applyAlignment="1"/>
    <xf numFmtId="168" fontId="10" fillId="3" borderId="0" xfId="49" applyNumberFormat="1" applyAlignment="1"/>
    <xf numFmtId="172" fontId="4" fillId="5" borderId="0" xfId="0" applyFont="1" applyFill="1" applyBorder="1" applyAlignment="1">
      <alignment horizontal="left" vertical="top"/>
    </xf>
    <xf numFmtId="172" fontId="4" fillId="5" borderId="0" xfId="0" applyFont="1" applyFill="1" applyBorder="1" applyAlignment="1">
      <alignment vertical="top"/>
    </xf>
    <xf numFmtId="172" fontId="4" fillId="0" borderId="0" xfId="0" applyFont="1" applyFill="1" applyBorder="1" applyAlignment="1">
      <alignment vertical="top" wrapText="1"/>
    </xf>
    <xf numFmtId="172" fontId="5" fillId="0" borderId="0" xfId="0" applyFont="1" applyFill="1" applyBorder="1" applyAlignment="1">
      <alignment vertical="top"/>
    </xf>
    <xf numFmtId="172" fontId="4" fillId="0" borderId="0" xfId="0" applyFont="1" applyFill="1" applyBorder="1" applyAlignment="1">
      <alignment horizontal="left" wrapText="1"/>
    </xf>
    <xf numFmtId="172" fontId="4" fillId="0" borderId="0" xfId="0" applyFont="1" applyFill="1" applyBorder="1" applyAlignment="1">
      <alignment vertical="top"/>
    </xf>
    <xf numFmtId="172" fontId="4" fillId="0" borderId="0" xfId="0" applyFont="1" applyFill="1" applyBorder="1"/>
    <xf numFmtId="172" fontId="6" fillId="0" borderId="0" xfId="0" applyFont="1" applyFill="1" applyBorder="1" applyAlignment="1">
      <alignment vertical="center"/>
    </xf>
    <xf numFmtId="172" fontId="7" fillId="0" borderId="0" xfId="0" applyFont="1" applyFill="1" applyBorder="1" applyAlignment="1">
      <alignment vertical="center" wrapText="1"/>
    </xf>
    <xf numFmtId="172" fontId="4" fillId="0" borderId="0" xfId="0" applyFont="1" applyFill="1" applyBorder="1" applyAlignment="1">
      <alignment horizontal="left" vertical="top"/>
    </xf>
    <xf numFmtId="172" fontId="5" fillId="0" borderId="0" xfId="0" applyFont="1" applyFill="1" applyBorder="1" applyAlignment="1">
      <alignment horizontal="center" vertical="top"/>
    </xf>
    <xf numFmtId="172" fontId="9" fillId="0" borderId="0" xfId="0" applyFont="1" applyFill="1" applyBorder="1" applyAlignment="1">
      <alignment vertical="center" wrapText="1"/>
    </xf>
    <xf numFmtId="166" fontId="4" fillId="0" borderId="0" xfId="0" applyNumberFormat="1" applyFont="1" applyFill="1" applyBorder="1" applyAlignment="1">
      <alignment horizontal="left"/>
    </xf>
    <xf numFmtId="172" fontId="4" fillId="0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/>
    </xf>
    <xf numFmtId="172" fontId="0" fillId="0" borderId="0" xfId="0" applyFill="1"/>
    <xf numFmtId="172" fontId="5" fillId="0" borderId="0" xfId="0" applyFont="1" applyFill="1" applyBorder="1" applyAlignment="1">
      <alignment horizontal="left" vertical="top"/>
    </xf>
    <xf numFmtId="172" fontId="5" fillId="0" borderId="0" xfId="0" applyFont="1" applyFill="1" applyBorder="1"/>
    <xf numFmtId="172" fontId="0" fillId="0" borderId="0" xfId="0" applyFill="1" applyBorder="1"/>
    <xf numFmtId="172" fontId="27" fillId="0" borderId="0" xfId="0" applyFont="1" applyFill="1" applyBorder="1" applyAlignment="1"/>
    <xf numFmtId="172" fontId="28" fillId="0" borderId="0" xfId="0" applyFont="1" applyFill="1" applyBorder="1" applyAlignment="1"/>
    <xf numFmtId="168" fontId="32" fillId="0" borderId="0" xfId="58" applyFill="1" applyBorder="1" applyAlignment="1">
      <alignment vertical="top"/>
    </xf>
    <xf numFmtId="168" fontId="4" fillId="5" borderId="0" xfId="51" applyNumberFormat="1" applyFont="1" applyBorder="1" applyAlignment="1">
      <alignment horizontal="left" vertical="top"/>
    </xf>
    <xf numFmtId="168" fontId="5" fillId="5" borderId="0" xfId="51" applyNumberFormat="1" applyFont="1" applyBorder="1" applyAlignment="1">
      <alignment horizontal="center" vertical="top"/>
    </xf>
    <xf numFmtId="168" fontId="4" fillId="5" borderId="0" xfId="51" applyNumberFormat="1" applyFont="1" applyBorder="1" applyAlignment="1"/>
    <xf numFmtId="168" fontId="7" fillId="5" borderId="0" xfId="51" applyNumberFormat="1" applyFont="1" applyBorder="1" applyAlignment="1">
      <alignment vertical="center" wrapText="1"/>
    </xf>
    <xf numFmtId="168" fontId="4" fillId="5" borderId="0" xfId="51" applyNumberFormat="1" applyFont="1" applyAlignment="1">
      <alignment vertical="top"/>
    </xf>
    <xf numFmtId="168" fontId="5" fillId="5" borderId="0" xfId="51" applyNumberFormat="1" applyFont="1" applyAlignment="1">
      <alignment horizontal="center" vertical="top"/>
    </xf>
    <xf numFmtId="168" fontId="4" fillId="5" borderId="0" xfId="51" applyNumberFormat="1" applyFont="1" applyAlignment="1"/>
    <xf numFmtId="168" fontId="7" fillId="5" borderId="0" xfId="51" applyNumberFormat="1" applyFont="1" applyAlignment="1">
      <alignment vertical="center" wrapText="1"/>
    </xf>
    <xf numFmtId="0" fontId="4" fillId="5" borderId="12" xfId="62" applyFont="1" applyAlignment="1">
      <alignment vertical="top"/>
    </xf>
    <xf numFmtId="0" fontId="5" fillId="5" borderId="12" xfId="62" applyFont="1" applyAlignment="1">
      <alignment horizontal="center" vertical="top"/>
    </xf>
    <xf numFmtId="0" fontId="4" fillId="5" borderId="12" xfId="62" applyFont="1" applyAlignment="1"/>
    <xf numFmtId="0" fontId="7" fillId="5" borderId="12" xfId="62" applyFont="1" applyAlignment="1">
      <alignment vertical="center" wrapText="1"/>
    </xf>
    <xf numFmtId="168" fontId="9" fillId="5" borderId="0" xfId="51" applyNumberFormat="1" applyFont="1" applyAlignment="1">
      <alignment vertical="center" wrapText="1"/>
    </xf>
    <xf numFmtId="0" fontId="5" fillId="5" borderId="12" xfId="62" applyFont="1" applyAlignment="1"/>
    <xf numFmtId="0" fontId="4" fillId="5" borderId="12" xfId="62" applyFont="1" applyAlignment="1">
      <alignment horizontal="left"/>
    </xf>
    <xf numFmtId="0" fontId="9" fillId="5" borderId="12" xfId="62" applyFont="1" applyAlignment="1">
      <alignment horizontal="center" vertical="center" wrapText="1"/>
    </xf>
    <xf numFmtId="0" fontId="9" fillId="5" borderId="12" xfId="62" applyFont="1" applyAlignment="1">
      <alignment vertical="center" wrapText="1"/>
    </xf>
    <xf numFmtId="168" fontId="32" fillId="37" borderId="11" xfId="61" applyNumberFormat="1">
      <protection locked="0"/>
    </xf>
    <xf numFmtId="168" fontId="4" fillId="0" borderId="0" xfId="51" applyNumberFormat="1" applyFont="1" applyFill="1" applyAlignment="1"/>
    <xf numFmtId="0" fontId="4" fillId="0" borderId="0" xfId="62" applyFont="1" applyFill="1" applyBorder="1" applyAlignment="1"/>
    <xf numFmtId="172" fontId="0" fillId="5" borderId="0" xfId="51" applyNumberFormat="1" applyFont="1" applyAlignment="1"/>
    <xf numFmtId="172" fontId="4" fillId="5" borderId="0" xfId="51" applyNumberFormat="1" applyFont="1" applyAlignment="1">
      <alignment vertical="top"/>
    </xf>
    <xf numFmtId="0" fontId="0" fillId="5" borderId="12" xfId="62" applyFont="1" applyAlignment="1"/>
    <xf numFmtId="172" fontId="6" fillId="5" borderId="0" xfId="51" applyNumberFormat="1" applyFont="1" applyAlignment="1">
      <alignment vertical="center"/>
    </xf>
    <xf numFmtId="0" fontId="5" fillId="5" borderId="12" xfId="62" applyFont="1" applyAlignment="1">
      <alignment horizontal="left" vertical="top"/>
    </xf>
    <xf numFmtId="170" fontId="0" fillId="0" borderId="0" xfId="57" applyFont="1" applyFill="1"/>
    <xf numFmtId="172" fontId="32" fillId="0" borderId="0" xfId="65" applyNumberFormat="1"/>
    <xf numFmtId="172" fontId="45" fillId="0" borderId="0" xfId="0" applyFont="1"/>
    <xf numFmtId="170" fontId="32" fillId="0" borderId="0" xfId="57" applyFont="1" applyFill="1"/>
    <xf numFmtId="170" fontId="32" fillId="0" borderId="0" xfId="65" applyNumberFormat="1" applyFill="1"/>
    <xf numFmtId="170" fontId="0" fillId="0" borderId="0" xfId="72" applyFont="1"/>
    <xf numFmtId="172" fontId="0" fillId="0" borderId="0" xfId="0" applyAlignment="1">
      <alignment horizontal="right"/>
    </xf>
    <xf numFmtId="169" fontId="0" fillId="0" borderId="0" xfId="56" applyFont="1"/>
    <xf numFmtId="169" fontId="32" fillId="37" borderId="11" xfId="61">
      <protection locked="0"/>
    </xf>
    <xf numFmtId="172" fontId="32" fillId="37" borderId="11" xfId="61" applyNumberFormat="1">
      <protection locked="0"/>
    </xf>
    <xf numFmtId="170" fontId="32" fillId="37" borderId="11" xfId="72" applyFont="1" applyFill="1" applyBorder="1" applyProtection="1">
      <protection locked="0"/>
    </xf>
    <xf numFmtId="176" fontId="32" fillId="37" borderId="11" xfId="72" applyNumberFormat="1" applyFont="1" applyFill="1" applyBorder="1" applyProtection="1">
      <protection locked="0"/>
    </xf>
    <xf numFmtId="176" fontId="0" fillId="0" borderId="0" xfId="72" applyNumberFormat="1" applyFont="1"/>
    <xf numFmtId="170" fontId="32" fillId="37" borderId="11" xfId="57" applyFont="1" applyFill="1" applyBorder="1" applyProtection="1">
      <protection locked="0"/>
    </xf>
    <xf numFmtId="0" fontId="32" fillId="0" borderId="0" xfId="65" applyNumberFormat="1"/>
    <xf numFmtId="0" fontId="0" fillId="0" borderId="0" xfId="0" applyNumberFormat="1"/>
    <xf numFmtId="172" fontId="0" fillId="0" borderId="0" xfId="0" quotePrefix="1"/>
    <xf numFmtId="172" fontId="49" fillId="0" borderId="0" xfId="0" applyFont="1"/>
    <xf numFmtId="172" fontId="32" fillId="0" borderId="0" xfId="58" applyNumberFormat="1" applyFill="1"/>
    <xf numFmtId="172" fontId="0" fillId="0" borderId="0" xfId="0" applyAlignment="1">
      <alignment horizontal="centerContinuous"/>
    </xf>
    <xf numFmtId="172" fontId="49" fillId="0" borderId="0" xfId="0" applyFont="1" applyAlignment="1">
      <alignment horizontal="centerContinuous"/>
    </xf>
    <xf numFmtId="15" fontId="32" fillId="37" borderId="11" xfId="61" applyNumberFormat="1">
      <protection locked="0"/>
    </xf>
    <xf numFmtId="0" fontId="32" fillId="37" borderId="11" xfId="61" applyNumberFormat="1">
      <protection locked="0"/>
    </xf>
    <xf numFmtId="176" fontId="0" fillId="0" borderId="0" xfId="72" applyNumberFormat="1" applyFont="1" applyAlignment="1">
      <alignment horizontal="right"/>
    </xf>
    <xf numFmtId="177" fontId="0" fillId="0" borderId="0" xfId="56" applyNumberFormat="1" applyFont="1"/>
    <xf numFmtId="168" fontId="4" fillId="5" borderId="0" xfId="51" applyNumberFormat="1" applyFont="1" applyAlignment="1">
      <alignment horizontal="left"/>
    </xf>
    <xf numFmtId="168" fontId="34" fillId="2" borderId="0" xfId="48" applyNumberFormat="1" applyFill="1" applyAlignment="1">
      <alignment horizontal="center"/>
    </xf>
    <xf numFmtId="172" fontId="7" fillId="0" borderId="0" xfId="0" applyFont="1" applyFill="1" applyBorder="1" applyAlignment="1">
      <alignment horizontal="center" vertical="center" wrapText="1"/>
    </xf>
    <xf numFmtId="168" fontId="4" fillId="5" borderId="0" xfId="51" applyNumberFormat="1" applyFont="1" applyBorder="1" applyAlignment="1">
      <alignment horizontal="left" vertical="top"/>
    </xf>
    <xf numFmtId="168" fontId="34" fillId="3" borderId="0" xfId="49" applyNumberFormat="1" applyFont="1" applyAlignment="1">
      <alignment horizontal="center" vertical="center"/>
    </xf>
    <xf numFmtId="168" fontId="33" fillId="5" borderId="0" xfId="59" applyNumberFormat="1" applyFill="1" applyBorder="1" applyAlignment="1">
      <alignment horizontal="center" vertical="center" wrapText="1"/>
    </xf>
    <xf numFmtId="172" fontId="9" fillId="0" borderId="0" xfId="0" applyFont="1" applyFill="1" applyBorder="1" applyAlignment="1">
      <alignment horizontal="center" vertical="center" wrapText="1"/>
    </xf>
    <xf numFmtId="172" fontId="0" fillId="5" borderId="0" xfId="51" applyNumberFormat="1" applyFont="1" applyAlignment="1">
      <alignment horizontal="left"/>
    </xf>
    <xf numFmtId="168" fontId="4" fillId="5" borderId="0" xfId="51" applyNumberFormat="1" applyFont="1" applyAlignment="1">
      <alignment horizontal="left"/>
    </xf>
    <xf numFmtId="166" fontId="4" fillId="5" borderId="0" xfId="51" applyNumberFormat="1" applyFont="1" applyAlignment="1">
      <alignment horizontal="left"/>
    </xf>
    <xf numFmtId="0" fontId="4" fillId="5" borderId="0" xfId="51" applyNumberFormat="1" applyFont="1" applyAlignment="1">
      <alignment horizontal="left"/>
    </xf>
    <xf numFmtId="172" fontId="6" fillId="5" borderId="0" xfId="0" applyFont="1" applyFill="1" applyBorder="1" applyAlignment="1">
      <alignment horizontal="left" vertical="center"/>
    </xf>
    <xf numFmtId="172" fontId="6" fillId="5" borderId="0" xfId="50" applyNumberFormat="1" applyFill="1" applyAlignment="1">
      <alignment horizontal="left" vertical="center"/>
    </xf>
  </cellXfs>
  <cellStyles count="8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5" xr:uid="{00000000-0005-0000-0000-000018000000}"/>
    <cellStyle name="b 2" xfId="77" xr:uid="{00000000-0005-0000-0000-000019000000}"/>
    <cellStyle name="Background Fill" xfId="51" xr:uid="{00000000-0005-0000-0000-00001A000000}"/>
    <cellStyle name="Bad" xfId="13" builtinId="27" hidden="1"/>
    <cellStyle name="BG Border" xfId="62" xr:uid="{00000000-0005-0000-0000-00001C000000}"/>
    <cellStyle name="Blank" xfId="60" xr:uid="{00000000-0005-0000-0000-00001D000000}"/>
    <cellStyle name="Calculation" xfId="17" builtinId="22" hidden="1"/>
    <cellStyle name="CapIQ_date" xfId="66" xr:uid="{00000000-0005-0000-0000-00001F000000}"/>
    <cellStyle name="Check Cell" xfId="19" builtinId="23" hidden="1"/>
    <cellStyle name="Column_header" xfId="67" xr:uid="{00000000-0005-0000-0000-000021000000}"/>
    <cellStyle name="Comma" xfId="2" builtinId="3" hidden="1"/>
    <cellStyle name="Comma [0]" xfId="3" builtinId="6" hidden="1"/>
    <cellStyle name="Cover Title" xfId="63" xr:uid="{00000000-0005-0000-0000-000024000000}"/>
    <cellStyle name="Currency" xfId="4" builtinId="4" hidden="1"/>
    <cellStyle name="Currency [0]" xfId="5" builtinId="7" hidden="1"/>
    <cellStyle name="d" xfId="76" xr:uid="{00000000-0005-0000-0000-000027000000}"/>
    <cellStyle name="DataOutput" xfId="81" xr:uid="{00000000-0005-0000-0000-000028000000}"/>
    <cellStyle name="Date" xfId="55" xr:uid="{00000000-0005-0000-0000-000029000000}"/>
    <cellStyle name="Date Heading" xfId="52" xr:uid="{00000000-0005-0000-0000-00002A000000}"/>
    <cellStyle name="Explanatory Text" xfId="22" builtinId="53" hidden="1"/>
    <cellStyle name="Good" xfId="12" builtinId="26" hidden="1"/>
    <cellStyle name="Hard Coded Number" xfId="58" xr:uid="{00000000-0005-0000-0000-00002D000000}"/>
    <cellStyle name="Heading" xfId="68" xr:uid="{00000000-0005-0000-0000-00002E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33000000}"/>
    <cellStyle name="Hist Proj Title" xfId="53" xr:uid="{00000000-0005-0000-0000-000034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ain_heading" xfId="69" xr:uid="{00000000-0005-0000-0000-000039000000}"/>
    <cellStyle name="Multiple" xfId="56" xr:uid="{00000000-0005-0000-0000-00003A000000}"/>
    <cellStyle name="Multiple 2" xfId="70" xr:uid="{00000000-0005-0000-0000-00003B000000}"/>
    <cellStyle name="Neutral" xfId="14" builtinId="28" hidden="1"/>
    <cellStyle name="Normal" xfId="0" builtinId="0" customBuiltin="1"/>
    <cellStyle name="Normal 2" xfId="75" xr:uid="{00000000-0005-0000-0000-00003E000000}"/>
    <cellStyle name="Normal 3" xfId="79" xr:uid="{00000000-0005-0000-0000-00003F000000}"/>
    <cellStyle name="Normal 4" xfId="80" xr:uid="{00000000-0005-0000-0000-000040000000}"/>
    <cellStyle name="Note" xfId="21" builtinId="10" hidden="1"/>
    <cellStyle name="Notes and Comments" xfId="59" xr:uid="{00000000-0005-0000-0000-000042000000}"/>
    <cellStyle name="Number_1dp" xfId="71" xr:uid="{00000000-0005-0000-0000-000043000000}"/>
    <cellStyle name="Output" xfId="16" builtinId="21" hidden="1"/>
    <cellStyle name="P" xfId="72" xr:uid="{00000000-0005-0000-0000-000045000000}"/>
    <cellStyle name="p 2" xfId="78" xr:uid="{00000000-0005-0000-0000-000046000000}"/>
    <cellStyle name="Percent" xfId="6" builtinId="5" hidden="1"/>
    <cellStyle name="Percent" xfId="57" builtinId="5" customBuiltin="1"/>
    <cellStyle name="Primary Title" xfId="48" xr:uid="{00000000-0005-0000-0000-000049000000}"/>
    <cellStyle name="Row Label" xfId="54" xr:uid="{00000000-0005-0000-0000-00004A000000}"/>
    <cellStyle name="Secondary Title" xfId="49" xr:uid="{00000000-0005-0000-0000-00004B000000}"/>
    <cellStyle name="Section_heading" xfId="73" xr:uid="{00000000-0005-0000-0000-00004C000000}"/>
    <cellStyle name="Switch" xfId="74" xr:uid="{00000000-0005-0000-0000-00004D000000}"/>
    <cellStyle name="Tertiary Title" xfId="50" xr:uid="{00000000-0005-0000-0000-00004E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E2F1FE"/>
      <color rgb="FFF0F8FE"/>
      <color rgb="FF163260"/>
      <color rgb="FF085393"/>
      <color rgb="FFBBDEFB"/>
      <color rgb="FF0000FF"/>
      <color rgb="FFEBF1FB"/>
      <color rgb="FFD3E0F5"/>
      <color rgb="FFC9D9F3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zoomScaleNormal="100" workbookViewId="0">
      <selection activeCell="A5" sqref="A5:N6"/>
    </sheetView>
  </sheetViews>
  <sheetFormatPr defaultColWidth="9.08984375" defaultRowHeight="14.5" x14ac:dyDescent="0.35"/>
  <cols>
    <col min="1" max="1" width="9.81640625" style="30" customWidth="1"/>
    <col min="2" max="13" width="9.26953125" style="30" customWidth="1"/>
    <col min="14" max="14" width="9.81640625" style="30" customWidth="1"/>
    <col min="15" max="26" width="9.08984375" style="30" customWidth="1"/>
    <col min="27" max="16384" width="9.08984375" style="30"/>
  </cols>
  <sheetData>
    <row r="1" spans="1:14" s="34" customFormat="1" ht="189.75" customHeight="1" x14ac:dyDescent="0.6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20" customFormat="1" ht="75" customHeight="1" x14ac:dyDescent="0.35">
      <c r="A2" s="91" t="s">
        <v>82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21" customFormat="1" ht="7.5" customHeight="1" x14ac:dyDescent="0.3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35">
      <c r="A4" s="37"/>
      <c r="B4" s="38"/>
      <c r="C4" s="90"/>
      <c r="D4" s="90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35">
      <c r="A5" s="92" t="s">
        <v>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s="21" customFormat="1" ht="15" customHeight="1" x14ac:dyDescent="0.3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4" s="21" customFormat="1" ht="15" customHeight="1" x14ac:dyDescent="0.35">
      <c r="A7" s="92" t="s">
        <v>81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s="21" customFormat="1" ht="15" customHeight="1" thickBot="1" x14ac:dyDescent="0.4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1" customFormat="1" ht="15" customHeight="1" x14ac:dyDescent="0.35">
      <c r="F9" s="26"/>
      <c r="G9" s="93"/>
      <c r="H9" s="93"/>
      <c r="I9" s="93"/>
      <c r="J9" s="93"/>
      <c r="K9" s="26"/>
    </row>
    <row r="10" spans="1:14" s="21" customFormat="1" ht="15" customHeight="1" x14ac:dyDescent="0.35">
      <c r="B10" s="22"/>
      <c r="C10" s="22"/>
      <c r="F10" s="26"/>
      <c r="G10" s="93"/>
      <c r="H10" s="93"/>
      <c r="I10" s="93"/>
      <c r="J10" s="93"/>
      <c r="K10" s="26"/>
    </row>
    <row r="11" spans="1:14" s="21" customFormat="1" ht="15" customHeight="1" x14ac:dyDescent="0.3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35">
      <c r="A12" s="24"/>
      <c r="B12" s="18"/>
      <c r="C12" s="18"/>
      <c r="D12" s="27"/>
      <c r="F12" s="23"/>
      <c r="G12" s="89"/>
      <c r="H12" s="89"/>
      <c r="I12" s="89"/>
      <c r="J12" s="89"/>
      <c r="K12" s="23"/>
    </row>
    <row r="13" spans="1:14" s="21" customFormat="1" ht="15" customHeight="1" x14ac:dyDescent="0.35">
      <c r="A13" s="17"/>
      <c r="B13" s="18"/>
      <c r="C13" s="18"/>
      <c r="D13" s="28"/>
      <c r="F13" s="23"/>
      <c r="G13" s="89"/>
      <c r="H13" s="89"/>
      <c r="I13" s="89"/>
      <c r="J13" s="89"/>
      <c r="K13" s="23"/>
    </row>
    <row r="14" spans="1:14" s="21" customFormat="1" ht="15" customHeight="1" x14ac:dyDescent="0.35">
      <c r="A14" s="20"/>
      <c r="B14" s="18"/>
      <c r="C14" s="18"/>
      <c r="D14" s="28"/>
      <c r="F14" s="23"/>
      <c r="G14" s="89"/>
      <c r="H14" s="89"/>
      <c r="I14" s="89"/>
      <c r="J14" s="89"/>
      <c r="K14" s="23"/>
    </row>
    <row r="15" spans="1:14" s="21" customFormat="1" ht="15" customHeight="1" x14ac:dyDescent="0.3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35">
      <c r="A16" s="20"/>
      <c r="B16" s="18"/>
      <c r="C16" s="18"/>
      <c r="D16" s="29"/>
      <c r="F16" s="23"/>
      <c r="G16" s="89"/>
      <c r="H16" s="89"/>
      <c r="I16" s="89"/>
      <c r="J16" s="89"/>
      <c r="K16" s="23"/>
    </row>
    <row r="17" spans="1:12" s="21" customFormat="1" ht="15" customHeight="1" x14ac:dyDescent="0.3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3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3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3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3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showGridLines="0" zoomScaleNormal="100" workbookViewId="0">
      <selection activeCell="A5" sqref="A5"/>
    </sheetView>
  </sheetViews>
  <sheetFormatPr defaultColWidth="9.08984375" defaultRowHeight="14.5" x14ac:dyDescent="0.35"/>
  <cols>
    <col min="1" max="1" width="1.36328125" customWidth="1"/>
    <col min="2" max="2" width="2.81640625" customWidth="1"/>
    <col min="3" max="3" width="13.26953125" customWidth="1"/>
    <col min="4" max="4" width="2.81640625" customWidth="1"/>
    <col min="5" max="7" width="1.36328125" customWidth="1"/>
    <col min="8" max="8" width="2.81640625" customWidth="1"/>
    <col min="9" max="9" width="42.7265625" customWidth="1"/>
    <col min="10" max="11" width="1.36328125" customWidth="1"/>
    <col min="12" max="12" width="31.36328125" customWidth="1"/>
    <col min="13" max="14" width="1.36328125" customWidth="1"/>
    <col min="15" max="15" width="2.81640625" customWidth="1"/>
    <col min="16" max="16" width="32.6328125" customWidth="1"/>
    <col min="17" max="17" width="2.81640625" customWidth="1"/>
    <col min="18" max="18" width="1.36328125" customWidth="1"/>
    <col min="23" max="23" width="17.7265625" bestFit="1" customWidth="1"/>
  </cols>
  <sheetData>
    <row r="1" spans="1:18" s="34" customFormat="1" ht="45" customHeight="1" x14ac:dyDescent="0.65">
      <c r="A1" s="13" t="str">
        <f>Welcome!A2</f>
        <v>Debenhams LBO model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5"/>
    <row r="4" spans="1:18" s="2" customFormat="1" ht="22.5" customHeight="1" x14ac:dyDescent="0.35">
      <c r="A4" s="1"/>
      <c r="B4" s="98" t="s">
        <v>0</v>
      </c>
      <c r="C4" s="98"/>
      <c r="D4" s="98"/>
      <c r="E4" s="98"/>
      <c r="F4" s="98"/>
      <c r="G4" s="98"/>
      <c r="H4" s="98"/>
      <c r="I4" s="98"/>
      <c r="K4" s="1"/>
      <c r="L4" s="98" t="s">
        <v>2</v>
      </c>
      <c r="M4" s="98"/>
      <c r="N4" s="98"/>
      <c r="O4" s="98"/>
      <c r="P4" s="98"/>
      <c r="Q4" s="44"/>
      <c r="R4" s="44"/>
    </row>
    <row r="5" spans="1:18" s="2" customFormat="1" ht="15" customHeight="1" x14ac:dyDescent="0.35">
      <c r="A5" s="15"/>
      <c r="B5" s="8" t="s">
        <v>1</v>
      </c>
      <c r="C5" s="57" t="s">
        <v>24</v>
      </c>
      <c r="D5" s="16"/>
      <c r="E5" s="16"/>
      <c r="F5" s="16"/>
      <c r="G5" s="16"/>
      <c r="H5" s="16"/>
      <c r="I5" s="16"/>
      <c r="K5" s="1"/>
      <c r="L5" s="9" t="s">
        <v>19</v>
      </c>
      <c r="M5" s="9"/>
      <c r="N5" s="95"/>
      <c r="O5" s="95"/>
      <c r="P5" s="95"/>
      <c r="Q5" s="95"/>
      <c r="R5" s="44"/>
    </row>
    <row r="6" spans="1:18" s="2" customFormat="1" ht="15" customHeight="1" x14ac:dyDescent="0.35">
      <c r="A6" s="15"/>
      <c r="B6" s="8" t="s">
        <v>1</v>
      </c>
      <c r="C6" s="16" t="s">
        <v>219</v>
      </c>
      <c r="D6" s="16"/>
      <c r="E6" s="16"/>
      <c r="F6" s="16"/>
      <c r="G6" s="16"/>
      <c r="H6" s="16"/>
      <c r="I6" s="16"/>
      <c r="K6" s="1"/>
      <c r="L6" s="9" t="s">
        <v>20</v>
      </c>
      <c r="M6" s="9"/>
      <c r="N6" s="87" t="s">
        <v>220</v>
      </c>
      <c r="O6" s="87"/>
      <c r="P6" s="87"/>
      <c r="Q6" s="87"/>
      <c r="R6" s="44"/>
    </row>
    <row r="7" spans="1:18" s="2" customFormat="1" ht="15" customHeight="1" x14ac:dyDescent="0.35">
      <c r="A7" s="3"/>
      <c r="B7" s="8" t="s">
        <v>1</v>
      </c>
      <c r="C7" s="16" t="s">
        <v>221</v>
      </c>
      <c r="D7" s="16"/>
      <c r="E7" s="16"/>
      <c r="F7" s="16"/>
      <c r="G7" s="16"/>
      <c r="H7" s="16"/>
      <c r="I7" s="16"/>
      <c r="K7" s="15"/>
      <c r="L7" s="9" t="s">
        <v>16</v>
      </c>
      <c r="M7" s="9"/>
      <c r="N7" s="96">
        <v>42496</v>
      </c>
      <c r="O7" s="96"/>
      <c r="P7" s="96"/>
      <c r="Q7" s="96"/>
      <c r="R7" s="44"/>
    </row>
    <row r="8" spans="1:18" s="2" customFormat="1" ht="15" customHeight="1" x14ac:dyDescent="0.35">
      <c r="A8" s="3"/>
      <c r="B8" s="8" t="s">
        <v>1</v>
      </c>
      <c r="C8" s="16" t="s">
        <v>198</v>
      </c>
      <c r="D8" s="16"/>
      <c r="E8" s="16"/>
      <c r="F8" s="16"/>
      <c r="G8" s="16"/>
      <c r="H8" s="16"/>
      <c r="I8" s="16"/>
      <c r="K8" s="15"/>
      <c r="L8" s="9" t="s">
        <v>23</v>
      </c>
      <c r="M8" s="9"/>
      <c r="N8" s="96">
        <v>42369</v>
      </c>
      <c r="O8" s="96"/>
      <c r="P8" s="96"/>
      <c r="Q8" s="96"/>
      <c r="R8" s="44"/>
    </row>
    <row r="9" spans="1:18" s="2" customFormat="1" ht="15" customHeight="1" x14ac:dyDescent="0.35">
      <c r="A9" s="16"/>
      <c r="B9" s="8" t="s">
        <v>1</v>
      </c>
      <c r="C9" s="16" t="s">
        <v>120</v>
      </c>
      <c r="D9" s="16"/>
      <c r="E9" s="16"/>
      <c r="F9" s="16"/>
      <c r="G9" s="16"/>
      <c r="H9" s="16"/>
      <c r="I9" s="16"/>
      <c r="K9" s="3"/>
      <c r="L9" s="9" t="s">
        <v>21</v>
      </c>
      <c r="M9" s="9"/>
      <c r="N9" s="95"/>
      <c r="O9" s="95"/>
      <c r="P9" s="95"/>
      <c r="Q9" s="95"/>
      <c r="R9" s="44"/>
    </row>
    <row r="10" spans="1:18" s="2" customFormat="1" ht="15" customHeight="1" x14ac:dyDescent="0.35">
      <c r="A10" s="16"/>
      <c r="B10" s="8" t="s">
        <v>1</v>
      </c>
      <c r="C10" s="16" t="s">
        <v>222</v>
      </c>
      <c r="D10" s="16"/>
      <c r="E10" s="16"/>
      <c r="F10" s="16"/>
      <c r="G10" s="16"/>
      <c r="H10" s="16"/>
      <c r="I10" s="16"/>
      <c r="K10" s="16"/>
      <c r="L10" s="9" t="s">
        <v>3</v>
      </c>
      <c r="M10" s="9"/>
      <c r="N10" s="95" t="s">
        <v>6</v>
      </c>
      <c r="O10" s="95"/>
      <c r="P10" s="95"/>
      <c r="Q10" s="95"/>
      <c r="R10" s="44"/>
    </row>
    <row r="11" spans="1:18" s="2" customFormat="1" ht="15" customHeight="1" x14ac:dyDescent="0.35">
      <c r="A11" s="41"/>
      <c r="B11" s="42"/>
      <c r="C11" s="41"/>
      <c r="D11" s="41"/>
      <c r="E11" s="41"/>
      <c r="F11" s="41"/>
      <c r="G11" s="41"/>
      <c r="H11" s="41"/>
      <c r="I11" s="41"/>
      <c r="K11" s="16"/>
      <c r="L11" s="9" t="s">
        <v>4</v>
      </c>
      <c r="M11" s="9"/>
      <c r="N11" s="95" t="s">
        <v>7</v>
      </c>
      <c r="O11" s="95"/>
      <c r="P11" s="95"/>
      <c r="Q11" s="95"/>
      <c r="R11" s="44"/>
    </row>
    <row r="12" spans="1:18" s="2" customFormat="1" ht="15" customHeight="1" x14ac:dyDescent="0.35">
      <c r="A12" s="43"/>
      <c r="B12" s="43"/>
      <c r="C12" s="43"/>
      <c r="D12" s="43"/>
      <c r="E12" s="43"/>
      <c r="F12" s="43"/>
      <c r="G12" s="43"/>
      <c r="H12" s="43"/>
      <c r="I12" s="43"/>
      <c r="K12" s="16"/>
      <c r="L12" s="9" t="s">
        <v>5</v>
      </c>
      <c r="M12" s="9"/>
      <c r="N12" s="97">
        <v>0</v>
      </c>
      <c r="O12" s="97"/>
      <c r="P12" s="97"/>
      <c r="Q12" s="97"/>
      <c r="R12" s="49"/>
    </row>
    <row r="13" spans="1:18" s="2" customFormat="1" ht="15" customHeight="1" thickBot="1" x14ac:dyDescent="0.4">
      <c r="A13" s="47"/>
      <c r="B13" s="47"/>
      <c r="C13" s="47"/>
      <c r="D13" s="47"/>
      <c r="E13" s="47"/>
      <c r="F13" s="47"/>
      <c r="G13" s="47"/>
      <c r="H13" s="47"/>
      <c r="I13" s="47"/>
      <c r="K13" s="4"/>
      <c r="L13" s="61"/>
      <c r="M13" s="61"/>
      <c r="N13" s="50"/>
      <c r="O13" s="51"/>
      <c r="P13" s="51"/>
      <c r="Q13" s="52"/>
      <c r="R13" s="53"/>
    </row>
    <row r="14" spans="1:18" s="2" customFormat="1" ht="7.5" customHeight="1" x14ac:dyDescent="0.35">
      <c r="K14" s="23"/>
      <c r="L14" s="23"/>
      <c r="M14" s="23"/>
      <c r="N14" s="23"/>
      <c r="O14" s="23"/>
      <c r="P14" s="23"/>
      <c r="Q14" s="23"/>
      <c r="R14" s="23"/>
    </row>
    <row r="15" spans="1:18" s="2" customFormat="1" ht="22.5" customHeight="1" x14ac:dyDescent="0.35">
      <c r="A15" s="57"/>
      <c r="B15" s="99" t="s">
        <v>13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N15" s="1"/>
      <c r="O15" s="98" t="s">
        <v>9</v>
      </c>
      <c r="P15" s="98"/>
      <c r="Q15" s="98"/>
      <c r="R15" s="60"/>
    </row>
    <row r="16" spans="1:18" s="2" customFormat="1" ht="15" customHeight="1" x14ac:dyDescent="0.35">
      <c r="A16" s="58"/>
      <c r="B16" s="94" t="s">
        <v>14</v>
      </c>
      <c r="C16" s="94"/>
      <c r="D16" s="94" t="s">
        <v>15</v>
      </c>
      <c r="E16" s="94"/>
      <c r="F16" s="94"/>
      <c r="G16" s="94"/>
      <c r="H16" s="94"/>
      <c r="I16" s="94"/>
      <c r="J16" s="94"/>
      <c r="K16" s="94"/>
      <c r="L16" s="94"/>
      <c r="N16" s="15"/>
      <c r="O16" s="25"/>
      <c r="P16" s="20"/>
      <c r="Q16" s="20"/>
      <c r="R16" s="58"/>
    </row>
    <row r="17" spans="1:18" s="2" customFormat="1" ht="15" customHeight="1" x14ac:dyDescent="0.35">
      <c r="A17" s="58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N17" s="3"/>
      <c r="O17" s="25"/>
      <c r="P17" s="54" t="s">
        <v>10</v>
      </c>
      <c r="Q17" s="20"/>
      <c r="R17" s="58"/>
    </row>
    <row r="18" spans="1:18" s="2" customFormat="1" ht="15" customHeight="1" x14ac:dyDescent="0.35">
      <c r="A18" s="58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N18" s="16"/>
      <c r="O18" s="25"/>
      <c r="P18" s="36" t="s">
        <v>11</v>
      </c>
      <c r="Q18" s="20"/>
      <c r="R18" s="58"/>
    </row>
    <row r="19" spans="1:18" s="2" customFormat="1" ht="15" customHeight="1" x14ac:dyDescent="0.35">
      <c r="A19" s="58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16"/>
      <c r="O19" s="25"/>
      <c r="P19" t="s">
        <v>12</v>
      </c>
      <c r="Q19" s="20"/>
      <c r="R19" s="58"/>
    </row>
    <row r="20" spans="1:18" s="2" customFormat="1" ht="15" customHeight="1" x14ac:dyDescent="0.35">
      <c r="A20" s="4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43"/>
      <c r="O20" s="55"/>
      <c r="P20" s="55"/>
      <c r="Q20" s="55"/>
      <c r="R20" s="43"/>
    </row>
    <row r="21" spans="1:18" ht="15" thickBot="1" x14ac:dyDescent="0.4">
      <c r="A21" s="47"/>
      <c r="B21" s="47"/>
      <c r="C21" s="47"/>
      <c r="D21" s="59"/>
      <c r="E21" s="59"/>
      <c r="F21" s="59"/>
      <c r="G21" s="59"/>
      <c r="H21" s="59"/>
      <c r="I21" s="59"/>
      <c r="J21" s="59"/>
      <c r="K21" s="59"/>
      <c r="L21" s="59"/>
      <c r="N21" s="47"/>
      <c r="O21" s="47"/>
      <c r="P21" s="47"/>
      <c r="Q21" s="47"/>
      <c r="R21" s="47"/>
    </row>
    <row r="22" spans="1:18" x14ac:dyDescent="0.35">
      <c r="Q22" s="56"/>
      <c r="R22" s="33"/>
    </row>
    <row r="23" spans="1:18" x14ac:dyDescent="0.35"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35"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35">
      <c r="F25" s="33"/>
      <c r="G25" s="33"/>
      <c r="H25" s="33"/>
      <c r="I25" s="33"/>
      <c r="J25" s="33"/>
      <c r="K25" s="33"/>
      <c r="L25" s="33"/>
      <c r="M25" s="33"/>
      <c r="N25" s="30"/>
      <c r="O25" s="30"/>
      <c r="P25" s="30"/>
      <c r="Q25" s="30"/>
    </row>
    <row r="26" spans="1:18" x14ac:dyDescent="0.3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8" x14ac:dyDescent="0.35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8" x14ac:dyDescent="0.35"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</sheetData>
  <mergeCells count="21">
    <mergeCell ref="B19:C19"/>
    <mergeCell ref="L4:P4"/>
    <mergeCell ref="B4:I4"/>
    <mergeCell ref="B15:L15"/>
    <mergeCell ref="N8:Q8"/>
    <mergeCell ref="B20:C20"/>
    <mergeCell ref="D18:L18"/>
    <mergeCell ref="D19:L19"/>
    <mergeCell ref="D20:L20"/>
    <mergeCell ref="N5:Q5"/>
    <mergeCell ref="N7:Q7"/>
    <mergeCell ref="N9:Q9"/>
    <mergeCell ref="N10:Q10"/>
    <mergeCell ref="N11:Q11"/>
    <mergeCell ref="N12:Q12"/>
    <mergeCell ref="O15:Q15"/>
    <mergeCell ref="D16:L16"/>
    <mergeCell ref="D17:L17"/>
    <mergeCell ref="B16:C16"/>
    <mergeCell ref="B17:C17"/>
    <mergeCell ref="B18:C18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8"/>
  <sheetViews>
    <sheetView tabSelected="1" zoomScale="125" zoomScaleNormal="125"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F38" sqref="F38"/>
    </sheetView>
  </sheetViews>
  <sheetFormatPr defaultRowHeight="14.5" x14ac:dyDescent="0.35"/>
  <cols>
    <col min="1" max="1" width="1.6328125" customWidth="1"/>
    <col min="2" max="2" width="25" customWidth="1"/>
    <col min="3" max="4" width="10.6328125" customWidth="1"/>
    <col min="5" max="5" width="14.26953125" customWidth="1"/>
    <col min="6" max="17" width="10.6328125" customWidth="1"/>
  </cols>
  <sheetData>
    <row r="1" spans="1:17" ht="28.5" x14ac:dyDescent="0.6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5">
      <c r="A2" s="14" t="s">
        <v>25</v>
      </c>
      <c r="B2" s="7"/>
      <c r="C2" s="11" t="s">
        <v>26</v>
      </c>
      <c r="D2" s="11" t="s">
        <v>26</v>
      </c>
      <c r="E2" s="11" t="s">
        <v>26</v>
      </c>
      <c r="F2" s="11" t="s">
        <v>26</v>
      </c>
      <c r="G2" s="11"/>
      <c r="H2" s="11"/>
      <c r="I2" s="11"/>
      <c r="J2" s="11" t="s">
        <v>27</v>
      </c>
      <c r="K2" s="11" t="s">
        <v>27</v>
      </c>
      <c r="L2" s="11" t="s">
        <v>27</v>
      </c>
      <c r="M2" s="11" t="s">
        <v>27</v>
      </c>
      <c r="N2" s="11" t="s">
        <v>27</v>
      </c>
      <c r="O2" s="11" t="s">
        <v>27</v>
      </c>
      <c r="P2" s="11" t="s">
        <v>27</v>
      </c>
      <c r="Q2" s="11" t="s">
        <v>27</v>
      </c>
    </row>
    <row r="3" spans="1:17" ht="21" x14ac:dyDescent="0.5">
      <c r="A3" s="14" t="s">
        <v>94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126</v>
      </c>
      <c r="H3" s="11" t="s">
        <v>127</v>
      </c>
      <c r="I3" s="11" t="s">
        <v>128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35">
      <c r="A5" s="64" t="s">
        <v>95</v>
      </c>
    </row>
    <row r="6" spans="1:17" x14ac:dyDescent="0.35">
      <c r="B6" t="s">
        <v>96</v>
      </c>
      <c r="F6">
        <f>IS!F14</f>
        <v>238.5999999999998</v>
      </c>
      <c r="H6" t="s">
        <v>99</v>
      </c>
      <c r="J6" s="72">
        <v>0.03</v>
      </c>
    </row>
    <row r="7" spans="1:17" x14ac:dyDescent="0.35">
      <c r="B7" t="s">
        <v>97</v>
      </c>
      <c r="F7" s="70">
        <v>7.5</v>
      </c>
      <c r="H7" t="s">
        <v>100</v>
      </c>
      <c r="J7" s="72">
        <v>7.0000000000000001E-3</v>
      </c>
    </row>
    <row r="8" spans="1:17" x14ac:dyDescent="0.35">
      <c r="B8" t="s">
        <v>98</v>
      </c>
      <c r="F8">
        <f>F7*F6</f>
        <v>1789.4999999999984</v>
      </c>
      <c r="H8" t="s">
        <v>101</v>
      </c>
      <c r="J8" s="72">
        <v>0.01</v>
      </c>
    </row>
    <row r="9" spans="1:17" x14ac:dyDescent="0.35">
      <c r="B9" t="s">
        <v>104</v>
      </c>
      <c r="F9">
        <f>SUM(BS!F17,BS!F21,-BS!F5)</f>
        <v>302.39999999999998</v>
      </c>
      <c r="H9" t="s">
        <v>102</v>
      </c>
      <c r="J9" s="71">
        <v>4</v>
      </c>
    </row>
    <row r="10" spans="1:17" x14ac:dyDescent="0.35">
      <c r="B10" t="s">
        <v>105</v>
      </c>
      <c r="F10">
        <f>F8-F9</f>
        <v>1487.0999999999985</v>
      </c>
      <c r="H10" t="s">
        <v>175</v>
      </c>
      <c r="J10" s="72">
        <v>0.75</v>
      </c>
    </row>
    <row r="11" spans="1:17" x14ac:dyDescent="0.35">
      <c r="B11" t="s">
        <v>195</v>
      </c>
      <c r="F11" s="72">
        <v>0.4</v>
      </c>
      <c r="H11" t="s">
        <v>197</v>
      </c>
      <c r="J11" s="72">
        <v>0.2</v>
      </c>
    </row>
    <row r="12" spans="1:17" x14ac:dyDescent="0.35">
      <c r="B12" t="s">
        <v>196</v>
      </c>
      <c r="F12" s="72">
        <v>0.75</v>
      </c>
      <c r="H12" t="s">
        <v>217</v>
      </c>
      <c r="J12" s="72">
        <v>0.1</v>
      </c>
    </row>
    <row r="13" spans="1:17" x14ac:dyDescent="0.35">
      <c r="B13" t="s">
        <v>202</v>
      </c>
      <c r="F13" s="71">
        <v>25</v>
      </c>
      <c r="H13" t="s">
        <v>218</v>
      </c>
      <c r="J13" s="72">
        <v>0.02</v>
      </c>
    </row>
    <row r="14" spans="1:17" x14ac:dyDescent="0.35">
      <c r="B14" t="s">
        <v>203</v>
      </c>
      <c r="F14" s="72">
        <v>0.09</v>
      </c>
    </row>
    <row r="16" spans="1:17" x14ac:dyDescent="0.35">
      <c r="A16" s="64" t="s">
        <v>192</v>
      </c>
    </row>
    <row r="17" spans="1:11" x14ac:dyDescent="0.35">
      <c r="A17" s="64"/>
      <c r="B17" t="s">
        <v>204</v>
      </c>
      <c r="D17" s="84">
        <v>3</v>
      </c>
      <c r="E17" t="str">
        <f>CHOOSE(D17,C20,D20,E20)</f>
        <v>Lease</v>
      </c>
    </row>
    <row r="18" spans="1:11" x14ac:dyDescent="0.35">
      <c r="A18" s="64"/>
    </row>
    <row r="19" spans="1:11" x14ac:dyDescent="0.35">
      <c r="C19" s="81" t="s">
        <v>194</v>
      </c>
      <c r="D19" s="81"/>
      <c r="E19" s="81"/>
      <c r="F19" s="81" t="s">
        <v>115</v>
      </c>
      <c r="G19" s="81"/>
      <c r="H19" s="81"/>
      <c r="I19" s="81" t="s">
        <v>205</v>
      </c>
      <c r="J19" s="81"/>
      <c r="K19" s="81"/>
    </row>
    <row r="20" spans="1:11" x14ac:dyDescent="0.35">
      <c r="C20" s="82" t="s">
        <v>193</v>
      </c>
      <c r="D20" s="82" t="s">
        <v>191</v>
      </c>
      <c r="E20" s="82" t="s">
        <v>199</v>
      </c>
      <c r="F20" s="82" t="s">
        <v>193</v>
      </c>
      <c r="G20" s="82" t="s">
        <v>191</v>
      </c>
      <c r="H20" s="82" t="s">
        <v>199</v>
      </c>
      <c r="I20" s="82" t="s">
        <v>193</v>
      </c>
      <c r="J20" s="82" t="s">
        <v>191</v>
      </c>
      <c r="K20" s="82" t="s">
        <v>199</v>
      </c>
    </row>
    <row r="21" spans="1:11" x14ac:dyDescent="0.35">
      <c r="B21" s="80" t="s">
        <v>65</v>
      </c>
      <c r="C21" s="71">
        <v>0</v>
      </c>
      <c r="D21" s="71">
        <v>0</v>
      </c>
      <c r="E21" s="71">
        <v>0</v>
      </c>
      <c r="F21" s="73">
        <v>0.05</v>
      </c>
      <c r="H21" s="73">
        <v>0.05</v>
      </c>
      <c r="I21" s="74">
        <f>F21+$J$7</f>
        <v>5.7000000000000002E-2</v>
      </c>
      <c r="J21" s="74"/>
      <c r="K21" s="74">
        <f>H21+$J$7</f>
        <v>5.7000000000000002E-2</v>
      </c>
    </row>
    <row r="22" spans="1:11" x14ac:dyDescent="0.35">
      <c r="B22" s="80" t="s">
        <v>109</v>
      </c>
      <c r="C22" s="71">
        <v>400</v>
      </c>
      <c r="D22" s="71">
        <v>0</v>
      </c>
      <c r="E22" s="71">
        <v>400</v>
      </c>
      <c r="F22" s="73">
        <v>0.05</v>
      </c>
      <c r="H22" s="73">
        <v>0.05</v>
      </c>
      <c r="I22" s="74">
        <f t="shared" ref="I22:K23" si="1">F22+$J$7</f>
        <v>5.7000000000000002E-2</v>
      </c>
      <c r="J22" s="74"/>
      <c r="K22" s="74">
        <f t="shared" si="1"/>
        <v>5.7000000000000002E-2</v>
      </c>
    </row>
    <row r="23" spans="1:11" x14ac:dyDescent="0.35">
      <c r="B23" s="80" t="s">
        <v>110</v>
      </c>
      <c r="C23" s="71">
        <v>511</v>
      </c>
      <c r="D23" s="71">
        <v>0</v>
      </c>
      <c r="E23" s="71">
        <v>0</v>
      </c>
      <c r="F23" s="73">
        <v>0.09</v>
      </c>
      <c r="H23" s="73">
        <v>0.09</v>
      </c>
      <c r="I23" s="74">
        <f t="shared" si="1"/>
        <v>9.7000000000000003E-2</v>
      </c>
      <c r="J23" s="74"/>
      <c r="K23" s="74"/>
    </row>
    <row r="24" spans="1:11" x14ac:dyDescent="0.35">
      <c r="B24" s="80" t="s">
        <v>191</v>
      </c>
      <c r="C24" s="71">
        <v>0</v>
      </c>
      <c r="D24">
        <f>SUM(C21:C23,C26)</f>
        <v>1211</v>
      </c>
      <c r="E24" s="71">
        <v>0</v>
      </c>
      <c r="J24" s="73">
        <f>SUMPRODUCT(C21:C26,I21:I26)/SUM(C21:C26)+1%</f>
        <v>9.9485549132947979E-2</v>
      </c>
      <c r="K24" s="74"/>
    </row>
    <row r="25" spans="1:11" x14ac:dyDescent="0.35">
      <c r="B25" s="80" t="s">
        <v>198</v>
      </c>
      <c r="C25" s="71">
        <v>0</v>
      </c>
      <c r="D25" s="71">
        <v>0</v>
      </c>
      <c r="E25" s="71">
        <v>511</v>
      </c>
      <c r="K25" s="73">
        <v>0.1</v>
      </c>
    </row>
    <row r="26" spans="1:11" x14ac:dyDescent="0.35">
      <c r="B26" s="80" t="s">
        <v>111</v>
      </c>
      <c r="C26" s="71">
        <v>300</v>
      </c>
      <c r="D26" s="71">
        <v>0</v>
      </c>
      <c r="E26" s="71">
        <v>300</v>
      </c>
      <c r="I26" s="73">
        <v>0.12</v>
      </c>
      <c r="K26" s="73">
        <v>0.12</v>
      </c>
    </row>
    <row r="27" spans="1:11" x14ac:dyDescent="0.35">
      <c r="B27" s="80" t="s">
        <v>112</v>
      </c>
      <c r="C27">
        <f>C38-SUM(C21:C23,C26,C28)</f>
        <v>622.18499999999858</v>
      </c>
      <c r="D27">
        <f>C38-D24-D28</f>
        <v>622.18499999999858</v>
      </c>
      <c r="E27">
        <f>C38-SUM(E22,E25,E26,E28)</f>
        <v>622.18499999999858</v>
      </c>
      <c r="I27" s="73">
        <v>0.12</v>
      </c>
      <c r="J27" s="73">
        <v>0.12</v>
      </c>
      <c r="K27" s="73">
        <v>0.12</v>
      </c>
    </row>
    <row r="28" spans="1:11" x14ac:dyDescent="0.35">
      <c r="B28" s="80" t="s">
        <v>113</v>
      </c>
      <c r="C28" s="71">
        <v>10</v>
      </c>
      <c r="D28" s="71">
        <v>10</v>
      </c>
      <c r="E28" s="71">
        <v>10</v>
      </c>
    </row>
    <row r="29" spans="1:11" x14ac:dyDescent="0.35">
      <c r="B29" t="s">
        <v>114</v>
      </c>
    </row>
    <row r="31" spans="1:11" x14ac:dyDescent="0.35">
      <c r="B31" t="s">
        <v>200</v>
      </c>
      <c r="D31">
        <f>IF(D17=3,BS!I11*(1+LBO!F11)*LBO!F12,0)</f>
        <v>0</v>
      </c>
      <c r="E31" s="30"/>
    </row>
    <row r="32" spans="1:11" x14ac:dyDescent="0.35">
      <c r="B32" t="s">
        <v>201</v>
      </c>
      <c r="D32" s="83">
        <v>42735</v>
      </c>
      <c r="E32" t="s">
        <v>209</v>
      </c>
    </row>
    <row r="34" spans="1:12" x14ac:dyDescent="0.35">
      <c r="A34" s="64" t="s">
        <v>103</v>
      </c>
      <c r="G34" s="68" t="s">
        <v>171</v>
      </c>
      <c r="H34" s="68" t="s">
        <v>172</v>
      </c>
      <c r="I34" s="68" t="s">
        <v>115</v>
      </c>
      <c r="J34" s="68" t="s">
        <v>116</v>
      </c>
      <c r="K34" t="s">
        <v>169</v>
      </c>
      <c r="L34" t="s">
        <v>170</v>
      </c>
    </row>
    <row r="35" spans="1:12" x14ac:dyDescent="0.35">
      <c r="B35" t="str">
        <f>B10</f>
        <v>Acquisition equity value</v>
      </c>
      <c r="C35">
        <f>F10</f>
        <v>1487.0999999999985</v>
      </c>
      <c r="E35" t="str">
        <f t="shared" ref="E35:E42" si="2">B21</f>
        <v>Revolver</v>
      </c>
      <c r="F35">
        <f>CHOOSE($D$17,C21,D21,E21)</f>
        <v>0</v>
      </c>
      <c r="G35" s="86">
        <f>F35/$F$6</f>
        <v>0</v>
      </c>
      <c r="H35" s="67">
        <f>F35/$F$43</f>
        <v>0</v>
      </c>
      <c r="I35" s="85">
        <f>CHOOSE($D$17,F21,"N/A",H21)</f>
        <v>0.05</v>
      </c>
      <c r="J35" s="85">
        <f>CHOOSE($D$17,I21,"N/A",K21)</f>
        <v>5.7000000000000002E-2</v>
      </c>
    </row>
    <row r="36" spans="1:12" x14ac:dyDescent="0.35">
      <c r="B36" t="s">
        <v>106</v>
      </c>
      <c r="C36">
        <f>F9</f>
        <v>302.39999999999998</v>
      </c>
      <c r="E36" t="str">
        <f t="shared" si="2"/>
        <v>First Lien</v>
      </c>
      <c r="F36">
        <f t="shared" ref="F36:F42" si="3">CHOOSE($D$17,C22,D22,E22)</f>
        <v>400</v>
      </c>
      <c r="G36" s="86">
        <f>F36/$F$6+G35</f>
        <v>1.67644593461861</v>
      </c>
      <c r="H36" s="67">
        <f t="shared" ref="H36:H42" si="4">F36/$F$43</f>
        <v>0.21701565496681033</v>
      </c>
      <c r="I36" s="85">
        <f t="shared" ref="I36:I37" si="5">CHOOSE($D$17,F22,"N/A",H22)</f>
        <v>0.05</v>
      </c>
      <c r="J36" s="85">
        <f t="shared" ref="J36:J37" si="6">CHOOSE($D$17,I22,"N/A",K22)</f>
        <v>5.7000000000000002E-2</v>
      </c>
    </row>
    <row r="37" spans="1:12" x14ac:dyDescent="0.35">
      <c r="B37" t="s">
        <v>107</v>
      </c>
      <c r="C37">
        <f>F8*J6</f>
        <v>53.684999999999953</v>
      </c>
      <c r="E37" t="str">
        <f t="shared" si="2"/>
        <v>Second Lien</v>
      </c>
      <c r="F37">
        <f t="shared" si="3"/>
        <v>0</v>
      </c>
      <c r="G37" s="86">
        <f t="shared" ref="G37:G40" si="7">F37/$F$6+G36</f>
        <v>1.67644593461861</v>
      </c>
      <c r="H37" s="67">
        <f t="shared" si="4"/>
        <v>0</v>
      </c>
      <c r="I37" s="85">
        <f t="shared" si="5"/>
        <v>0.09</v>
      </c>
      <c r="J37" s="85">
        <f t="shared" si="6"/>
        <v>0</v>
      </c>
    </row>
    <row r="38" spans="1:12" x14ac:dyDescent="0.35">
      <c r="B38" t="s">
        <v>108</v>
      </c>
      <c r="C38">
        <f>SUM(C35:C37)</f>
        <v>1843.1849999999986</v>
      </c>
      <c r="E38" t="str">
        <f t="shared" si="2"/>
        <v>Unitranche</v>
      </c>
      <c r="F38">
        <f t="shared" si="3"/>
        <v>0</v>
      </c>
      <c r="G38" s="86">
        <f t="shared" si="7"/>
        <v>1.67644593461861</v>
      </c>
      <c r="H38" s="67">
        <f t="shared" si="4"/>
        <v>0</v>
      </c>
      <c r="I38" s="68"/>
      <c r="J38" s="85" t="str">
        <f>CHOOSE($D$17,"N/A",J24,"N/A")</f>
        <v>N/A</v>
      </c>
    </row>
    <row r="39" spans="1:12" x14ac:dyDescent="0.35">
      <c r="E39" t="str">
        <f t="shared" si="2"/>
        <v>Bridge loan</v>
      </c>
      <c r="F39">
        <f t="shared" si="3"/>
        <v>511</v>
      </c>
      <c r="G39" s="86">
        <f t="shared" si="7"/>
        <v>3.8181056160938844</v>
      </c>
      <c r="H39" s="67">
        <f t="shared" si="4"/>
        <v>0.27723749922010021</v>
      </c>
      <c r="I39" s="68"/>
      <c r="J39" s="85">
        <f>CHOOSE($D$17,"N/A","N/A",K25)</f>
        <v>0.1</v>
      </c>
    </row>
    <row r="40" spans="1:12" x14ac:dyDescent="0.35">
      <c r="E40" t="str">
        <f t="shared" si="2"/>
        <v>Mezannine</v>
      </c>
      <c r="F40">
        <f t="shared" si="3"/>
        <v>300</v>
      </c>
      <c r="G40" s="86">
        <f t="shared" si="7"/>
        <v>5.0754400670578423</v>
      </c>
      <c r="H40" s="67">
        <f t="shared" si="4"/>
        <v>0.16276174122510775</v>
      </c>
      <c r="I40" s="85"/>
      <c r="J40" s="85">
        <f t="shared" ref="J40" si="8">CHOOSE($D$17,I26,"N/A",K26)</f>
        <v>0.12</v>
      </c>
    </row>
    <row r="41" spans="1:12" x14ac:dyDescent="0.35">
      <c r="E41" t="str">
        <f t="shared" si="2"/>
        <v>Prefs</v>
      </c>
      <c r="F41">
        <f t="shared" si="3"/>
        <v>622.18499999999858</v>
      </c>
      <c r="H41" s="67">
        <f t="shared" si="4"/>
        <v>0.33755971321381145</v>
      </c>
      <c r="I41" s="68"/>
      <c r="J41" s="85"/>
    </row>
    <row r="42" spans="1:12" x14ac:dyDescent="0.35">
      <c r="E42" t="str">
        <f t="shared" si="2"/>
        <v>Common equity</v>
      </c>
      <c r="F42">
        <f t="shared" si="3"/>
        <v>10</v>
      </c>
      <c r="H42" s="67">
        <f t="shared" si="4"/>
        <v>5.425391374170258E-3</v>
      </c>
    </row>
    <row r="43" spans="1:12" x14ac:dyDescent="0.35">
      <c r="E43" t="s">
        <v>114</v>
      </c>
      <c r="F43">
        <f>SUM(F35:F42)</f>
        <v>1843.1849999999986</v>
      </c>
      <c r="H43" s="67"/>
    </row>
    <row r="46" spans="1:12" x14ac:dyDescent="0.35">
      <c r="A46" s="64" t="s">
        <v>117</v>
      </c>
      <c r="C46" s="68" t="s">
        <v>121</v>
      </c>
      <c r="D46" s="68" t="s">
        <v>118</v>
      </c>
      <c r="F46" s="64" t="s">
        <v>17</v>
      </c>
    </row>
    <row r="47" spans="1:12" x14ac:dyDescent="0.35">
      <c r="B47" t="s">
        <v>119</v>
      </c>
      <c r="C47" s="67"/>
      <c r="D47" s="67"/>
      <c r="F47" t="s">
        <v>123</v>
      </c>
    </row>
    <row r="48" spans="1:12" x14ac:dyDescent="0.35">
      <c r="B48" t="s">
        <v>120</v>
      </c>
      <c r="C48" s="72">
        <v>0</v>
      </c>
      <c r="D48" s="72">
        <v>0.05</v>
      </c>
      <c r="F48" t="s">
        <v>124</v>
      </c>
    </row>
    <row r="49" spans="1:17" x14ac:dyDescent="0.35">
      <c r="B49" t="s">
        <v>154</v>
      </c>
      <c r="C49" s="72">
        <v>0.1</v>
      </c>
      <c r="D49" s="67"/>
      <c r="F49" t="s">
        <v>125</v>
      </c>
    </row>
    <row r="50" spans="1:17" x14ac:dyDescent="0.35">
      <c r="B50" t="s">
        <v>122</v>
      </c>
      <c r="C50" s="67"/>
      <c r="D50" s="67"/>
    </row>
    <row r="51" spans="1:17" x14ac:dyDescent="0.35">
      <c r="C51" s="67"/>
      <c r="D51" s="67"/>
    </row>
    <row r="52" spans="1:17" x14ac:dyDescent="0.35">
      <c r="A52" s="64" t="s">
        <v>167</v>
      </c>
    </row>
    <row r="53" spans="1:17" x14ac:dyDescent="0.35">
      <c r="B53" t="s">
        <v>168</v>
      </c>
      <c r="J53" s="76">
        <v>1</v>
      </c>
      <c r="K53" s="77">
        <f>J53+1</f>
        <v>2</v>
      </c>
      <c r="L53" s="77">
        <f t="shared" ref="L53:Q53" si="9">K53+1</f>
        <v>3</v>
      </c>
      <c r="M53" s="77">
        <f t="shared" si="9"/>
        <v>4</v>
      </c>
      <c r="N53" s="77">
        <f t="shared" si="9"/>
        <v>5</v>
      </c>
      <c r="O53" s="77">
        <f t="shared" si="9"/>
        <v>6</v>
      </c>
      <c r="P53" s="77">
        <f t="shared" si="9"/>
        <v>7</v>
      </c>
      <c r="Q53" s="77">
        <f t="shared" si="9"/>
        <v>8</v>
      </c>
    </row>
    <row r="54" spans="1:17" x14ac:dyDescent="0.35">
      <c r="B54" t="s">
        <v>159</v>
      </c>
    </row>
    <row r="55" spans="1:17" x14ac:dyDescent="0.35">
      <c r="B55" t="s">
        <v>176</v>
      </c>
    </row>
    <row r="56" spans="1:17" x14ac:dyDescent="0.35">
      <c r="B56" s="78" t="s">
        <v>177</v>
      </c>
    </row>
    <row r="57" spans="1:17" x14ac:dyDescent="0.35">
      <c r="B57" s="78" t="s">
        <v>180</v>
      </c>
    </row>
    <row r="58" spans="1:17" x14ac:dyDescent="0.35">
      <c r="B58" s="78" t="s">
        <v>181</v>
      </c>
    </row>
    <row r="59" spans="1:17" x14ac:dyDescent="0.35">
      <c r="B59" s="78" t="s">
        <v>178</v>
      </c>
    </row>
    <row r="60" spans="1:17" x14ac:dyDescent="0.35">
      <c r="B60" t="s">
        <v>179</v>
      </c>
    </row>
    <row r="61" spans="1:17" x14ac:dyDescent="0.35">
      <c r="K61" s="67"/>
      <c r="L61" s="67"/>
      <c r="M61" s="67"/>
      <c r="N61" s="67"/>
      <c r="O61" s="67"/>
      <c r="P61" s="67"/>
      <c r="Q61" s="67"/>
    </row>
    <row r="62" spans="1:17" x14ac:dyDescent="0.35">
      <c r="B62" s="79" t="s">
        <v>120</v>
      </c>
    </row>
    <row r="63" spans="1:17" x14ac:dyDescent="0.35">
      <c r="B63" t="s">
        <v>183</v>
      </c>
    </row>
    <row r="64" spans="1:17" x14ac:dyDescent="0.35">
      <c r="B64" t="s">
        <v>184</v>
      </c>
    </row>
    <row r="65" spans="1:9" x14ac:dyDescent="0.35">
      <c r="B65" t="s">
        <v>185</v>
      </c>
    </row>
    <row r="66" spans="1:9" x14ac:dyDescent="0.35">
      <c r="B66" t="s">
        <v>186</v>
      </c>
      <c r="I66" s="67"/>
    </row>
    <row r="68" spans="1:9" x14ac:dyDescent="0.35">
      <c r="B68" s="79" t="s">
        <v>187</v>
      </c>
    </row>
    <row r="69" spans="1:9" x14ac:dyDescent="0.35">
      <c r="B69" t="s">
        <v>188</v>
      </c>
    </row>
    <row r="70" spans="1:9" x14ac:dyDescent="0.35">
      <c r="B70" t="s">
        <v>182</v>
      </c>
    </row>
    <row r="71" spans="1:9" x14ac:dyDescent="0.35">
      <c r="B71" t="s">
        <v>215</v>
      </c>
    </row>
    <row r="72" spans="1:9" x14ac:dyDescent="0.35">
      <c r="B72" t="s">
        <v>189</v>
      </c>
      <c r="H72" s="68"/>
    </row>
    <row r="73" spans="1:9" x14ac:dyDescent="0.35">
      <c r="B73" t="s">
        <v>186</v>
      </c>
      <c r="I73" s="67"/>
    </row>
    <row r="75" spans="1:9" x14ac:dyDescent="0.35">
      <c r="B75" s="79" t="s">
        <v>154</v>
      </c>
    </row>
    <row r="76" spans="1:9" x14ac:dyDescent="0.35">
      <c r="B76" t="s">
        <v>190</v>
      </c>
    </row>
    <row r="77" spans="1:9" x14ac:dyDescent="0.35">
      <c r="B77" t="s">
        <v>186</v>
      </c>
      <c r="I77" s="67"/>
    </row>
    <row r="78" spans="1:9" x14ac:dyDescent="0.35">
      <c r="A78" s="64"/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5" x14ac:dyDescent="0.35"/>
  <cols>
    <col min="1" max="1" width="1.6328125" customWidth="1"/>
    <col min="2" max="2" width="20.6328125" customWidth="1"/>
    <col min="3" max="17" width="10.6328125" customWidth="1"/>
  </cols>
  <sheetData>
    <row r="1" spans="1:17" ht="28.5" x14ac:dyDescent="0.6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5">
      <c r="A2" s="14" t="s">
        <v>25</v>
      </c>
      <c r="B2" s="7"/>
      <c r="C2" s="11" t="s">
        <v>26</v>
      </c>
      <c r="D2" s="11" t="s">
        <v>26</v>
      </c>
      <c r="E2" s="11" t="s">
        <v>26</v>
      </c>
      <c r="F2" s="11" t="s">
        <v>26</v>
      </c>
      <c r="G2" s="11"/>
      <c r="H2" s="11"/>
      <c r="I2" s="11"/>
      <c r="J2" s="11" t="s">
        <v>27</v>
      </c>
      <c r="K2" s="11" t="s">
        <v>27</v>
      </c>
      <c r="L2" s="11" t="s">
        <v>27</v>
      </c>
      <c r="M2" s="11" t="s">
        <v>27</v>
      </c>
      <c r="N2" s="11" t="s">
        <v>27</v>
      </c>
      <c r="O2" s="11" t="s">
        <v>27</v>
      </c>
      <c r="P2" s="11" t="s">
        <v>27</v>
      </c>
      <c r="Q2" s="11" t="s">
        <v>27</v>
      </c>
    </row>
    <row r="3" spans="1:17" ht="21" x14ac:dyDescent="0.5">
      <c r="A3" s="14" t="s">
        <v>28</v>
      </c>
      <c r="B3" s="7"/>
      <c r="C3" s="11">
        <f t="shared" ref="C3:D3" si="0">EDATE(D3,-12)</f>
        <v>41274</v>
      </c>
      <c r="D3" s="11">
        <f t="shared" si="0"/>
        <v>41639</v>
      </c>
      <c r="E3" s="11">
        <f>EDATE(F3,-12)</f>
        <v>42004</v>
      </c>
      <c r="F3" s="11">
        <v>42369</v>
      </c>
      <c r="G3" s="11" t="s">
        <v>126</v>
      </c>
      <c r="H3" s="11" t="s">
        <v>127</v>
      </c>
      <c r="I3" s="11" t="s">
        <v>128</v>
      </c>
      <c r="J3" s="11">
        <f>EDATE(F3,12)</f>
        <v>42735</v>
      </c>
      <c r="K3" s="11">
        <f t="shared" ref="K3:N3" si="1">EDATE(J3,12)</f>
        <v>43100</v>
      </c>
      <c r="L3" s="11">
        <f t="shared" si="1"/>
        <v>43465</v>
      </c>
      <c r="M3" s="11">
        <f t="shared" si="1"/>
        <v>43830</v>
      </c>
      <c r="N3" s="11">
        <f t="shared" si="1"/>
        <v>44196</v>
      </c>
      <c r="O3" s="11">
        <f t="shared" ref="O3" si="2">EDATE(N3,12)</f>
        <v>44561</v>
      </c>
      <c r="P3" s="11">
        <f t="shared" ref="P3" si="3">EDATE(O3,12)</f>
        <v>44926</v>
      </c>
      <c r="Q3" s="11">
        <f t="shared" ref="Q3" si="4">EDATE(P3,12)</f>
        <v>45291</v>
      </c>
    </row>
    <row r="5" spans="1:17" x14ac:dyDescent="0.35">
      <c r="B5" t="s">
        <v>29</v>
      </c>
      <c r="F5" s="63">
        <v>1</v>
      </c>
      <c r="G5" s="63"/>
      <c r="H5" s="63"/>
      <c r="I5" s="63"/>
    </row>
    <row r="6" spans="1:17" x14ac:dyDescent="0.35">
      <c r="B6" t="s">
        <v>32</v>
      </c>
      <c r="J6" t="s">
        <v>174</v>
      </c>
    </row>
    <row r="7" spans="1:17" x14ac:dyDescent="0.35">
      <c r="B7" t="s">
        <v>173</v>
      </c>
      <c r="J7" s="65">
        <v>-7.0000000000000007E-2</v>
      </c>
      <c r="K7" s="65">
        <v>-7.0000000000000007E-2</v>
      </c>
      <c r="L7" s="65">
        <v>-7.0000000000000007E-2</v>
      </c>
      <c r="M7" s="65">
        <v>-7.0000000000000007E-2</v>
      </c>
      <c r="N7" s="65">
        <v>-7.0000000000000007E-2</v>
      </c>
      <c r="O7" s="65">
        <v>-7.0000000000000007E-2</v>
      </c>
      <c r="P7" s="65">
        <v>-7.0000000000000007E-2</v>
      </c>
      <c r="Q7" s="65">
        <v>-7.0000000000000007E-2</v>
      </c>
    </row>
    <row r="8" spans="1:17" x14ac:dyDescent="0.35">
      <c r="B8" t="s">
        <v>174</v>
      </c>
      <c r="J8" s="65">
        <v>-0.06</v>
      </c>
      <c r="K8" s="65">
        <v>-0.05</v>
      </c>
      <c r="L8" s="65">
        <v>-0.05</v>
      </c>
      <c r="M8" s="65">
        <v>-0.05</v>
      </c>
      <c r="N8" s="65">
        <v>-0.05</v>
      </c>
      <c r="O8" s="65">
        <v>-0.05</v>
      </c>
      <c r="P8" s="65">
        <v>-0.05</v>
      </c>
      <c r="Q8" s="65">
        <v>-0.05</v>
      </c>
    </row>
    <row r="10" spans="1:17" x14ac:dyDescent="0.35">
      <c r="A10" s="64" t="s">
        <v>90</v>
      </c>
    </row>
    <row r="11" spans="1:17" x14ac:dyDescent="0.35">
      <c r="B11" t="s">
        <v>89</v>
      </c>
      <c r="D11" s="67">
        <f>IS!D5/IS!C5-1</f>
        <v>2.3499865458785463E-2</v>
      </c>
      <c r="E11" s="67">
        <f>IS!E5/IS!D5-1</f>
        <v>1.3364297607571629E-2</v>
      </c>
      <c r="F11" s="67">
        <f>IS!F5/IS!E5-1</f>
        <v>4.323950361049933E-3</v>
      </c>
      <c r="G11" s="67"/>
      <c r="H11" s="67"/>
      <c r="I11" s="67"/>
      <c r="J11" s="66">
        <v>1.2999999999999999E-2</v>
      </c>
      <c r="K11" s="66">
        <v>4.0000000000000001E-3</v>
      </c>
      <c r="L11" s="66">
        <v>0.25</v>
      </c>
      <c r="M11" s="66">
        <v>1.7000000000000001E-2</v>
      </c>
      <c r="N11" s="66">
        <v>1.6E-2</v>
      </c>
      <c r="O11" s="66">
        <v>1.6E-2</v>
      </c>
      <c r="P11" s="66">
        <v>1.6E-2</v>
      </c>
      <c r="Q11" s="66">
        <v>1.6E-2</v>
      </c>
    </row>
    <row r="12" spans="1:17" x14ac:dyDescent="0.35">
      <c r="B12" t="s">
        <v>30</v>
      </c>
      <c r="C12" s="62">
        <f>IS!C6/IS!C5</f>
        <v>-0.86510000896941419</v>
      </c>
      <c r="D12" s="62">
        <f>IS!D6/IS!D5</f>
        <v>-0.86951187450705458</v>
      </c>
      <c r="E12" s="62">
        <f>IS!E6/IS!E5</f>
        <v>-0.8802265749989191</v>
      </c>
      <c r="F12" s="62">
        <f>IS!F6/IS!F5</f>
        <v>-0.87256210444741045</v>
      </c>
      <c r="G12" s="62"/>
      <c r="H12" s="62"/>
      <c r="I12" s="62"/>
      <c r="J12" s="65">
        <v>-0.873</v>
      </c>
      <c r="K12" s="65">
        <v>-0.873</v>
      </c>
      <c r="L12" s="65">
        <v>-0.873</v>
      </c>
      <c r="M12" s="65">
        <v>-0.873</v>
      </c>
      <c r="N12" s="65">
        <v>-0.873</v>
      </c>
      <c r="O12" s="65">
        <v>-0.873</v>
      </c>
      <c r="P12" s="65">
        <v>-0.873</v>
      </c>
      <c r="Q12" s="65">
        <v>-0.873</v>
      </c>
    </row>
    <row r="13" spans="1:17" x14ac:dyDescent="0.35">
      <c r="B13" t="s">
        <v>31</v>
      </c>
      <c r="C13" s="62"/>
      <c r="D13" s="62"/>
      <c r="E13" s="62"/>
      <c r="F13" s="62">
        <f>Calc!F8/Calc!E9</f>
        <v>-0.15118978525827045</v>
      </c>
      <c r="G13" s="62"/>
      <c r="H13" s="62"/>
      <c r="I13" s="62"/>
      <c r="J13" s="65">
        <v>-0.109</v>
      </c>
      <c r="K13" s="65">
        <v>-0.109</v>
      </c>
      <c r="L13" s="65">
        <v>-0.109</v>
      </c>
      <c r="M13" s="65">
        <v>-0.109</v>
      </c>
      <c r="N13" s="65">
        <v>-0.109</v>
      </c>
      <c r="O13" s="65">
        <v>-0.109</v>
      </c>
      <c r="P13" s="65">
        <v>-0.109</v>
      </c>
      <c r="Q13" s="65">
        <v>-0.109</v>
      </c>
    </row>
    <row r="14" spans="1:17" x14ac:dyDescent="0.35">
      <c r="B14" t="s">
        <v>92</v>
      </c>
      <c r="C14">
        <f>IS!C13</f>
        <v>0</v>
      </c>
      <c r="D14">
        <f>IS!D13</f>
        <v>-11.4</v>
      </c>
      <c r="E14">
        <f>IS!E13</f>
        <v>0</v>
      </c>
      <c r="F14">
        <f>IS!F13</f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</row>
    <row r="15" spans="1:17" x14ac:dyDescent="0.35">
      <c r="B15" t="s">
        <v>32</v>
      </c>
      <c r="C15" s="62">
        <f>IS!C9/IS!C5</f>
        <v>-5.632792178670732E-2</v>
      </c>
      <c r="D15" s="62">
        <f>IS!D9/IS!D5</f>
        <v>-6.2308299009727452E-2</v>
      </c>
      <c r="E15" s="62">
        <f>IS!E9/IS!E5</f>
        <v>-6.3562070307432869E-2</v>
      </c>
      <c r="F15" s="62">
        <f>IS!F9/IS!F5</f>
        <v>-6.9574202436819221E-2</v>
      </c>
      <c r="G15" s="62"/>
      <c r="H15" s="62"/>
      <c r="I15" s="62"/>
      <c r="J15" s="62">
        <f>CHOOSE(MATCH($J$6,$B$7:$B$8,0),J7,J8)</f>
        <v>-0.06</v>
      </c>
      <c r="K15" s="62">
        <f t="shared" ref="K15:Q15" si="5">CHOOSE(MATCH($J$6,$B$7:$B$8,0),K7,K8)</f>
        <v>-0.05</v>
      </c>
      <c r="L15" s="62">
        <f t="shared" si="5"/>
        <v>-0.05</v>
      </c>
      <c r="M15" s="62">
        <f t="shared" si="5"/>
        <v>-0.05</v>
      </c>
      <c r="N15" s="62">
        <f t="shared" si="5"/>
        <v>-0.05</v>
      </c>
      <c r="O15" s="62">
        <f t="shared" si="5"/>
        <v>-0.05</v>
      </c>
      <c r="P15" s="62">
        <f t="shared" si="5"/>
        <v>-0.05</v>
      </c>
      <c r="Q15" s="62">
        <f t="shared" si="5"/>
        <v>-0.05</v>
      </c>
    </row>
    <row r="16" spans="1:17" x14ac:dyDescent="0.35">
      <c r="B16" t="s">
        <v>33</v>
      </c>
      <c r="C16" s="62">
        <f>IS!C19/IS!C17</f>
        <v>-0.20560747663551376</v>
      </c>
      <c r="D16" s="62">
        <f>IS!D19/IS!D17</f>
        <v>-0.16108786610878664</v>
      </c>
      <c r="E16" s="62">
        <f>IS!E19/IS!E17</f>
        <v>-0.16258741258741291</v>
      </c>
      <c r="F16" s="62">
        <f>IS!F19/IS!F17</f>
        <v>-0.17361111111111144</v>
      </c>
      <c r="G16" s="62"/>
      <c r="H16" s="62"/>
      <c r="I16" s="62"/>
      <c r="J16" s="65">
        <v>-0.2</v>
      </c>
      <c r="K16" s="65">
        <v>-0.2</v>
      </c>
      <c r="L16" s="65">
        <v>-0.2</v>
      </c>
      <c r="M16" s="65">
        <v>-0.2</v>
      </c>
      <c r="N16" s="65">
        <v>-0.2</v>
      </c>
      <c r="O16" s="65">
        <v>-0.2</v>
      </c>
      <c r="P16" s="65">
        <v>-0.2</v>
      </c>
      <c r="Q16" s="65">
        <v>-0.2</v>
      </c>
    </row>
    <row r="18" spans="1:17" x14ac:dyDescent="0.35">
      <c r="A18" s="64" t="s">
        <v>34</v>
      </c>
    </row>
    <row r="19" spans="1:17" x14ac:dyDescent="0.35">
      <c r="B19" t="s">
        <v>35</v>
      </c>
      <c r="C19">
        <f>BS!C7/IS!C6*365</f>
        <v>-62.876879212026957</v>
      </c>
      <c r="D19">
        <f>BS!D7/IS!D6*365</f>
        <v>-65.830225760935292</v>
      </c>
      <c r="E19">
        <f>BS!E7/IS!E6*365</f>
        <v>-61.983838483077065</v>
      </c>
      <c r="F19">
        <f>BS!F7/IS!F6*365</f>
        <v>-59.719741451620862</v>
      </c>
      <c r="J19" s="63">
        <v>-59.7</v>
      </c>
      <c r="K19" s="63">
        <v>-59.7</v>
      </c>
      <c r="L19" s="63">
        <v>-59.7</v>
      </c>
      <c r="M19" s="63">
        <v>-59.7</v>
      </c>
      <c r="N19" s="63">
        <v>-59.7</v>
      </c>
      <c r="O19" s="63">
        <v>-59.7</v>
      </c>
      <c r="P19" s="63">
        <v>-59.7</v>
      </c>
      <c r="Q19" s="63">
        <v>-59.7</v>
      </c>
    </row>
    <row r="20" spans="1:17" x14ac:dyDescent="0.35">
      <c r="B20" t="s">
        <v>36</v>
      </c>
      <c r="C20">
        <f>BS!C6/IS!C5*365</f>
        <v>3.4211588483272037</v>
      </c>
      <c r="D20">
        <f>BS!D6/IS!D5*365</f>
        <v>3.166681272456402</v>
      </c>
      <c r="E20">
        <f>BS!E6/IS!E5*365</f>
        <v>3.9929519609114892</v>
      </c>
      <c r="F20">
        <f>BS!F6/IS!F5*365</f>
        <v>3.9129030869246999</v>
      </c>
      <c r="J20" s="63">
        <v>3.9</v>
      </c>
      <c r="K20" s="63">
        <v>3.9</v>
      </c>
      <c r="L20" s="63">
        <v>3.9</v>
      </c>
      <c r="M20" s="63">
        <v>3.9</v>
      </c>
      <c r="N20" s="63">
        <v>3.9</v>
      </c>
      <c r="O20" s="63">
        <v>3.9</v>
      </c>
      <c r="P20" s="63">
        <v>3.9</v>
      </c>
      <c r="Q20" s="63">
        <v>3.9</v>
      </c>
    </row>
    <row r="21" spans="1:17" x14ac:dyDescent="0.35">
      <c r="B21" t="s">
        <v>37</v>
      </c>
      <c r="C21" s="67">
        <f>BS!C8/IS!C5</f>
        <v>2.4441653959996409E-2</v>
      </c>
      <c r="D21" s="67">
        <f>BS!D8/IS!D5</f>
        <v>2.5633160985014461E-2</v>
      </c>
      <c r="E21" s="67">
        <f>BS!E8/IS!E5</f>
        <v>2.1360314783586302E-2</v>
      </c>
      <c r="F21" s="67">
        <f>BS!F8/IS!F5</f>
        <v>2.2861325181900361E-2</v>
      </c>
      <c r="G21" s="67"/>
      <c r="H21" s="67"/>
      <c r="I21" s="67"/>
      <c r="J21" s="65">
        <v>2.3E-2</v>
      </c>
      <c r="K21" s="65">
        <v>2.3E-2</v>
      </c>
      <c r="L21" s="65">
        <v>2.3E-2</v>
      </c>
      <c r="M21" s="65">
        <v>2.3E-2</v>
      </c>
      <c r="N21" s="65">
        <v>2.3E-2</v>
      </c>
      <c r="O21" s="65">
        <v>2.3E-2</v>
      </c>
      <c r="P21" s="65">
        <v>2.3E-2</v>
      </c>
      <c r="Q21" s="65">
        <v>2.3E-2</v>
      </c>
    </row>
    <row r="22" spans="1:17" x14ac:dyDescent="0.35">
      <c r="B22" t="s">
        <v>38</v>
      </c>
      <c r="C22" s="67">
        <f>Calc!C7/IS!C5</f>
        <v>4.5474930487039197E-2</v>
      </c>
      <c r="D22" s="67">
        <f>Calc!D7/IS!D5</f>
        <v>4.9820348786258878E-2</v>
      </c>
      <c r="E22" s="67">
        <f>Calc!E7/IS!E5</f>
        <v>4.423401219354002E-2</v>
      </c>
      <c r="F22" s="67">
        <f>Calc!F7/IS!F5</f>
        <v>3.4270461101304515E-2</v>
      </c>
      <c r="G22" s="67"/>
      <c r="H22" s="67"/>
      <c r="I22" s="67"/>
      <c r="J22" s="65">
        <v>3.4000000000000002E-2</v>
      </c>
      <c r="K22" s="65">
        <v>3.4000000000000002E-2</v>
      </c>
      <c r="L22" s="65">
        <v>3.4000000000000002E-2</v>
      </c>
      <c r="M22" s="65">
        <v>3.4000000000000002E-2</v>
      </c>
      <c r="N22" s="65">
        <v>3.4000000000000002E-2</v>
      </c>
      <c r="O22" s="65">
        <v>3.4000000000000002E-2</v>
      </c>
      <c r="P22" s="65">
        <v>3.4000000000000002E-2</v>
      </c>
      <c r="Q22" s="65">
        <v>3.4000000000000002E-2</v>
      </c>
    </row>
    <row r="23" spans="1:17" x14ac:dyDescent="0.35">
      <c r="B23" t="s">
        <v>87</v>
      </c>
      <c r="C23">
        <f>BS!C13</f>
        <v>105.19999999999982</v>
      </c>
      <c r="D23">
        <f>BS!D13</f>
        <v>93.700000000000159</v>
      </c>
      <c r="E23">
        <f>BS!E13</f>
        <v>80.100000000000136</v>
      </c>
      <c r="F23">
        <f>BS!F13</f>
        <v>76.099999999999909</v>
      </c>
      <c r="J23" s="63">
        <v>76.099999999999994</v>
      </c>
      <c r="K23" s="63">
        <v>76.099999999999994</v>
      </c>
      <c r="L23" s="63">
        <v>76.099999999999994</v>
      </c>
      <c r="M23" s="63">
        <v>76.099999999999994</v>
      </c>
      <c r="N23" s="63">
        <v>76.099999999999994</v>
      </c>
      <c r="O23" s="63">
        <v>76.099999999999994</v>
      </c>
      <c r="P23" s="63">
        <v>76.099999999999994</v>
      </c>
      <c r="Q23" s="63">
        <v>76.099999999999994</v>
      </c>
    </row>
    <row r="25" spans="1:17" x14ac:dyDescent="0.35">
      <c r="B25" t="s">
        <v>39</v>
      </c>
      <c r="C25">
        <f>BS!C18/IS!C6*365</f>
        <v>-60.227838258164851</v>
      </c>
      <c r="D25">
        <f>BS!D18/IS!D6*365</f>
        <v>-63.457468252368479</v>
      </c>
      <c r="E25">
        <f>BS!E18/IS!E6*365</f>
        <v>-58.487498157881809</v>
      </c>
      <c r="F25">
        <f>BS!F18/IS!F6*365</f>
        <v>-58.837272413282676</v>
      </c>
      <c r="J25" s="63">
        <v>-58.8</v>
      </c>
      <c r="K25" s="63">
        <v>-58.8</v>
      </c>
      <c r="L25" s="63">
        <v>-58.8</v>
      </c>
      <c r="M25" s="63">
        <v>-58.8</v>
      </c>
      <c r="N25" s="63">
        <v>-58.8</v>
      </c>
      <c r="O25" s="63">
        <v>-58.8</v>
      </c>
      <c r="P25" s="63">
        <v>-58.8</v>
      </c>
      <c r="Q25" s="63">
        <v>-58.8</v>
      </c>
    </row>
    <row r="26" spans="1:17" x14ac:dyDescent="0.35">
      <c r="B26" t="s">
        <v>88</v>
      </c>
      <c r="C26">
        <f>BS!C29</f>
        <v>699.2</v>
      </c>
      <c r="D26">
        <f>BS!D29</f>
        <v>644.40000000000009</v>
      </c>
      <c r="E26">
        <f>BS!E29</f>
        <v>628.90000000000009</v>
      </c>
      <c r="F26">
        <f>BS!F29</f>
        <v>610.09999999999991</v>
      </c>
      <c r="J26" s="63">
        <v>610.1</v>
      </c>
      <c r="K26" s="63">
        <v>610.1</v>
      </c>
      <c r="L26" s="63">
        <v>610.1</v>
      </c>
      <c r="M26" s="63">
        <v>610.1</v>
      </c>
      <c r="N26" s="63">
        <v>610.1</v>
      </c>
      <c r="O26" s="63">
        <v>610.1</v>
      </c>
      <c r="P26" s="63">
        <v>610.1</v>
      </c>
      <c r="Q26" s="63">
        <v>610.1</v>
      </c>
    </row>
  </sheetData>
  <dataValidations disablePrompts="1" count="1">
    <dataValidation type="list" allowBlank="1" showInputMessage="1" showErrorMessage="1" sqref="J6" xr:uid="{00000000-0002-0000-0300-000000000000}">
      <formula1>$B$7:$B$8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5" x14ac:dyDescent="0.35"/>
  <cols>
    <col min="1" max="1" width="1.6328125" customWidth="1"/>
    <col min="2" max="2" width="20.6328125" customWidth="1"/>
    <col min="3" max="14" width="10.6328125" customWidth="1"/>
  </cols>
  <sheetData>
    <row r="1" spans="1:17" ht="28.5" x14ac:dyDescent="0.6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5">
      <c r="A2" s="14" t="s">
        <v>25</v>
      </c>
      <c r="B2" s="7"/>
      <c r="C2" s="11" t="s">
        <v>26</v>
      </c>
      <c r="D2" s="11" t="s">
        <v>26</v>
      </c>
      <c r="E2" s="11" t="s">
        <v>26</v>
      </c>
      <c r="F2" s="11" t="s">
        <v>26</v>
      </c>
      <c r="G2" s="11"/>
      <c r="H2" s="11"/>
      <c r="I2" s="11"/>
      <c r="J2" s="11" t="s">
        <v>27</v>
      </c>
      <c r="K2" s="11" t="s">
        <v>27</v>
      </c>
      <c r="L2" s="11" t="s">
        <v>27</v>
      </c>
      <c r="M2" s="11" t="s">
        <v>27</v>
      </c>
      <c r="N2" s="11" t="s">
        <v>27</v>
      </c>
      <c r="O2" s="11" t="s">
        <v>27</v>
      </c>
      <c r="P2" s="11" t="s">
        <v>27</v>
      </c>
      <c r="Q2" s="11" t="s">
        <v>27</v>
      </c>
    </row>
    <row r="3" spans="1:17" ht="21" x14ac:dyDescent="0.5">
      <c r="A3" s="14" t="s">
        <v>94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126</v>
      </c>
      <c r="H3" s="11" t="s">
        <v>127</v>
      </c>
      <c r="I3" s="11" t="s">
        <v>128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35">
      <c r="A5" s="64" t="s">
        <v>40</v>
      </c>
    </row>
    <row r="6" spans="1:17" x14ac:dyDescent="0.35">
      <c r="B6" t="s">
        <v>41</v>
      </c>
    </row>
    <row r="7" spans="1:17" x14ac:dyDescent="0.35">
      <c r="B7" t="s">
        <v>42</v>
      </c>
      <c r="C7" s="63">
        <v>101.4</v>
      </c>
      <c r="D7" s="63">
        <v>113.7</v>
      </c>
      <c r="E7" s="63">
        <v>102.3</v>
      </c>
      <c r="F7" s="63">
        <v>79.599999999999994</v>
      </c>
    </row>
    <row r="8" spans="1:17" x14ac:dyDescent="0.35">
      <c r="B8" t="s">
        <v>18</v>
      </c>
      <c r="E8">
        <f>IS!E12</f>
        <v>-100.8</v>
      </c>
      <c r="F8">
        <f>IS!F12</f>
        <v>-104.2</v>
      </c>
    </row>
    <row r="9" spans="1:17" x14ac:dyDescent="0.35">
      <c r="B9" t="s">
        <v>43</v>
      </c>
      <c r="E9">
        <f>BS!E11</f>
        <v>689.2</v>
      </c>
      <c r="F9">
        <f>BS!F11</f>
        <v>675.3</v>
      </c>
    </row>
    <row r="12" spans="1:17" x14ac:dyDescent="0.35">
      <c r="A12" s="64" t="s">
        <v>44</v>
      </c>
    </row>
    <row r="13" spans="1:17" x14ac:dyDescent="0.35">
      <c r="B13" t="s">
        <v>41</v>
      </c>
    </row>
    <row r="14" spans="1:17" x14ac:dyDescent="0.35">
      <c r="B14" t="s">
        <v>45</v>
      </c>
    </row>
    <row r="15" spans="1:17" x14ac:dyDescent="0.35">
      <c r="B15" t="s">
        <v>150</v>
      </c>
    </row>
    <row r="16" spans="1:17" x14ac:dyDescent="0.35">
      <c r="B16" t="s">
        <v>215</v>
      </c>
    </row>
    <row r="17" spans="1:2" x14ac:dyDescent="0.35">
      <c r="B17" t="s">
        <v>43</v>
      </c>
    </row>
    <row r="19" spans="1:2" x14ac:dyDescent="0.35">
      <c r="A19" s="64" t="s">
        <v>46</v>
      </c>
    </row>
    <row r="20" spans="1:2" x14ac:dyDescent="0.35">
      <c r="B20" t="str">
        <f>BS!B6</f>
        <v>Accounts receivable</v>
      </c>
    </row>
    <row r="21" spans="1:2" x14ac:dyDescent="0.35">
      <c r="B21" t="str">
        <f>BS!B7</f>
        <v>Inventories</v>
      </c>
    </row>
    <row r="22" spans="1:2" x14ac:dyDescent="0.35">
      <c r="B22" t="str">
        <f>BS!B8</f>
        <v>Other current assets</v>
      </c>
    </row>
    <row r="23" spans="1:2" x14ac:dyDescent="0.35">
      <c r="B23" t="str">
        <f>BS!B18</f>
        <v>Accounts payable</v>
      </c>
    </row>
    <row r="24" spans="1:2" x14ac:dyDescent="0.35">
      <c r="B24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5" x14ac:dyDescent="0.35"/>
  <cols>
    <col min="1" max="1" width="1.6328125" customWidth="1"/>
    <col min="2" max="2" width="20.6328125" customWidth="1"/>
    <col min="3" max="4" width="11.7265625" customWidth="1"/>
    <col min="5" max="14" width="10.6328125" customWidth="1"/>
  </cols>
  <sheetData>
    <row r="1" spans="1:17" ht="28.5" x14ac:dyDescent="0.6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5">
      <c r="A2" s="14" t="s">
        <v>25</v>
      </c>
      <c r="B2" s="7"/>
      <c r="C2" s="11" t="s">
        <v>26</v>
      </c>
      <c r="D2" s="11" t="s">
        <v>26</v>
      </c>
      <c r="E2" s="11" t="s">
        <v>26</v>
      </c>
      <c r="F2" s="11" t="s">
        <v>26</v>
      </c>
      <c r="G2" s="11"/>
      <c r="H2" s="11"/>
      <c r="I2" s="11"/>
      <c r="J2" s="11" t="s">
        <v>27</v>
      </c>
      <c r="K2" s="11" t="s">
        <v>27</v>
      </c>
      <c r="L2" s="11" t="s">
        <v>27</v>
      </c>
      <c r="M2" s="11" t="s">
        <v>27</v>
      </c>
      <c r="N2" s="11" t="s">
        <v>27</v>
      </c>
      <c r="O2" s="11" t="s">
        <v>27</v>
      </c>
      <c r="P2" s="11" t="s">
        <v>27</v>
      </c>
      <c r="Q2" s="11" t="s">
        <v>27</v>
      </c>
    </row>
    <row r="3" spans="1:17" ht="21" x14ac:dyDescent="0.5">
      <c r="A3" s="14" t="s">
        <v>151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126</v>
      </c>
      <c r="H3" s="11" t="s">
        <v>127</v>
      </c>
      <c r="I3" s="11" t="s">
        <v>128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35">
      <c r="B5" t="s">
        <v>49</v>
      </c>
      <c r="C5" s="63">
        <v>2229.8000000000002</v>
      </c>
      <c r="D5" s="63">
        <v>2282.1999999999998</v>
      </c>
      <c r="E5" s="63">
        <v>2312.6999999999998</v>
      </c>
      <c r="F5" s="63">
        <v>2322.6999999999998</v>
      </c>
    </row>
    <row r="6" spans="1:17" x14ac:dyDescent="0.35">
      <c r="B6" t="s">
        <v>50</v>
      </c>
      <c r="C6" s="63">
        <v>-1929</v>
      </c>
      <c r="D6" s="63">
        <v>-1984.3999999999999</v>
      </c>
      <c r="E6" s="63">
        <v>-2035.7</v>
      </c>
      <c r="F6" s="63">
        <v>-2026.7</v>
      </c>
    </row>
    <row r="7" spans="1:17" x14ac:dyDescent="0.35">
      <c r="B7" t="s">
        <v>51</v>
      </c>
      <c r="C7">
        <f>SUM(C5:C6)</f>
        <v>300.80000000000018</v>
      </c>
      <c r="D7">
        <f t="shared" ref="D7:F7" si="1">SUM(D5:D6)</f>
        <v>297.79999999999995</v>
      </c>
      <c r="E7">
        <f t="shared" si="1"/>
        <v>276.99999999999977</v>
      </c>
      <c r="F7">
        <f t="shared" si="1"/>
        <v>295.99999999999977</v>
      </c>
    </row>
    <row r="9" spans="1:17" x14ac:dyDescent="0.35">
      <c r="B9" t="s">
        <v>52</v>
      </c>
      <c r="C9" s="63">
        <v>-125.6</v>
      </c>
      <c r="D9" s="63">
        <v>-142.19999999999999</v>
      </c>
      <c r="E9" s="63">
        <v>-147</v>
      </c>
      <c r="F9" s="63">
        <v>-161.6</v>
      </c>
    </row>
    <row r="10" spans="1:17" x14ac:dyDescent="0.35">
      <c r="B10" t="s">
        <v>53</v>
      </c>
      <c r="C10">
        <f>C7+C9</f>
        <v>175.20000000000019</v>
      </c>
      <c r="D10">
        <f t="shared" ref="D10:F10" si="2">D7+D9</f>
        <v>155.59999999999997</v>
      </c>
      <c r="E10">
        <f t="shared" si="2"/>
        <v>129.99999999999977</v>
      </c>
      <c r="F10">
        <f t="shared" si="2"/>
        <v>134.39999999999978</v>
      </c>
    </row>
    <row r="12" spans="1:17" x14ac:dyDescent="0.35">
      <c r="B12" t="s">
        <v>18</v>
      </c>
      <c r="C12" s="63">
        <v>-91.6</v>
      </c>
      <c r="D12" s="63">
        <v>-94.6</v>
      </c>
      <c r="E12" s="63">
        <v>-100.8</v>
      </c>
      <c r="F12" s="63">
        <v>-104.2</v>
      </c>
    </row>
    <row r="13" spans="1:17" x14ac:dyDescent="0.35">
      <c r="B13" t="s">
        <v>91</v>
      </c>
      <c r="C13" s="63">
        <v>0</v>
      </c>
      <c r="D13" s="63">
        <v>-11.4</v>
      </c>
      <c r="E13" s="63">
        <v>0</v>
      </c>
      <c r="F13" s="63">
        <v>0</v>
      </c>
    </row>
    <row r="14" spans="1:17" x14ac:dyDescent="0.35">
      <c r="B14" t="s">
        <v>83</v>
      </c>
      <c r="C14">
        <f>C10-C12-C13</f>
        <v>266.80000000000018</v>
      </c>
      <c r="D14">
        <f t="shared" ref="D14:F14" si="3">D10-D12-D13</f>
        <v>261.59999999999997</v>
      </c>
      <c r="E14">
        <f t="shared" si="3"/>
        <v>230.79999999999978</v>
      </c>
      <c r="F14">
        <f t="shared" si="3"/>
        <v>238.5999999999998</v>
      </c>
    </row>
    <row r="16" spans="1:17" x14ac:dyDescent="0.35">
      <c r="B16" t="s">
        <v>54</v>
      </c>
      <c r="C16" s="63">
        <v>-14.7</v>
      </c>
      <c r="D16" s="63">
        <v>-12.2</v>
      </c>
      <c r="E16" s="63">
        <v>-15.6</v>
      </c>
      <c r="F16" s="63">
        <v>-19.2</v>
      </c>
    </row>
    <row r="17" spans="2:6" x14ac:dyDescent="0.35">
      <c r="B17" t="s">
        <v>55</v>
      </c>
      <c r="C17">
        <f>SUM(C10,C16:C16)</f>
        <v>160.5000000000002</v>
      </c>
      <c r="D17">
        <f>SUM(D10,D16:D16)</f>
        <v>143.39999999999998</v>
      </c>
      <c r="E17">
        <f>SUM(E10,E16:E16)</f>
        <v>114.39999999999978</v>
      </c>
      <c r="F17">
        <f>SUM(F10,F16:F16)</f>
        <v>115.19999999999978</v>
      </c>
    </row>
    <row r="19" spans="2:6" x14ac:dyDescent="0.35">
      <c r="B19" t="s">
        <v>56</v>
      </c>
      <c r="C19" s="63">
        <v>-33</v>
      </c>
      <c r="D19" s="63">
        <v>-23.1</v>
      </c>
      <c r="E19" s="63">
        <v>-18.600000000000001</v>
      </c>
      <c r="F19" s="63">
        <v>-20</v>
      </c>
    </row>
    <row r="20" spans="2:6" x14ac:dyDescent="0.35">
      <c r="B20" t="s">
        <v>45</v>
      </c>
      <c r="C20">
        <f>C17+C19</f>
        <v>127.5000000000002</v>
      </c>
      <c r="D20">
        <f t="shared" ref="D20:F20" si="4">D17+D19</f>
        <v>120.29999999999998</v>
      </c>
      <c r="E20">
        <f t="shared" si="4"/>
        <v>95.799999999999784</v>
      </c>
      <c r="F20">
        <f t="shared" si="4"/>
        <v>95.199999999999775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" sqref="F5"/>
    </sheetView>
  </sheetViews>
  <sheetFormatPr defaultRowHeight="14.5" x14ac:dyDescent="0.35"/>
  <cols>
    <col min="1" max="1" width="1.6328125" customWidth="1"/>
    <col min="2" max="2" width="20.6328125" customWidth="1"/>
    <col min="3" max="14" width="10.6328125" customWidth="1"/>
  </cols>
  <sheetData>
    <row r="1" spans="1:17" ht="28.5" x14ac:dyDescent="0.6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5">
      <c r="A2" s="14" t="s">
        <v>25</v>
      </c>
      <c r="B2" s="7"/>
      <c r="C2" s="11" t="s">
        <v>26</v>
      </c>
      <c r="D2" s="11" t="s">
        <v>26</v>
      </c>
      <c r="E2" s="11" t="s">
        <v>26</v>
      </c>
      <c r="F2" s="11" t="s">
        <v>26</v>
      </c>
      <c r="G2" s="11"/>
      <c r="H2" s="11"/>
      <c r="I2" s="11"/>
      <c r="J2" s="11" t="s">
        <v>27</v>
      </c>
      <c r="K2" s="11" t="s">
        <v>27</v>
      </c>
      <c r="L2" s="11" t="s">
        <v>27</v>
      </c>
      <c r="M2" s="11" t="s">
        <v>27</v>
      </c>
      <c r="N2" s="11" t="s">
        <v>27</v>
      </c>
      <c r="O2" s="11" t="s">
        <v>27</v>
      </c>
      <c r="P2" s="11" t="s">
        <v>27</v>
      </c>
      <c r="Q2" s="11" t="s">
        <v>27</v>
      </c>
    </row>
    <row r="3" spans="1:17" ht="21" x14ac:dyDescent="0.5">
      <c r="A3" s="14" t="s">
        <v>152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126</v>
      </c>
      <c r="H3" s="11" t="s">
        <v>127</v>
      </c>
      <c r="I3" s="11" t="s">
        <v>128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35">
      <c r="B5" t="s">
        <v>57</v>
      </c>
      <c r="C5" s="63">
        <v>51.8</v>
      </c>
      <c r="D5" s="63">
        <v>34.299999999999997</v>
      </c>
      <c r="E5" s="63">
        <v>65.900000000000006</v>
      </c>
      <c r="F5" s="63">
        <v>50.1</v>
      </c>
    </row>
    <row r="6" spans="1:17" x14ac:dyDescent="0.35">
      <c r="B6" t="s">
        <v>58</v>
      </c>
      <c r="C6" s="63">
        <v>20.9</v>
      </c>
      <c r="D6" s="63">
        <v>19.8</v>
      </c>
      <c r="E6" s="63">
        <v>25.3</v>
      </c>
      <c r="F6" s="63">
        <v>24.9</v>
      </c>
    </row>
    <row r="7" spans="1:17" x14ac:dyDescent="0.35">
      <c r="B7" t="s">
        <v>59</v>
      </c>
      <c r="C7" s="63">
        <v>332.3</v>
      </c>
      <c r="D7" s="63">
        <v>357.9</v>
      </c>
      <c r="E7" s="63">
        <v>345.7</v>
      </c>
      <c r="F7" s="63">
        <v>331.6</v>
      </c>
    </row>
    <row r="8" spans="1:17" x14ac:dyDescent="0.35">
      <c r="B8" t="s">
        <v>60</v>
      </c>
      <c r="C8" s="63">
        <v>54.5</v>
      </c>
      <c r="D8" s="63">
        <v>58.5</v>
      </c>
      <c r="E8" s="63">
        <v>49.400000000000034</v>
      </c>
      <c r="F8" s="63">
        <v>53.099999999999966</v>
      </c>
    </row>
    <row r="9" spans="1:17" x14ac:dyDescent="0.35">
      <c r="B9" t="s">
        <v>61</v>
      </c>
      <c r="C9">
        <f t="shared" ref="C9:D9" si="1">SUM(C5:C8)</f>
        <v>459.5</v>
      </c>
      <c r="D9">
        <f t="shared" si="1"/>
        <v>470.5</v>
      </c>
      <c r="E9">
        <f>SUM(E5:E8)</f>
        <v>486.3</v>
      </c>
      <c r="F9">
        <f>SUM(F5:F8)</f>
        <v>459.7</v>
      </c>
    </row>
    <row r="11" spans="1:17" x14ac:dyDescent="0.35">
      <c r="B11" t="s">
        <v>62</v>
      </c>
      <c r="C11" s="63">
        <v>661.6</v>
      </c>
      <c r="D11" s="63">
        <v>692.1</v>
      </c>
      <c r="E11" s="63">
        <v>689.2</v>
      </c>
      <c r="F11" s="63">
        <v>675.3</v>
      </c>
    </row>
    <row r="12" spans="1:17" x14ac:dyDescent="0.35">
      <c r="B12" t="s">
        <v>63</v>
      </c>
      <c r="C12" s="63">
        <v>864.9</v>
      </c>
      <c r="D12" s="63">
        <v>876.5</v>
      </c>
      <c r="E12" s="63">
        <v>892.8</v>
      </c>
      <c r="F12" s="63">
        <v>931.5</v>
      </c>
    </row>
    <row r="13" spans="1:17" x14ac:dyDescent="0.35">
      <c r="B13" t="s">
        <v>84</v>
      </c>
      <c r="C13" s="63">
        <v>105.19999999999982</v>
      </c>
      <c r="D13" s="63">
        <v>93.700000000000159</v>
      </c>
      <c r="E13" s="63">
        <v>80.100000000000136</v>
      </c>
      <c r="F13" s="63">
        <v>76.099999999999909</v>
      </c>
    </row>
    <row r="14" spans="1:17" x14ac:dyDescent="0.35">
      <c r="B14" t="s">
        <v>17</v>
      </c>
      <c r="C14" s="63">
        <v>0</v>
      </c>
      <c r="D14" s="63">
        <v>0</v>
      </c>
      <c r="E14" s="63">
        <v>0</v>
      </c>
      <c r="F14" s="63">
        <v>0</v>
      </c>
    </row>
    <row r="15" spans="1:17" x14ac:dyDescent="0.35">
      <c r="B15" t="s">
        <v>64</v>
      </c>
      <c r="C15">
        <f>SUM(C9,C11:C14)</f>
        <v>2091.1999999999998</v>
      </c>
      <c r="D15">
        <f t="shared" ref="D15:F15" si="2">SUM(D9,D11:D14)</f>
        <v>2132.8000000000002</v>
      </c>
      <c r="E15">
        <f t="shared" si="2"/>
        <v>2148.4000000000005</v>
      </c>
      <c r="F15">
        <f t="shared" si="2"/>
        <v>2142.6</v>
      </c>
    </row>
    <row r="17" spans="2:6" x14ac:dyDescent="0.35">
      <c r="B17" t="s">
        <v>65</v>
      </c>
      <c r="C17" s="63">
        <v>163.4</v>
      </c>
      <c r="D17" s="63">
        <v>163.1</v>
      </c>
      <c r="E17" s="63">
        <v>202.1</v>
      </c>
      <c r="F17" s="63">
        <v>155.4</v>
      </c>
    </row>
    <row r="18" spans="2:6" x14ac:dyDescent="0.35">
      <c r="B18" t="s">
        <v>66</v>
      </c>
      <c r="C18" s="63">
        <v>318.3</v>
      </c>
      <c r="D18" s="63">
        <v>345</v>
      </c>
      <c r="E18" s="63">
        <v>326.2</v>
      </c>
      <c r="F18" s="63">
        <v>326.7</v>
      </c>
    </row>
    <row r="19" spans="2:6" x14ac:dyDescent="0.35">
      <c r="B19" t="s">
        <v>67</v>
      </c>
      <c r="C19">
        <f>SUM(C17:C18)</f>
        <v>481.70000000000005</v>
      </c>
      <c r="D19">
        <f t="shared" ref="D19:F19" si="3">SUM(D17:D18)</f>
        <v>508.1</v>
      </c>
      <c r="E19">
        <f t="shared" si="3"/>
        <v>528.29999999999995</v>
      </c>
      <c r="F19">
        <f t="shared" si="3"/>
        <v>482.1</v>
      </c>
    </row>
    <row r="21" spans="2:6" x14ac:dyDescent="0.35">
      <c r="B21" t="s">
        <v>85</v>
      </c>
      <c r="C21" s="63">
        <v>249.3</v>
      </c>
      <c r="D21" s="63">
        <v>235.9</v>
      </c>
      <c r="E21" s="63">
        <v>223.79999999999998</v>
      </c>
      <c r="F21" s="63">
        <v>197.10000000000002</v>
      </c>
    </row>
    <row r="22" spans="2:6" x14ac:dyDescent="0.35">
      <c r="B22" t="str">
        <f>LBO!E36</f>
        <v>First Lien</v>
      </c>
      <c r="C22" s="63"/>
      <c r="D22" s="63"/>
      <c r="E22" s="63"/>
      <c r="F22" s="63"/>
    </row>
    <row r="23" spans="2:6" x14ac:dyDescent="0.35">
      <c r="B23" t="str">
        <f>LBO!E37</f>
        <v>Second Lien</v>
      </c>
      <c r="C23" s="63"/>
      <c r="D23" s="63"/>
      <c r="E23" s="63"/>
      <c r="F23" s="63"/>
    </row>
    <row r="24" spans="2:6" x14ac:dyDescent="0.35">
      <c r="B24" t="str">
        <f>LBO!E38</f>
        <v>Unitranche</v>
      </c>
      <c r="C24" s="63"/>
      <c r="D24" s="63"/>
      <c r="E24" s="63"/>
      <c r="F24" s="63"/>
    </row>
    <row r="25" spans="2:6" x14ac:dyDescent="0.35">
      <c r="B25" t="s">
        <v>198</v>
      </c>
      <c r="C25" s="63"/>
      <c r="D25" s="63"/>
      <c r="E25" s="63"/>
      <c r="F25" s="63"/>
    </row>
    <row r="26" spans="2:6" x14ac:dyDescent="0.35">
      <c r="B26" t="s">
        <v>200</v>
      </c>
      <c r="C26" s="63"/>
      <c r="D26" s="63"/>
      <c r="E26" s="63"/>
      <c r="F26" s="63"/>
    </row>
    <row r="27" spans="2:6" x14ac:dyDescent="0.35">
      <c r="B27" t="str">
        <f>LBO!E40</f>
        <v>Mezannine</v>
      </c>
      <c r="C27" s="63"/>
      <c r="D27" s="63"/>
      <c r="E27" s="63"/>
      <c r="F27" s="63"/>
    </row>
    <row r="28" spans="2:6" x14ac:dyDescent="0.35">
      <c r="B28" t="str">
        <f>LBO!E41</f>
        <v>Prefs</v>
      </c>
      <c r="C28" s="63"/>
      <c r="D28" s="63"/>
      <c r="E28" s="63"/>
      <c r="F28" s="63"/>
    </row>
    <row r="29" spans="2:6" x14ac:dyDescent="0.35">
      <c r="B29" t="s">
        <v>86</v>
      </c>
      <c r="C29" s="63">
        <v>699.2</v>
      </c>
      <c r="D29" s="63">
        <v>644.40000000000009</v>
      </c>
      <c r="E29" s="63">
        <v>628.90000000000009</v>
      </c>
      <c r="F29" s="63">
        <v>610.09999999999991</v>
      </c>
    </row>
    <row r="30" spans="2:6" x14ac:dyDescent="0.35">
      <c r="B30" t="s">
        <v>68</v>
      </c>
      <c r="C30">
        <f>SUM(C19,C21:C29)</f>
        <v>1430.2</v>
      </c>
      <c r="D30">
        <f>SUM(D19,D21:D29)</f>
        <v>1388.4</v>
      </c>
      <c r="E30">
        <f>SUM(E19,E21:E29)</f>
        <v>1381</v>
      </c>
      <c r="F30">
        <f>SUM(F19,F21:F29)</f>
        <v>1289.3</v>
      </c>
    </row>
    <row r="32" spans="2:6" x14ac:dyDescent="0.35">
      <c r="B32" t="s">
        <v>44</v>
      </c>
      <c r="C32" s="63">
        <v>661</v>
      </c>
      <c r="D32" s="63">
        <v>744.4</v>
      </c>
      <c r="E32" s="63">
        <v>767.4</v>
      </c>
      <c r="F32" s="63">
        <v>853.3</v>
      </c>
    </row>
    <row r="33" spans="2:17" x14ac:dyDescent="0.35">
      <c r="B33" t="s">
        <v>69</v>
      </c>
      <c r="C33">
        <f>SUM(C30,C32)</f>
        <v>2091.1999999999998</v>
      </c>
      <c r="D33">
        <f t="shared" ref="D33:F33" si="4">SUM(D30,D32)</f>
        <v>2132.8000000000002</v>
      </c>
      <c r="E33">
        <f t="shared" si="4"/>
        <v>2148.4</v>
      </c>
      <c r="F33">
        <f t="shared" si="4"/>
        <v>2142.6</v>
      </c>
    </row>
    <row r="35" spans="2:17" x14ac:dyDescent="0.35">
      <c r="B35" t="s">
        <v>70</v>
      </c>
      <c r="C35" s="68" t="str">
        <f>IF(C33=C15,"OK",C15-C33)</f>
        <v>OK</v>
      </c>
      <c r="D35" s="68" t="str">
        <f>IF(D33=D15,"OK",D15-D33)</f>
        <v>OK</v>
      </c>
      <c r="E35" s="68" t="str">
        <f>IF(E33=E15,"OK",E15-E33)</f>
        <v>OK</v>
      </c>
      <c r="F35" s="68" t="str">
        <f>IF(F33=F15,"OK",F15-F33)</f>
        <v>OK</v>
      </c>
      <c r="I35" s="68"/>
      <c r="J35" s="68"/>
      <c r="K35" s="68"/>
      <c r="L35" s="68"/>
      <c r="M35" s="68"/>
      <c r="N35" s="68"/>
      <c r="O35" s="68"/>
      <c r="P35" s="68"/>
      <c r="Q35" s="68"/>
    </row>
    <row r="40" spans="2:17" x14ac:dyDescent="0.35">
      <c r="G40" s="68"/>
      <c r="H40" s="68"/>
      <c r="I40" s="6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5" x14ac:dyDescent="0.35"/>
  <cols>
    <col min="1" max="1" width="1.6328125" customWidth="1"/>
    <col min="2" max="2" width="33.08984375" bestFit="1" customWidth="1"/>
    <col min="3" max="14" width="10.6328125" customWidth="1"/>
  </cols>
  <sheetData>
    <row r="1" spans="1:17" ht="28.5" x14ac:dyDescent="0.6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5">
      <c r="A2" s="14" t="s">
        <v>25</v>
      </c>
      <c r="B2" s="7"/>
      <c r="C2" s="11" t="s">
        <v>26</v>
      </c>
      <c r="D2" s="11" t="s">
        <v>26</v>
      </c>
      <c r="E2" s="11" t="s">
        <v>26</v>
      </c>
      <c r="F2" s="11" t="s">
        <v>26</v>
      </c>
      <c r="G2" s="11"/>
      <c r="H2" s="11"/>
      <c r="I2" s="11"/>
      <c r="J2" s="11" t="s">
        <v>27</v>
      </c>
      <c r="K2" s="11" t="s">
        <v>27</v>
      </c>
      <c r="L2" s="11" t="s">
        <v>27</v>
      </c>
      <c r="M2" s="11" t="s">
        <v>27</v>
      </c>
      <c r="N2" s="11" t="s">
        <v>27</v>
      </c>
      <c r="O2" s="11" t="s">
        <v>27</v>
      </c>
      <c r="P2" s="11" t="s">
        <v>27</v>
      </c>
      <c r="Q2" s="11" t="s">
        <v>27</v>
      </c>
    </row>
    <row r="3" spans="1:17" ht="21" x14ac:dyDescent="0.5">
      <c r="A3" s="14" t="s">
        <v>153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126</v>
      </c>
      <c r="H3" s="11" t="s">
        <v>127</v>
      </c>
      <c r="I3" s="11" t="s">
        <v>128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35">
      <c r="B5" t="str">
        <f>IS!B14</f>
        <v xml:space="preserve"> EBITDA</v>
      </c>
    </row>
    <row r="6" spans="1:17" x14ac:dyDescent="0.35">
      <c r="B6" t="s">
        <v>156</v>
      </c>
    </row>
    <row r="7" spans="1:17" x14ac:dyDescent="0.35">
      <c r="B7" t="s">
        <v>157</v>
      </c>
    </row>
    <row r="8" spans="1:17" x14ac:dyDescent="0.35">
      <c r="B8" t="s">
        <v>71</v>
      </c>
    </row>
    <row r="9" spans="1:17" x14ac:dyDescent="0.35">
      <c r="B9" t="s">
        <v>72</v>
      </c>
    </row>
    <row r="10" spans="1:17" x14ac:dyDescent="0.35">
      <c r="B10" t="s">
        <v>73</v>
      </c>
    </row>
    <row r="11" spans="1:17" x14ac:dyDescent="0.35">
      <c r="B11" t="s">
        <v>74</v>
      </c>
    </row>
    <row r="13" spans="1:17" x14ac:dyDescent="0.35">
      <c r="B13" t="s">
        <v>75</v>
      </c>
    </row>
    <row r="14" spans="1:17" x14ac:dyDescent="0.35">
      <c r="B14" t="s">
        <v>76</v>
      </c>
    </row>
    <row r="16" spans="1:17" x14ac:dyDescent="0.35">
      <c r="B16" t="s">
        <v>77</v>
      </c>
    </row>
    <row r="17" spans="2:2" x14ac:dyDescent="0.35">
      <c r="B17" t="s">
        <v>93</v>
      </c>
    </row>
    <row r="18" spans="2:2" x14ac:dyDescent="0.35">
      <c r="B18" t="str">
        <f>"Inc (dec) in "&amp;BS!B22</f>
        <v>Inc (dec) in First Lien</v>
      </c>
    </row>
    <row r="19" spans="2:2" x14ac:dyDescent="0.35">
      <c r="B19" t="str">
        <f>"Inc (dec) in "&amp;BS!B23</f>
        <v>Inc (dec) in Second Lien</v>
      </c>
    </row>
    <row r="20" spans="2:2" x14ac:dyDescent="0.35">
      <c r="B20" t="str">
        <f>"Inc (dec) in "&amp;BS!B24</f>
        <v>Inc (dec) in Unitranche</v>
      </c>
    </row>
    <row r="21" spans="2:2" x14ac:dyDescent="0.35">
      <c r="B21" t="str">
        <f>"Inc (dec) in "&amp;BS!B25</f>
        <v>Inc (dec) in Bridge loan</v>
      </c>
    </row>
    <row r="22" spans="2:2" x14ac:dyDescent="0.35">
      <c r="B22" t="str">
        <f>"Inc (dec) in "&amp;BS!B26</f>
        <v>Inc (dec) in Lease liability</v>
      </c>
    </row>
    <row r="23" spans="2:2" x14ac:dyDescent="0.35">
      <c r="B23" t="s">
        <v>216</v>
      </c>
    </row>
    <row r="24" spans="2:2" x14ac:dyDescent="0.35">
      <c r="B24" t="s">
        <v>78</v>
      </c>
    </row>
    <row r="26" spans="2:2" x14ac:dyDescent="0.35">
      <c r="B26" t="s">
        <v>48</v>
      </c>
    </row>
    <row r="27" spans="2:2" x14ac:dyDescent="0.35">
      <c r="B27" t="s">
        <v>79</v>
      </c>
    </row>
    <row r="28" spans="2:2" x14ac:dyDescent="0.35">
      <c r="B28" t="s">
        <v>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5" x14ac:dyDescent="0.35"/>
  <cols>
    <col min="1" max="1" width="1.6328125" customWidth="1"/>
    <col min="2" max="2" width="36.36328125" bestFit="1" customWidth="1"/>
    <col min="3" max="14" width="10.6328125" customWidth="1"/>
  </cols>
  <sheetData>
    <row r="1" spans="1:17" ht="28.5" x14ac:dyDescent="0.65">
      <c r="A1" s="5" t="str">
        <f>"Debenhams LBO - "&amp;TEXT(case,0)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5">
      <c r="A2" s="14" t="s">
        <v>25</v>
      </c>
      <c r="B2" s="7"/>
      <c r="C2" s="11" t="s">
        <v>26</v>
      </c>
      <c r="D2" s="11" t="s">
        <v>26</v>
      </c>
      <c r="E2" s="11" t="s">
        <v>26</v>
      </c>
      <c r="F2" s="11" t="s">
        <v>26</v>
      </c>
      <c r="G2" s="11"/>
      <c r="H2" s="11"/>
      <c r="I2" s="11"/>
      <c r="J2" s="11" t="s">
        <v>27</v>
      </c>
      <c r="K2" s="11" t="s">
        <v>27</v>
      </c>
      <c r="L2" s="11" t="s">
        <v>27</v>
      </c>
      <c r="M2" s="11" t="s">
        <v>27</v>
      </c>
      <c r="N2" s="11" t="s">
        <v>27</v>
      </c>
      <c r="O2" s="11" t="s">
        <v>27</v>
      </c>
      <c r="P2" s="11" t="s">
        <v>27</v>
      </c>
      <c r="Q2" s="11" t="s">
        <v>27</v>
      </c>
    </row>
    <row r="3" spans="1:17" ht="21" x14ac:dyDescent="0.5">
      <c r="A3" s="14" t="s">
        <v>85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126</v>
      </c>
      <c r="H3" s="11" t="s">
        <v>127</v>
      </c>
      <c r="I3" s="11" t="s">
        <v>128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35">
      <c r="A5" s="64" t="s">
        <v>155</v>
      </c>
    </row>
    <row r="6" spans="1:17" x14ac:dyDescent="0.35">
      <c r="B6" t="str">
        <f>BS!B22</f>
        <v>First Lien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</row>
    <row r="7" spans="1:17" x14ac:dyDescent="0.35">
      <c r="B7" t="str">
        <f>BS!B23</f>
        <v>Second Lien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1</v>
      </c>
    </row>
    <row r="8" spans="1:17" x14ac:dyDescent="0.35">
      <c r="B8" t="str">
        <f>BS!B24</f>
        <v>Unitranche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</row>
    <row r="10" spans="1:17" x14ac:dyDescent="0.35">
      <c r="A10" s="64" t="s">
        <v>142</v>
      </c>
    </row>
    <row r="11" spans="1:17" x14ac:dyDescent="0.35">
      <c r="B11" t="s">
        <v>129</v>
      </c>
    </row>
    <row r="12" spans="1:17" x14ac:dyDescent="0.35">
      <c r="B12" t="s">
        <v>130</v>
      </c>
    </row>
    <row r="13" spans="1:17" x14ac:dyDescent="0.35">
      <c r="B13" t="s">
        <v>131</v>
      </c>
    </row>
    <row r="14" spans="1:17" x14ac:dyDescent="0.35">
      <c r="B14" t="s">
        <v>213</v>
      </c>
    </row>
    <row r="15" spans="1:17" x14ac:dyDescent="0.35">
      <c r="B15" t="s">
        <v>214</v>
      </c>
    </row>
    <row r="16" spans="1:17" x14ac:dyDescent="0.35">
      <c r="B16" t="s">
        <v>216</v>
      </c>
    </row>
    <row r="17" spans="2:2" x14ac:dyDescent="0.35">
      <c r="B17" t="s">
        <v>133</v>
      </c>
    </row>
    <row r="19" spans="2:2" x14ac:dyDescent="0.35">
      <c r="B19" t="s">
        <v>134</v>
      </c>
    </row>
    <row r="20" spans="2:2" x14ac:dyDescent="0.35">
      <c r="B20" t="str">
        <f>B6</f>
        <v>First Lien</v>
      </c>
    </row>
    <row r="21" spans="2:2" x14ac:dyDescent="0.35">
      <c r="B21" t="str">
        <f>B7</f>
        <v>Second Lien</v>
      </c>
    </row>
    <row r="22" spans="2:2" x14ac:dyDescent="0.35">
      <c r="B22" t="str">
        <f>B8</f>
        <v>Unitranche</v>
      </c>
    </row>
    <row r="23" spans="2:2" x14ac:dyDescent="0.35">
      <c r="B23" t="s">
        <v>145</v>
      </c>
    </row>
    <row r="25" spans="2:2" x14ac:dyDescent="0.35">
      <c r="B25" t="s">
        <v>65</v>
      </c>
    </row>
    <row r="26" spans="2:2" x14ac:dyDescent="0.35">
      <c r="B26" t="s">
        <v>41</v>
      </c>
    </row>
    <row r="27" spans="2:2" x14ac:dyDescent="0.35">
      <c r="B27" t="s">
        <v>146</v>
      </c>
    </row>
    <row r="28" spans="2:2" x14ac:dyDescent="0.35">
      <c r="B28" t="s">
        <v>43</v>
      </c>
    </row>
    <row r="29" spans="2:2" x14ac:dyDescent="0.35">
      <c r="B29" t="s">
        <v>54</v>
      </c>
    </row>
    <row r="31" spans="2:2" x14ac:dyDescent="0.35">
      <c r="B31" t="s">
        <v>147</v>
      </c>
    </row>
    <row r="33" spans="2:17" x14ac:dyDescent="0.35">
      <c r="B33" t="s">
        <v>109</v>
      </c>
    </row>
    <row r="34" spans="2:17" x14ac:dyDescent="0.35">
      <c r="B34" t="s">
        <v>135</v>
      </c>
    </row>
    <row r="35" spans="2:17" x14ac:dyDescent="0.35">
      <c r="B35" t="s">
        <v>132</v>
      </c>
    </row>
    <row r="36" spans="2:17" x14ac:dyDescent="0.35">
      <c r="B36" t="s">
        <v>136</v>
      </c>
      <c r="C36" t="s">
        <v>210</v>
      </c>
      <c r="E36" s="84">
        <v>1</v>
      </c>
      <c r="F36" t="s">
        <v>211</v>
      </c>
    </row>
    <row r="37" spans="2:17" x14ac:dyDescent="0.35">
      <c r="B37" t="s">
        <v>137</v>
      </c>
    </row>
    <row r="38" spans="2:17" x14ac:dyDescent="0.35">
      <c r="B38" t="s">
        <v>54</v>
      </c>
    </row>
    <row r="39" spans="2:17" x14ac:dyDescent="0.35">
      <c r="J39" s="62"/>
      <c r="K39" s="62"/>
      <c r="L39" s="62"/>
      <c r="M39" s="62"/>
      <c r="N39" s="62"/>
      <c r="O39" s="62"/>
      <c r="P39" s="62"/>
      <c r="Q39" s="62"/>
    </row>
    <row r="40" spans="2:17" x14ac:dyDescent="0.35">
      <c r="B40" t="s">
        <v>138</v>
      </c>
    </row>
    <row r="42" spans="2:17" x14ac:dyDescent="0.35">
      <c r="B42" t="s">
        <v>110</v>
      </c>
    </row>
    <row r="43" spans="2:17" x14ac:dyDescent="0.35">
      <c r="B43" t="s">
        <v>135</v>
      </c>
    </row>
    <row r="44" spans="2:17" x14ac:dyDescent="0.35">
      <c r="B44" t="s">
        <v>132</v>
      </c>
    </row>
    <row r="45" spans="2:17" x14ac:dyDescent="0.35">
      <c r="B45" t="s">
        <v>136</v>
      </c>
      <c r="C45" t="s">
        <v>210</v>
      </c>
      <c r="E45" s="84">
        <v>1</v>
      </c>
      <c r="F45" t="s">
        <v>211</v>
      </c>
    </row>
    <row r="46" spans="2:17" x14ac:dyDescent="0.35">
      <c r="B46" t="s">
        <v>137</v>
      </c>
    </row>
    <row r="47" spans="2:17" x14ac:dyDescent="0.35">
      <c r="B47" t="s">
        <v>54</v>
      </c>
    </row>
    <row r="49" spans="2:17" x14ac:dyDescent="0.35">
      <c r="B49" t="s">
        <v>212</v>
      </c>
    </row>
    <row r="51" spans="2:17" x14ac:dyDescent="0.35">
      <c r="B51" t="s">
        <v>191</v>
      </c>
    </row>
    <row r="52" spans="2:17" x14ac:dyDescent="0.35">
      <c r="B52" t="s">
        <v>41</v>
      </c>
    </row>
    <row r="53" spans="2:17" x14ac:dyDescent="0.35">
      <c r="B53" t="s">
        <v>139</v>
      </c>
    </row>
    <row r="54" spans="2:17" x14ac:dyDescent="0.35">
      <c r="B54" t="s">
        <v>136</v>
      </c>
      <c r="C54" t="s">
        <v>210</v>
      </c>
      <c r="E54" s="84">
        <v>1</v>
      </c>
      <c r="F54" t="s">
        <v>211</v>
      </c>
    </row>
    <row r="55" spans="2:17" x14ac:dyDescent="0.35">
      <c r="B55" t="s">
        <v>43</v>
      </c>
    </row>
    <row r="56" spans="2:17" x14ac:dyDescent="0.35">
      <c r="B56" t="s">
        <v>54</v>
      </c>
      <c r="J56" s="68"/>
      <c r="K56" s="68"/>
      <c r="L56" s="68"/>
      <c r="M56" s="68"/>
      <c r="N56" s="68"/>
      <c r="O56" s="68"/>
      <c r="P56" s="68"/>
      <c r="Q56" s="68"/>
    </row>
    <row r="58" spans="2:17" x14ac:dyDescent="0.35">
      <c r="B58" t="s">
        <v>198</v>
      </c>
    </row>
    <row r="59" spans="2:17" x14ac:dyDescent="0.35">
      <c r="B59" t="s">
        <v>41</v>
      </c>
    </row>
    <row r="60" spans="2:17" x14ac:dyDescent="0.35">
      <c r="B60" t="s">
        <v>139</v>
      </c>
    </row>
    <row r="61" spans="2:17" x14ac:dyDescent="0.35">
      <c r="B61" t="s">
        <v>43</v>
      </c>
    </row>
    <row r="62" spans="2:17" x14ac:dyDescent="0.35">
      <c r="B62" t="s">
        <v>54</v>
      </c>
      <c r="J62" s="68"/>
      <c r="K62" s="68"/>
      <c r="L62" s="68"/>
      <c r="M62" s="68"/>
      <c r="N62" s="68"/>
      <c r="O62" s="68"/>
      <c r="P62" s="68"/>
      <c r="Q62" s="68"/>
    </row>
    <row r="64" spans="2:17" x14ac:dyDescent="0.35">
      <c r="B64" t="s">
        <v>200</v>
      </c>
    </row>
    <row r="65" spans="2:9" x14ac:dyDescent="0.35">
      <c r="B65" t="s">
        <v>41</v>
      </c>
    </row>
    <row r="66" spans="2:9" x14ac:dyDescent="0.35">
      <c r="B66" t="s">
        <v>206</v>
      </c>
    </row>
    <row r="67" spans="2:9" x14ac:dyDescent="0.35">
      <c r="B67" t="s">
        <v>207</v>
      </c>
    </row>
    <row r="68" spans="2:9" x14ac:dyDescent="0.35">
      <c r="B68" t="s">
        <v>208</v>
      </c>
    </row>
    <row r="69" spans="2:9" x14ac:dyDescent="0.35">
      <c r="B69" t="s">
        <v>43</v>
      </c>
      <c r="I69" s="80"/>
    </row>
    <row r="71" spans="2:9" x14ac:dyDescent="0.35">
      <c r="B71" t="s">
        <v>120</v>
      </c>
    </row>
    <row r="72" spans="2:9" x14ac:dyDescent="0.35">
      <c r="B72" t="s">
        <v>140</v>
      </c>
    </row>
    <row r="73" spans="2:9" x14ac:dyDescent="0.35">
      <c r="B73" t="s">
        <v>141</v>
      </c>
    </row>
    <row r="74" spans="2:9" x14ac:dyDescent="0.35">
      <c r="B74" t="s">
        <v>43</v>
      </c>
    </row>
    <row r="76" spans="2:9" x14ac:dyDescent="0.35">
      <c r="B76" t="s">
        <v>143</v>
      </c>
    </row>
    <row r="77" spans="2:9" x14ac:dyDescent="0.35">
      <c r="B77" t="s">
        <v>41</v>
      </c>
    </row>
    <row r="78" spans="2:9" x14ac:dyDescent="0.35">
      <c r="B78" t="s">
        <v>144</v>
      </c>
    </row>
    <row r="79" spans="2:9" x14ac:dyDescent="0.35">
      <c r="B79" t="s">
        <v>43</v>
      </c>
    </row>
    <row r="81" spans="1:17" x14ac:dyDescent="0.35">
      <c r="B81" t="s">
        <v>148</v>
      </c>
    </row>
    <row r="82" spans="1:17" x14ac:dyDescent="0.35">
      <c r="B82" t="s">
        <v>149</v>
      </c>
    </row>
    <row r="84" spans="1:17" x14ac:dyDescent="0.35">
      <c r="A84" s="64" t="s">
        <v>158</v>
      </c>
    </row>
    <row r="85" spans="1:17" x14ac:dyDescent="0.35">
      <c r="B85" t="s">
        <v>159</v>
      </c>
    </row>
    <row r="86" spans="1:17" x14ac:dyDescent="0.35">
      <c r="B86" t="s">
        <v>160</v>
      </c>
    </row>
    <row r="87" spans="1:17" x14ac:dyDescent="0.35">
      <c r="B87" t="s">
        <v>161</v>
      </c>
    </row>
    <row r="89" spans="1:17" x14ac:dyDescent="0.35">
      <c r="B89" t="s">
        <v>162</v>
      </c>
      <c r="J89" s="69"/>
      <c r="K89" s="69"/>
      <c r="L89" s="69"/>
      <c r="M89" s="69"/>
      <c r="N89" s="69"/>
      <c r="O89" s="69"/>
      <c r="P89" s="69"/>
      <c r="Q89" s="69"/>
    </row>
    <row r="90" spans="1:17" x14ac:dyDescent="0.35">
      <c r="B90" t="s">
        <v>163</v>
      </c>
      <c r="J90" s="69"/>
      <c r="K90" s="69"/>
      <c r="L90" s="69"/>
      <c r="M90" s="69"/>
      <c r="N90" s="69"/>
      <c r="O90" s="69"/>
      <c r="P90" s="69"/>
      <c r="Q90" s="69"/>
    </row>
    <row r="91" spans="1:17" x14ac:dyDescent="0.35">
      <c r="B91" t="s">
        <v>164</v>
      </c>
      <c r="J91" s="69"/>
      <c r="K91" s="69"/>
      <c r="L91" s="69"/>
      <c r="M91" s="69"/>
      <c r="N91" s="69"/>
      <c r="O91" s="69"/>
      <c r="P91" s="69"/>
      <c r="Q91" s="69"/>
    </row>
    <row r="92" spans="1:17" x14ac:dyDescent="0.35">
      <c r="B92" t="s">
        <v>166</v>
      </c>
      <c r="J92" s="69"/>
      <c r="K92" s="69"/>
      <c r="L92" s="69"/>
      <c r="M92" s="69"/>
      <c r="N92" s="69"/>
      <c r="O92" s="69"/>
      <c r="P92" s="69"/>
      <c r="Q92" s="69"/>
    </row>
    <row r="93" spans="1:17" x14ac:dyDescent="0.35">
      <c r="B93" t="s">
        <v>165</v>
      </c>
      <c r="J93" s="67"/>
      <c r="K93" s="67"/>
      <c r="L93" s="67"/>
      <c r="M93" s="67"/>
      <c r="N93" s="67"/>
      <c r="O93" s="67"/>
      <c r="P93" s="67"/>
      <c r="Q93" s="67"/>
    </row>
    <row r="94" spans="1:17" x14ac:dyDescent="0.35">
      <c r="K94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Welcome</vt:lpstr>
      <vt:lpstr>Info</vt:lpstr>
      <vt:lpstr>LBO</vt:lpstr>
      <vt:lpstr>Input</vt:lpstr>
      <vt:lpstr>Calc</vt:lpstr>
      <vt:lpstr>IS</vt:lpstr>
      <vt:lpstr>BS</vt:lpstr>
      <vt:lpstr>CFS</vt:lpstr>
      <vt:lpstr>Debt</vt:lpstr>
      <vt:lpstr>case</vt:lpstr>
      <vt:lpstr>date</vt:lpstr>
      <vt:lpstr>switch</vt:lpstr>
      <vt:lpstr>Switch2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 training</dc:creator>
  <cp:lastModifiedBy>Chris Cordone</cp:lastModifiedBy>
  <cp:lastPrinted>2016-08-02T18:28:31Z</cp:lastPrinted>
  <dcterms:created xsi:type="dcterms:W3CDTF">2016-02-03T14:06:14Z</dcterms:created>
  <dcterms:modified xsi:type="dcterms:W3CDTF">2022-01-25T06:38:50Z</dcterms:modified>
</cp:coreProperties>
</file>