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/>
  <mc:AlternateContent xmlns:mc="http://schemas.openxmlformats.org/markup-compatibility/2006">
    <mc:Choice Requires="x15">
      <x15ac:absPath xmlns:x15ac="http://schemas.microsoft.com/office/spreadsheetml/2010/11/ac" url="https://ibhero-my.sharepoint.com/personal/deborah_taylor_fe_training/Documents/Deborah Taylor/D Taylor/Useful Materials/Materials Development/Research Analyst/Financial Forecasting Re-records/12. Case Model Segment Revenues and Margins/"/>
    </mc:Choice>
  </mc:AlternateContent>
  <xr:revisionPtr revIDLastSave="0" documentId="8_{C76BF097-1F40-45CC-B2F7-4331B2CBFAF4}" xr6:coauthVersionLast="47" xr6:coauthVersionMax="47" xr10:uidLastSave="{00000000-0000-0000-0000-000000000000}"/>
  <bookViews>
    <workbookView xWindow="-98" yWindow="-98" windowWidth="21795" windowHeight="13875" xr2:uid="{00000000-000D-0000-FFFF-FFFF00000000}"/>
  </bookViews>
  <sheets>
    <sheet name="Welcome" sheetId="1" r:id="rId1"/>
    <sheet name="Info" sheetId="6" r:id="rId2"/>
    <sheet name="IS" sheetId="2" r:id="rId3"/>
    <sheet name="BS" sheetId="7" r:id="rId4"/>
    <sheet name="CFS" sheetId="8" r:id="rId5"/>
    <sheet name="Segments" sheetId="11" r:id="rId6"/>
    <sheet name="Scenarios" sheetId="12" r:id="rId7"/>
    <sheet name="Benchmark vs Consensus" sheetId="13" r:id="rId8"/>
  </sheets>
  <definedNames>
    <definedName name="IQ_DNTM" hidden="1">700000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LATESTK" hidden="1">1000</definedName>
    <definedName name="IQ_LATESTQ" hidden="1">500</definedName>
    <definedName name="IQ_LTMMONTH" hidden="1">120000</definedName>
    <definedName name="IQ_MTD" hidden="1">800000</definedName>
    <definedName name="IQ_NAMES_REVISION_DATE_" hidden="1">"01/29/2016 15:32:18"</definedName>
    <definedName name="IQ_QTD" hidden="1">750000</definedName>
    <definedName name="IQ_TODAY" hidden="1">0</definedName>
    <definedName name="IQ_YTDMONTH" hidden="1">130000</definedName>
    <definedName name="Switch">Info!$N$10</definedName>
  </definedNames>
  <calcPr calcId="191029" calcMode="autoNoTable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6" i="7" l="1"/>
  <c r="E5" i="7"/>
  <c r="D2" i="8"/>
  <c r="E2" i="8"/>
  <c r="F2" i="8"/>
  <c r="G2" i="8"/>
  <c r="H2" i="8"/>
  <c r="I2" i="8"/>
  <c r="J2" i="8"/>
  <c r="C2" i="8"/>
  <c r="D6" i="7"/>
  <c r="D5" i="7"/>
  <c r="G18" i="11"/>
  <c r="H18" i="11"/>
  <c r="I18" i="11"/>
  <c r="J18" i="11"/>
  <c r="F18" i="11"/>
  <c r="G31" i="11"/>
  <c r="H31" i="11"/>
  <c r="I31" i="11"/>
  <c r="J31" i="11"/>
  <c r="F31" i="11"/>
  <c r="F21" i="11"/>
  <c r="G30" i="11"/>
  <c r="H30" i="11"/>
  <c r="I30" i="11" s="1"/>
  <c r="J30" i="11" s="1"/>
  <c r="F30" i="11"/>
  <c r="G19" i="11"/>
  <c r="F20" i="11"/>
  <c r="F19" i="11"/>
  <c r="G5" i="11"/>
  <c r="H5" i="11"/>
  <c r="I5" i="11"/>
  <c r="J5" i="11"/>
  <c r="F5" i="11"/>
  <c r="G40" i="11"/>
  <c r="G41" i="11" s="1"/>
  <c r="G42" i="11" s="1"/>
  <c r="F42" i="11"/>
  <c r="F41" i="11"/>
  <c r="F40" i="11"/>
  <c r="E14" i="2"/>
  <c r="D14" i="2"/>
  <c r="E35" i="11"/>
  <c r="D35" i="11"/>
  <c r="E34" i="11"/>
  <c r="D34" i="11"/>
  <c r="K20" i="11"/>
  <c r="K30" i="11"/>
  <c r="K41" i="11"/>
  <c r="K19" i="11"/>
  <c r="K31" i="11"/>
  <c r="K40" i="11"/>
  <c r="K42" i="11"/>
  <c r="K18" i="11"/>
  <c r="K21" i="11"/>
  <c r="G20" i="11" l="1"/>
  <c r="G21" i="11" s="1"/>
  <c r="H19" i="11"/>
  <c r="H40" i="11"/>
  <c r="C1" i="2"/>
  <c r="C1" i="8" s="1"/>
  <c r="C2" i="7"/>
  <c r="F13" i="12"/>
  <c r="E6" i="11"/>
  <c r="E41" i="11"/>
  <c r="D41" i="11"/>
  <c r="E40" i="11"/>
  <c r="D40" i="11"/>
  <c r="D2" i="2"/>
  <c r="D1" i="2" s="1"/>
  <c r="E20" i="11"/>
  <c r="E10" i="2" s="1"/>
  <c r="D20" i="11"/>
  <c r="D10" i="2" s="1"/>
  <c r="H20" i="11" l="1"/>
  <c r="H21" i="11" s="1"/>
  <c r="I19" i="11"/>
  <c r="H41" i="11"/>
  <c r="H42" i="11" s="1"/>
  <c r="I40" i="11"/>
  <c r="D1" i="7"/>
  <c r="D1" i="11"/>
  <c r="D1" i="8"/>
  <c r="C1" i="11"/>
  <c r="C1" i="7"/>
  <c r="E39" i="11"/>
  <c r="E42" i="11"/>
  <c r="E5" i="11" s="1"/>
  <c r="G30" i="12"/>
  <c r="H30" i="12"/>
  <c r="I30" i="12"/>
  <c r="J30" i="12"/>
  <c r="G28" i="12"/>
  <c r="H28" i="12"/>
  <c r="I28" i="12"/>
  <c r="J28" i="12"/>
  <c r="F30" i="12"/>
  <c r="F28" i="12"/>
  <c r="G23" i="12"/>
  <c r="H23" i="12"/>
  <c r="I23" i="12"/>
  <c r="J23" i="12"/>
  <c r="G25" i="12"/>
  <c r="H25" i="12"/>
  <c r="I25" i="12"/>
  <c r="J25" i="12"/>
  <c r="F25" i="12"/>
  <c r="F23" i="12"/>
  <c r="G18" i="12"/>
  <c r="H18" i="12"/>
  <c r="I18" i="12"/>
  <c r="J18" i="12"/>
  <c r="G20" i="12"/>
  <c r="H20" i="12"/>
  <c r="I20" i="12"/>
  <c r="J20" i="12"/>
  <c r="F20" i="12"/>
  <c r="F18" i="12"/>
  <c r="G15" i="12"/>
  <c r="H15" i="12"/>
  <c r="I15" i="12"/>
  <c r="J15" i="12"/>
  <c r="G13" i="12"/>
  <c r="H13" i="12"/>
  <c r="I13" i="12"/>
  <c r="J13" i="12"/>
  <c r="F15" i="12"/>
  <c r="E15" i="11"/>
  <c r="D15" i="11"/>
  <c r="E13" i="11"/>
  <c r="E10" i="11"/>
  <c r="D10" i="11"/>
  <c r="E9" i="7"/>
  <c r="E15" i="2"/>
  <c r="D15" i="2"/>
  <c r="D7" i="7"/>
  <c r="E13" i="7"/>
  <c r="D13" i="7"/>
  <c r="E7" i="2"/>
  <c r="F7" i="2" s="1"/>
  <c r="G7" i="2" s="1"/>
  <c r="H7" i="2" s="1"/>
  <c r="I7" i="2" s="1"/>
  <c r="J7" i="2" s="1"/>
  <c r="D7" i="2"/>
  <c r="E6" i="2"/>
  <c r="H5" i="2"/>
  <c r="I5" i="2" s="1"/>
  <c r="J5" i="2" s="1"/>
  <c r="D2" i="11"/>
  <c r="E31" i="11"/>
  <c r="E32" i="11" s="1"/>
  <c r="D31" i="11"/>
  <c r="D32" i="11" s="1"/>
  <c r="E23" i="11"/>
  <c r="E13" i="2" s="1"/>
  <c r="D23" i="11"/>
  <c r="D13" i="2" s="1"/>
  <c r="E22" i="11"/>
  <c r="D22" i="11"/>
  <c r="E2" i="2"/>
  <c r="J19" i="11" l="1"/>
  <c r="J20" i="11" s="1"/>
  <c r="J21" i="11" s="1"/>
  <c r="I20" i="11"/>
  <c r="I21" i="11" s="1"/>
  <c r="J40" i="11"/>
  <c r="J41" i="11" s="1"/>
  <c r="J42" i="11" s="1"/>
  <c r="I41" i="11"/>
  <c r="I42" i="11" s="1"/>
  <c r="F2" i="2"/>
  <c r="E1" i="2"/>
  <c r="D12" i="2"/>
  <c r="D21" i="11"/>
  <c r="E12" i="2"/>
  <c r="E21" i="11"/>
  <c r="E1" i="11" l="1"/>
  <c r="E1" i="7"/>
  <c r="E1" i="8"/>
  <c r="G2" i="2"/>
  <c r="F1" i="2"/>
  <c r="F1" i="11" l="1"/>
  <c r="F1" i="8"/>
  <c r="F1" i="7"/>
  <c r="F1" i="12"/>
  <c r="H2" i="2"/>
  <c r="H2" i="12" s="1"/>
  <c r="G1" i="2"/>
  <c r="F8" i="12"/>
  <c r="F10" i="12"/>
  <c r="F2" i="13"/>
  <c r="G2" i="13"/>
  <c r="E8" i="11"/>
  <c r="D14" i="11"/>
  <c r="E14" i="11"/>
  <c r="E10" i="7"/>
  <c r="E12" i="7"/>
  <c r="E7" i="7"/>
  <c r="E14" i="7"/>
  <c r="D12" i="7"/>
  <c r="D9" i="7"/>
  <c r="D10" i="7"/>
  <c r="D14" i="7"/>
  <c r="G2" i="12"/>
  <c r="G2" i="11"/>
  <c r="F2" i="11"/>
  <c r="F2" i="12"/>
  <c r="E2" i="11"/>
  <c r="D76" i="7"/>
  <c r="E76" i="7"/>
  <c r="D77" i="7"/>
  <c r="E77" i="7"/>
  <c r="D78" i="7"/>
  <c r="E78" i="7"/>
  <c r="D79" i="7"/>
  <c r="E79" i="7"/>
  <c r="D80" i="7"/>
  <c r="E80" i="7"/>
  <c r="D81" i="7"/>
  <c r="E81" i="7"/>
  <c r="B80" i="7"/>
  <c r="B81" i="7"/>
  <c r="B79" i="7"/>
  <c r="B77" i="7"/>
  <c r="B78" i="7"/>
  <c r="B76" i="7"/>
  <c r="E73" i="7"/>
  <c r="E68" i="7"/>
  <c r="E59" i="7"/>
  <c r="H2" i="11" l="1"/>
  <c r="H2" i="13"/>
  <c r="D82" i="7"/>
  <c r="G1" i="7"/>
  <c r="G1" i="12"/>
  <c r="G1" i="11"/>
  <c r="G1" i="8"/>
  <c r="I2" i="2"/>
  <c r="H1" i="2"/>
  <c r="G10" i="12"/>
  <c r="G8" i="12"/>
  <c r="H8" i="12"/>
  <c r="H10" i="12"/>
  <c r="E82" i="7"/>
  <c r="E45" i="7"/>
  <c r="D45" i="7"/>
  <c r="E41" i="7"/>
  <c r="D41" i="7"/>
  <c r="E27" i="7"/>
  <c r="D27" i="7"/>
  <c r="E30" i="7"/>
  <c r="E64" i="7" s="1"/>
  <c r="D30" i="7"/>
  <c r="E9" i="11" s="1"/>
  <c r="D2" i="7"/>
  <c r="H1" i="7" l="1"/>
  <c r="H1" i="12"/>
  <c r="H1" i="11"/>
  <c r="H1" i="8"/>
  <c r="J2" i="2"/>
  <c r="I1" i="2"/>
  <c r="I2" i="12"/>
  <c r="I2" i="11"/>
  <c r="I8" i="12"/>
  <c r="I10" i="12"/>
  <c r="D33" i="7"/>
  <c r="E33" i="7"/>
  <c r="D47" i="7"/>
  <c r="D50" i="7" s="1"/>
  <c r="D35" i="7"/>
  <c r="E35" i="7"/>
  <c r="E47" i="7"/>
  <c r="E50" i="7" s="1"/>
  <c r="E52" i="7" s="1"/>
  <c r="E2" i="7"/>
  <c r="A7" i="1"/>
  <c r="J2" i="11" l="1"/>
  <c r="J1" i="2"/>
  <c r="J1" i="8" s="1"/>
  <c r="J2" i="12"/>
  <c r="I1" i="7"/>
  <c r="I1" i="12"/>
  <c r="I1" i="11"/>
  <c r="I1" i="8"/>
  <c r="J8" i="12"/>
  <c r="J10" i="12"/>
  <c r="D52" i="7"/>
  <c r="F2" i="7"/>
  <c r="A1" i="6"/>
  <c r="J1" i="7" l="1"/>
  <c r="J1" i="12"/>
  <c r="J1" i="11"/>
  <c r="G2" i="7"/>
  <c r="H2" i="7" l="1"/>
  <c r="I2" i="7" l="1"/>
  <c r="J2" i="7" l="1"/>
  <c r="D11" i="2" l="1"/>
  <c r="D8" i="7" s="1"/>
  <c r="D7" i="11"/>
  <c r="D24" i="11"/>
  <c r="D26" i="11"/>
  <c r="D27" i="11" s="1"/>
  <c r="D11" i="7" l="1"/>
  <c r="E11" i="2"/>
  <c r="E8" i="7" s="1"/>
  <c r="E7" i="11"/>
  <c r="E24" i="11"/>
  <c r="E11" i="7" l="1"/>
  <c r="E26" i="11"/>
  <c r="E27" i="11" s="1"/>
  <c r="D17" i="2" l="1"/>
  <c r="D20" i="2"/>
  <c r="D5" i="2" s="1"/>
  <c r="D23" i="2" l="1"/>
  <c r="E17" i="2"/>
  <c r="E20" i="2" s="1"/>
  <c r="E23" i="2" l="1"/>
  <c r="E5" i="2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tc={2483B63D-B4B3-40BC-BFD0-3D8797906C69}</author>
  </authors>
  <commentList>
    <comment ref="E27" authorId="0" shapeId="0" xr:uid="{2483B63D-B4B3-40BC-BFD0-3D8797906C69}">
      <text>
        <t>[Threaded comment]
Your version of Excel allows you to read this threaded comment; however, any edits to it will get removed if the file is opened in a newer version of Excel. Learn more: https://go.microsoft.com/fwlink/?linkid=870924
Comment:
    16.9% at constant FX</t>
      </text>
    </comment>
  </commentList>
</comments>
</file>

<file path=xl/sharedStrings.xml><?xml version="1.0" encoding="utf-8"?>
<sst xmlns="http://schemas.openxmlformats.org/spreadsheetml/2006/main" count="211" uniqueCount="158">
  <si>
    <t>Features</t>
  </si>
  <si>
    <t>◦</t>
  </si>
  <si>
    <t>Model Details</t>
  </si>
  <si>
    <t>Company name</t>
  </si>
  <si>
    <t>Date</t>
  </si>
  <si>
    <t>Currency</t>
  </si>
  <si>
    <t>Units</t>
  </si>
  <si>
    <t>Analyst Name</t>
  </si>
  <si>
    <t>Circular Switch</t>
  </si>
  <si>
    <t>Millions</t>
  </si>
  <si>
    <t>Firstname Lastname</t>
  </si>
  <si>
    <t>This document is for training purposes only. Financial Edge accepts no responsibility or liability for any other purpose or usage.</t>
  </si>
  <si>
    <t>Formatting</t>
  </si>
  <si>
    <t>Input</t>
  </si>
  <si>
    <t>Hard coded</t>
  </si>
  <si>
    <t>Formulas</t>
  </si>
  <si>
    <t>Workout Information</t>
  </si>
  <si>
    <t>Tab Structure</t>
  </si>
  <si>
    <t>Tab name here</t>
  </si>
  <si>
    <t>Tab description here</t>
  </si>
  <si>
    <t>www.fe.training</t>
  </si>
  <si>
    <t>Revenue</t>
  </si>
  <si>
    <t>Operating profit</t>
  </si>
  <si>
    <t>Net interest income/(expense)</t>
  </si>
  <si>
    <t>Profit before taxation</t>
  </si>
  <si>
    <t>Taxation</t>
  </si>
  <si>
    <t>Profit for the year</t>
  </si>
  <si>
    <t>Basic shares outstanding</t>
  </si>
  <si>
    <t>Basic EPS (£)</t>
  </si>
  <si>
    <t>Dividend per share (£)</t>
  </si>
  <si>
    <t>Cash and cash equivalents</t>
  </si>
  <si>
    <t>Other current assets</t>
  </si>
  <si>
    <t>Trade and other receivables</t>
  </si>
  <si>
    <t>Inventories</t>
  </si>
  <si>
    <t>Total current assets</t>
  </si>
  <si>
    <t>Property, plant and equipment</t>
  </si>
  <si>
    <t>Intangible assets</t>
  </si>
  <si>
    <t>Other non current assets</t>
  </si>
  <si>
    <t>Total non current assets</t>
  </si>
  <si>
    <t>Total assets</t>
  </si>
  <si>
    <t>Bank overdrafts and borrowings</t>
  </si>
  <si>
    <t>Trade and other payables</t>
  </si>
  <si>
    <t>Other current liabilities</t>
  </si>
  <si>
    <t>Income tax liabilities</t>
  </si>
  <si>
    <t>Total current liabilities</t>
  </si>
  <si>
    <t>Long term debt (NCI put option)</t>
  </si>
  <si>
    <t>Other non current liabilities</t>
  </si>
  <si>
    <t>Total non-current liabilities</t>
  </si>
  <si>
    <t>Total liabilities</t>
  </si>
  <si>
    <t>Total equity</t>
  </si>
  <si>
    <t>Total liabilities and equity</t>
  </si>
  <si>
    <t>Net income</t>
  </si>
  <si>
    <t>Add back amortisation</t>
  </si>
  <si>
    <t>Change in other non current assets</t>
  </si>
  <si>
    <t>Cash flow from operating activities</t>
  </si>
  <si>
    <t>Capital expenditure</t>
  </si>
  <si>
    <t>Cash flow from investing activities</t>
  </si>
  <si>
    <t>Change in debt</t>
  </si>
  <si>
    <t>Dividends</t>
  </si>
  <si>
    <t>Cash flow from financing activities</t>
  </si>
  <si>
    <t>Net cash flow</t>
  </si>
  <si>
    <t>Income Statement</t>
  </si>
  <si>
    <t>Balance Sheet</t>
  </si>
  <si>
    <t>Cash Flow Statement</t>
  </si>
  <si>
    <t>£m</t>
  </si>
  <si>
    <t>EBITDA</t>
  </si>
  <si>
    <t>Depreciation</t>
  </si>
  <si>
    <t>Amortization</t>
  </si>
  <si>
    <t>Impairment Charges</t>
  </si>
  <si>
    <t xml:space="preserve">EBIT </t>
  </si>
  <si>
    <t>Licensing segment</t>
  </si>
  <si>
    <t xml:space="preserve">EBIT  </t>
  </si>
  <si>
    <t>Fragrance licence</t>
  </si>
  <si>
    <t>Balance sheet check</t>
  </si>
  <si>
    <t>Revenue growth rate %</t>
  </si>
  <si>
    <t>EBITDA margin %</t>
  </si>
  <si>
    <t>Depreciation % of beginning net PP&amp;E</t>
  </si>
  <si>
    <t>Amortization % of beginning net intangibles</t>
  </si>
  <si>
    <t>Effective tax rate</t>
  </si>
  <si>
    <t>Dividend per share growth rate %</t>
  </si>
  <si>
    <t>Basic WASO</t>
  </si>
  <si>
    <t>Balance Sheet Assumptions</t>
  </si>
  <si>
    <t>Capex % revenues</t>
  </si>
  <si>
    <t>Purchases of intangibles % revenues</t>
  </si>
  <si>
    <t>Receivable days</t>
  </si>
  <si>
    <t>Inventory days</t>
  </si>
  <si>
    <t>Other current assets % revenues</t>
  </si>
  <si>
    <t>Other non current assets % revenues</t>
  </si>
  <si>
    <t>Payable days</t>
  </si>
  <si>
    <t>Other current liabilities % revenues</t>
  </si>
  <si>
    <t>Income taxes payable % tax expense</t>
  </si>
  <si>
    <t>Other non current liabilities % revenues</t>
  </si>
  <si>
    <t>Net Debt and Interest Assumptions</t>
  </si>
  <si>
    <t>Long term debt issuance/ (repayment)</t>
  </si>
  <si>
    <t>Short term borrowings interest rate</t>
  </si>
  <si>
    <t>Long term debt interest rate</t>
  </si>
  <si>
    <t>Cash interest rate</t>
  </si>
  <si>
    <t>Calculations</t>
  </si>
  <si>
    <t>Beginning PP&amp;E</t>
  </si>
  <si>
    <t>Capex</t>
  </si>
  <si>
    <t>Impairment</t>
  </si>
  <si>
    <t>Ending PP&amp;E</t>
  </si>
  <si>
    <t>Beginning intangible assets</t>
  </si>
  <si>
    <t xml:space="preserve">Purchases of intangibles </t>
  </si>
  <si>
    <t>Ending intangible assets</t>
  </si>
  <si>
    <t>Beginning fragrance licence</t>
  </si>
  <si>
    <t>Ending fragrance licence</t>
  </si>
  <si>
    <t>Beginning equity</t>
  </si>
  <si>
    <t>Ending equity</t>
  </si>
  <si>
    <t>Operating working capital</t>
  </si>
  <si>
    <t>Net operating working capital</t>
  </si>
  <si>
    <t>Add back depreciation and impairment</t>
  </si>
  <si>
    <t>Change in operating working capital</t>
  </si>
  <si>
    <t>Change in non current liabilities</t>
  </si>
  <si>
    <t>Purchase of intangibles</t>
  </si>
  <si>
    <t>Ending short term debt</t>
  </si>
  <si>
    <t>Ending long term debt</t>
  </si>
  <si>
    <t>Interest expense</t>
  </si>
  <si>
    <t>Interest income</t>
  </si>
  <si>
    <t>Scenarios</t>
  </si>
  <si>
    <t>Segments</t>
  </si>
  <si>
    <t>Income Statement Assumptions</t>
  </si>
  <si>
    <t>Retail/wholesale segment</t>
  </si>
  <si>
    <t>Scenario in model</t>
  </si>
  <si>
    <t>Downside case</t>
  </si>
  <si>
    <t>Retail/Wholesale Segment</t>
  </si>
  <si>
    <t>Base case</t>
  </si>
  <si>
    <t>Upside case</t>
  </si>
  <si>
    <t>EBITDA Margin</t>
  </si>
  <si>
    <t>Benchmark vs Consensus</t>
  </si>
  <si>
    <t>Forecast vs consensus</t>
  </si>
  <si>
    <t>Revenue consensus</t>
  </si>
  <si>
    <t>EBITDA consensus</t>
  </si>
  <si>
    <t>Net income consensus</t>
  </si>
  <si>
    <t>Capex consensus</t>
  </si>
  <si>
    <t>Retail revenue</t>
  </si>
  <si>
    <t>Wholesale revenue</t>
  </si>
  <si>
    <t>Segment revenue</t>
  </si>
  <si>
    <t>Total retail units</t>
  </si>
  <si>
    <t>Retail revenue / average units in year</t>
  </si>
  <si>
    <t xml:space="preserve">Retail revenue growth  </t>
  </si>
  <si>
    <t>Revenue growth per average unit</t>
  </si>
  <si>
    <t>Retail revenue growth rate</t>
  </si>
  <si>
    <t>Wholesale revenue growth rate</t>
  </si>
  <si>
    <t>Wholesale revenue growth</t>
  </si>
  <si>
    <t>Retail revenue growth</t>
  </si>
  <si>
    <t>Retail revenue build</t>
  </si>
  <si>
    <t>End</t>
  </si>
  <si>
    <t>Operating profit margin</t>
  </si>
  <si>
    <t>Other non-recurring items</t>
  </si>
  <si>
    <t>Impairment charges</t>
  </si>
  <si>
    <t>Burberry plc</t>
  </si>
  <si>
    <t>GBP</t>
  </si>
  <si>
    <t>Segment Forecasting</t>
  </si>
  <si>
    <t>Ending cash and cash equivalents</t>
  </si>
  <si>
    <t>Beginning cash, net of short term debt</t>
  </si>
  <si>
    <t>Ending cash, net of short term debt</t>
  </si>
  <si>
    <t>Interest Calculation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</si>
</sst>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164" formatCode="_(&quot;£&quot;* #,##0_);_(&quot;£&quot;* \(#,##0\);_(&quot;£&quot;* &quot;-&quot;_);_(@_)"/>
    <numFmt numFmtId="165" formatCode="_(* #,##0_);_(* \(#,##0\);_(* &quot;-&quot;_);_(@_)"/>
    <numFmt numFmtId="166" formatCode="_(&quot;£&quot;* #,##0.00_);_(&quot;£&quot;* \(#,##0.00\);_(&quot;£&quot;* &quot;-&quot;??_);_(@_)"/>
    <numFmt numFmtId="167" formatCode="_(* #,##0.00_);_(* \(#,##0.00\);_(* &quot;-&quot;??_);_(@_)"/>
    <numFmt numFmtId="168" formatCode="[$-409]d\-mmm\-yy;@"/>
    <numFmt numFmtId="169" formatCode="#,##0.0_);\(#,##0.0\)\,0.0_);@_)"/>
    <numFmt numFmtId="170" formatCode="#,##0.0\ \x_);\(#,##0.0\ \x\);"/>
    <numFmt numFmtId="171" formatCode="0.0%_);\(0.0%\)"/>
    <numFmt numFmtId="172" formatCode="#,##0.0_);\(#,##0.0\);0.0_);@_)"/>
    <numFmt numFmtId="173" formatCode="#,##0.0\ \x_);\(#,##0.0\ \x\)"/>
  </numFmts>
  <fonts count="33" x14ac:knownFonts="1">
    <font>
      <sz val="1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22"/>
      <color theme="0"/>
      <name val="Calibri Light"/>
      <family val="2"/>
      <scheme val="major"/>
    </font>
    <font>
      <u/>
      <sz val="11"/>
      <color theme="10"/>
      <name val="Calibri"/>
      <family val="2"/>
      <scheme val="minor"/>
    </font>
  </fonts>
  <fills count="38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DBEEFD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</borders>
  <cellStyleXfs count="60">
    <xf numFmtId="172" fontId="0" fillId="0" borderId="0"/>
    <xf numFmtId="0" fontId="6" fillId="0" borderId="0" applyNumberFormat="0" applyFill="0" applyBorder="0" applyAlignment="0" applyProtection="0"/>
    <xf numFmtId="167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1" applyNumberFormat="0" applyFill="0" applyAlignment="0" applyProtection="0"/>
    <xf numFmtId="0" fontId="12" fillId="0" borderId="2" applyNumberFormat="0" applyFill="0" applyAlignment="0" applyProtection="0"/>
    <xf numFmtId="0" fontId="13" fillId="0" borderId="3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9" borderId="4" applyNumberFormat="0" applyAlignment="0" applyProtection="0"/>
    <xf numFmtId="0" fontId="18" fillId="10" borderId="5" applyNumberFormat="0" applyAlignment="0" applyProtection="0"/>
    <xf numFmtId="0" fontId="19" fillId="10" borderId="4" applyNumberFormat="0" applyAlignment="0" applyProtection="0"/>
    <xf numFmtId="0" fontId="20" fillId="0" borderId="6" applyNumberFormat="0" applyFill="0" applyAlignment="0" applyProtection="0"/>
    <xf numFmtId="0" fontId="21" fillId="11" borderId="7" applyNumberFormat="0" applyAlignment="0" applyProtection="0"/>
    <xf numFmtId="0" fontId="22" fillId="0" borderId="0" applyNumberFormat="0" applyFill="0" applyBorder="0" applyAlignment="0" applyProtection="0"/>
    <xf numFmtId="0" fontId="9" fillId="12" borderId="8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9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5" fillId="36" borderId="0" applyNumberFormat="0" applyBorder="0" applyAlignment="0" applyProtection="0"/>
    <xf numFmtId="0" fontId="31" fillId="2" borderId="0" applyNumberFormat="0">
      <alignment horizontal="left"/>
    </xf>
    <xf numFmtId="0" fontId="8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5" borderId="0" applyNumberFormat="0" applyFont="0" applyAlignment="0" applyProtection="0">
      <alignment vertical="top"/>
    </xf>
    <xf numFmtId="168" fontId="28" fillId="3" borderId="0">
      <alignment horizontal="center"/>
    </xf>
    <xf numFmtId="169" fontId="27" fillId="2" borderId="0" applyNumberFormat="0" applyBorder="0" applyProtection="0">
      <alignment horizontal="center"/>
    </xf>
    <xf numFmtId="168" fontId="29" fillId="0" borderId="0" applyFont="0" applyFill="0" applyBorder="0" applyAlignment="0" applyProtection="0"/>
    <xf numFmtId="173" fontId="9" fillId="0" borderId="0" applyFont="0" applyFill="0" applyBorder="0" applyAlignment="0" applyProtection="0"/>
    <xf numFmtId="171" fontId="29" fillId="2" borderId="0" applyFont="0" applyFill="0" applyBorder="0" applyAlignment="0" applyProtection="0"/>
    <xf numFmtId="169" fontId="30" fillId="2" borderId="0" applyNumberFormat="0" applyFill="0" applyBorder="0" applyAlignment="0" applyProtection="0"/>
    <xf numFmtId="172" fontId="32" fillId="0" borderId="0" applyNumberFormat="0" applyFill="0" applyBorder="0" applyAlignment="0" applyProtection="0"/>
    <xf numFmtId="170" fontId="30" fillId="37" borderId="10" applyNumberFormat="0">
      <protection locked="0"/>
    </xf>
  </cellStyleXfs>
  <cellXfs count="57">
    <xf numFmtId="172" fontId="0" fillId="0" borderId="0" xfId="0"/>
    <xf numFmtId="172" fontId="2" fillId="5" borderId="0" xfId="51" applyNumberFormat="1" applyFont="1" applyAlignment="1"/>
    <xf numFmtId="172" fontId="2" fillId="5" borderId="0" xfId="51" applyNumberFormat="1" applyFont="1" applyAlignment="1">
      <alignment horizontal="left" vertical="top"/>
    </xf>
    <xf numFmtId="172" fontId="2" fillId="4" borderId="0" xfId="0" applyFont="1" applyFill="1"/>
    <xf numFmtId="169" fontId="31" fillId="2" borderId="0" xfId="48" applyNumberFormat="1">
      <alignment horizontal="left"/>
    </xf>
    <xf numFmtId="172" fontId="25" fillId="2" borderId="0" xfId="0" applyFont="1" applyFill="1"/>
    <xf numFmtId="172" fontId="26" fillId="3" borderId="0" xfId="0" applyFont="1" applyFill="1"/>
    <xf numFmtId="172" fontId="25" fillId="2" borderId="0" xfId="0" applyFont="1" applyFill="1" applyAlignment="1">
      <alignment vertical="center"/>
    </xf>
    <xf numFmtId="168" fontId="28" fillId="3" borderId="0" xfId="52">
      <alignment horizontal="center"/>
    </xf>
    <xf numFmtId="169" fontId="27" fillId="2" borderId="0" xfId="53">
      <alignment horizontal="center"/>
    </xf>
    <xf numFmtId="169" fontId="31" fillId="2" borderId="0" xfId="48" applyNumberFormat="1" applyAlignment="1"/>
    <xf numFmtId="169" fontId="8" fillId="3" borderId="0" xfId="49" applyNumberFormat="1" applyAlignment="1"/>
    <xf numFmtId="169" fontId="4" fillId="0" borderId="0" xfId="50" applyNumberFormat="1">
      <alignment horizontal="left" vertical="center"/>
    </xf>
    <xf numFmtId="172" fontId="2" fillId="0" borderId="0" xfId="0" applyFont="1" applyAlignment="1">
      <alignment vertical="top"/>
    </xf>
    <xf numFmtId="172" fontId="2" fillId="0" borderId="0" xfId="0" applyFont="1"/>
    <xf numFmtId="172" fontId="4" fillId="0" borderId="0" xfId="0" applyFont="1" applyAlignment="1">
      <alignment vertical="center"/>
    </xf>
    <xf numFmtId="172" fontId="5" fillId="0" borderId="0" xfId="0" applyFont="1" applyAlignment="1">
      <alignment vertical="center" wrapText="1"/>
    </xf>
    <xf numFmtId="172" fontId="3" fillId="0" borderId="0" xfId="0" applyFont="1" applyAlignment="1">
      <alignment horizontal="center" vertical="top"/>
    </xf>
    <xf numFmtId="172" fontId="25" fillId="0" borderId="0" xfId="0" applyFont="1"/>
    <xf numFmtId="169" fontId="30" fillId="0" borderId="0" xfId="57" applyFill="1" applyBorder="1" applyAlignment="1">
      <alignment vertical="top"/>
    </xf>
    <xf numFmtId="169" fontId="2" fillId="5" borderId="0" xfId="51" applyNumberFormat="1" applyFont="1" applyAlignment="1">
      <alignment horizontal="left" vertical="top"/>
    </xf>
    <xf numFmtId="169" fontId="3" fillId="5" borderId="0" xfId="51" applyNumberFormat="1" applyFont="1" applyAlignment="1">
      <alignment horizontal="center" vertical="top"/>
    </xf>
    <xf numFmtId="169" fontId="2" fillId="5" borderId="0" xfId="51" applyNumberFormat="1" applyFont="1" applyAlignment="1"/>
    <xf numFmtId="169" fontId="5" fillId="5" borderId="0" xfId="51" applyNumberFormat="1" applyFont="1" applyAlignment="1">
      <alignment vertical="center" wrapText="1"/>
    </xf>
    <xf numFmtId="169" fontId="2" fillId="5" borderId="0" xfId="51" applyNumberFormat="1" applyFont="1" applyAlignment="1">
      <alignment vertical="top"/>
    </xf>
    <xf numFmtId="169" fontId="7" fillId="5" borderId="0" xfId="51" applyNumberFormat="1" applyFont="1" applyAlignment="1">
      <alignment vertical="center" wrapText="1"/>
    </xf>
    <xf numFmtId="169" fontId="30" fillId="37" borderId="10" xfId="59" applyNumberFormat="1">
      <protection locked="0"/>
    </xf>
    <xf numFmtId="169" fontId="2" fillId="0" borderId="0" xfId="51" applyNumberFormat="1" applyFont="1" applyFill="1" applyAlignment="1"/>
    <xf numFmtId="172" fontId="0" fillId="5" borderId="0" xfId="51" applyNumberFormat="1" applyFont="1" applyAlignment="1"/>
    <xf numFmtId="172" fontId="2" fillId="5" borderId="0" xfId="51" applyNumberFormat="1" applyFont="1" applyAlignment="1">
      <alignment vertical="top"/>
    </xf>
    <xf numFmtId="172" fontId="4" fillId="5" borderId="0" xfId="51" applyNumberFormat="1" applyFont="1" applyAlignment="1">
      <alignment vertical="center"/>
    </xf>
    <xf numFmtId="172" fontId="4" fillId="0" borderId="0" xfId="50" applyNumberFormat="1" applyFill="1">
      <alignment horizontal="left" vertical="center"/>
    </xf>
    <xf numFmtId="172" fontId="0" fillId="0" borderId="0" xfId="0" quotePrefix="1"/>
    <xf numFmtId="172" fontId="3" fillId="5" borderId="0" xfId="51" applyNumberFormat="1" applyFont="1" applyAlignment="1">
      <alignment horizontal="center" vertical="top"/>
    </xf>
    <xf numFmtId="172" fontId="2" fillId="5" borderId="11" xfId="51" applyNumberFormat="1" applyFont="1" applyBorder="1" applyAlignment="1">
      <alignment vertical="top"/>
    </xf>
    <xf numFmtId="172" fontId="3" fillId="5" borderId="11" xfId="51" applyNumberFormat="1" applyFont="1" applyBorder="1" applyAlignment="1">
      <alignment horizontal="center" vertical="top"/>
    </xf>
    <xf numFmtId="172" fontId="2" fillId="5" borderId="11" xfId="51" applyNumberFormat="1" applyFont="1" applyBorder="1" applyAlignment="1"/>
    <xf numFmtId="172" fontId="5" fillId="5" borderId="11" xfId="51" applyNumberFormat="1" applyFont="1" applyBorder="1" applyAlignment="1">
      <alignment vertical="center" wrapText="1"/>
    </xf>
    <xf numFmtId="172" fontId="2" fillId="5" borderId="0" xfId="51" applyNumberFormat="1" applyFont="1" applyAlignment="1">
      <alignment vertical="top" wrapText="1"/>
    </xf>
    <xf numFmtId="172" fontId="3" fillId="5" borderId="0" xfId="51" applyNumberFormat="1" applyFont="1" applyAlignment="1">
      <alignment vertical="top"/>
    </xf>
    <xf numFmtId="14" fontId="0" fillId="0" borderId="0" xfId="0" applyNumberFormat="1"/>
    <xf numFmtId="172" fontId="30" fillId="0" borderId="0" xfId="57" applyNumberFormat="1" applyFill="1"/>
    <xf numFmtId="171" fontId="0" fillId="0" borderId="0" xfId="56" applyFont="1" applyFill="1"/>
    <xf numFmtId="171" fontId="30" fillId="37" borderId="10" xfId="59" applyNumberFormat="1">
      <protection locked="0"/>
    </xf>
    <xf numFmtId="172" fontId="30" fillId="37" borderId="10" xfId="59" applyNumberFormat="1">
      <protection locked="0"/>
    </xf>
    <xf numFmtId="172" fontId="27" fillId="2" borderId="0" xfId="53" applyNumberFormat="1" applyBorder="1">
      <alignment horizontal="center"/>
    </xf>
    <xf numFmtId="169" fontId="4" fillId="0" borderId="0" xfId="50" applyNumberFormat="1" applyFill="1">
      <alignment horizontal="left" vertical="center"/>
    </xf>
    <xf numFmtId="169" fontId="31" fillId="2" borderId="0" xfId="48" applyNumberFormat="1" applyAlignment="1">
      <alignment horizontal="center"/>
    </xf>
    <xf numFmtId="172" fontId="0" fillId="0" borderId="0" xfId="0"/>
    <xf numFmtId="169" fontId="2" fillId="5" borderId="0" xfId="51" applyNumberFormat="1" applyFont="1" applyAlignment="1">
      <alignment horizontal="left" vertical="top"/>
    </xf>
    <xf numFmtId="169" fontId="31" fillId="3" borderId="0" xfId="49" applyNumberFormat="1" applyFont="1" applyAlignment="1">
      <alignment horizontal="center" vertical="center"/>
    </xf>
    <xf numFmtId="169" fontId="0" fillId="5" borderId="0" xfId="0" applyNumberFormat="1" applyFill="1" applyAlignment="1">
      <alignment horizontal="center" vertical="center" wrapText="1"/>
    </xf>
    <xf numFmtId="169" fontId="32" fillId="5" borderId="0" xfId="58" applyNumberFormat="1" applyFill="1" applyBorder="1" applyAlignment="1">
      <alignment horizontal="center" vertical="center" wrapText="1"/>
    </xf>
    <xf numFmtId="172" fontId="0" fillId="5" borderId="0" xfId="51" applyNumberFormat="1" applyFont="1" applyAlignment="1">
      <alignment horizontal="left"/>
    </xf>
    <xf numFmtId="172" fontId="0" fillId="5" borderId="0" xfId="51" applyNumberFormat="1" applyFont="1" applyAlignment="1"/>
    <xf numFmtId="168" fontId="0" fillId="5" borderId="0" xfId="51" applyNumberFormat="1" applyFont="1" applyAlignment="1">
      <alignment horizontal="left"/>
    </xf>
    <xf numFmtId="172" fontId="4" fillId="5" borderId="0" xfId="51" applyNumberFormat="1" applyFont="1" applyAlignment="1">
      <alignment horizontal="left" vertical="center"/>
    </xf>
  </cellXfs>
  <cellStyles count="60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ackground Fill" xfId="51" xr:uid="{00000000-0005-0000-0000-000018000000}"/>
    <cellStyle name="Bad" xfId="13" builtinId="27" hidden="1"/>
    <cellStyle name="Calculation" xfId="17" builtinId="22" hidden="1"/>
    <cellStyle name="Check Cell" xfId="19" builtinId="23" hidden="1"/>
    <cellStyle name="Column Heading" xfId="53" xr:uid="{00000000-0005-0000-0000-00002D000000}"/>
    <cellStyle name="Comma" xfId="2" builtinId="3" hidden="1"/>
    <cellStyle name="Comma [0]" xfId="3" builtinId="6" hidden="1"/>
    <cellStyle name="Currency" xfId="4" builtinId="4" hidden="1"/>
    <cellStyle name="Currency [0]" xfId="5" builtinId="7" hidden="1"/>
    <cellStyle name="Date" xfId="54" xr:uid="{00000000-0005-0000-0000-000023000000}"/>
    <cellStyle name="Date Heading" xfId="52" xr:uid="{00000000-0005-0000-0000-000024000000}"/>
    <cellStyle name="Explanatory Text" xfId="22" builtinId="53" hidden="1"/>
    <cellStyle name="Good" xfId="12" builtinId="26" hidden="1"/>
    <cellStyle name="Hard Coded Number" xfId="57" xr:uid="{00000000-0005-0000-0000-000027000000}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yperlink" xfId="1" builtinId="8" hidden="1" customBuiltin="1"/>
    <cellStyle name="Hyperlink" xfId="58" builtinId="8"/>
    <cellStyle name="Input" xfId="15" builtinId="20" hidden="1"/>
    <cellStyle name="Input" xfId="59" builtinId="20" customBuiltin="1"/>
    <cellStyle name="Linked Cell" xfId="18" builtinId="24" hidden="1"/>
    <cellStyle name="Multiple" xfId="55" xr:uid="{00000000-0005-0000-0000-000032000000}"/>
    <cellStyle name="Neutral" xfId="14" builtinId="28" hidden="1"/>
    <cellStyle name="Normal" xfId="0" builtinId="0" customBuiltin="1"/>
    <cellStyle name="Note" xfId="21" builtinId="10" hidden="1"/>
    <cellStyle name="Output" xfId="16" builtinId="21" hidden="1"/>
    <cellStyle name="Percent" xfId="6" builtinId="5" hidden="1"/>
    <cellStyle name="Percent" xfId="56" builtinId="5" customBuiltin="1"/>
    <cellStyle name="Primary Title" xfId="48" xr:uid="{00000000-0005-0000-0000-00003A000000}"/>
    <cellStyle name="Secondary Title" xfId="49" xr:uid="{00000000-0005-0000-0000-00003C000000}"/>
    <cellStyle name="Tertiary Title" xfId="50" xr:uid="{00000000-0005-0000-0000-00003D000000}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DBEEFD"/>
      <color rgb="FF163260"/>
      <color rgb="FF085393"/>
      <color rgb="FFBBDEFB"/>
      <color rgb="FFF0F8FE"/>
      <color rgb="FF0000FF"/>
      <color rgb="FFEBF1FB"/>
      <color rgb="FFD3E0F5"/>
      <color rgb="FFC9D9F3"/>
      <color rgb="FFE2F1F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microsoft.com/office/2017/10/relationships/person" Target="persons/person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2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Relationship Id="rId14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22860</xdr:colOff>
      <xdr:row>0</xdr:row>
      <xdr:rowOff>1021080</xdr:rowOff>
    </xdr:from>
    <xdr:to>
      <xdr:col>9</xdr:col>
      <xdr:colOff>457200</xdr:colOff>
      <xdr:row>0</xdr:row>
      <xdr:rowOff>1547633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43200" y="1021080"/>
          <a:ext cx="3787140" cy="52274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2117446</xdr:colOff>
      <xdr:row>0</xdr:row>
      <xdr:rowOff>123820</xdr:rowOff>
    </xdr:from>
    <xdr:to>
      <xdr:col>16</xdr:col>
      <xdr:colOff>202312</xdr:colOff>
      <xdr:row>0</xdr:row>
      <xdr:rowOff>466711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06866" y="123820"/>
          <a:ext cx="407065" cy="340990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>
  <person displayName="Deborah Taylor" id="{5D339572-8F02-4759-A382-6FB9F46178A8}" userId="1d8c3bade270bd65" providerId="Windows Live"/>
</personList>
</file>

<file path=xl/theme/theme1.xml><?xml version="1.0" encoding="utf-8"?>
<a:theme xmlns:a="http://schemas.openxmlformats.org/drawingml/2006/main" name="FE Training">
  <a:themeElements>
    <a:clrScheme name="Financial Edge">
      <a:dk1>
        <a:srgbClr val="3F3F3F"/>
      </a:dk1>
      <a:lt1>
        <a:sysClr val="window" lastClr="FFFFFF"/>
      </a:lt1>
      <a:dk2>
        <a:srgbClr val="163260"/>
      </a:dk2>
      <a:lt2>
        <a:srgbClr val="F2F2F2"/>
      </a:lt2>
      <a:accent1>
        <a:srgbClr val="085393"/>
      </a:accent1>
      <a:accent2>
        <a:srgbClr val="8064A2"/>
      </a:accent2>
      <a:accent3>
        <a:srgbClr val="C0504D"/>
      </a:accent3>
      <a:accent4>
        <a:srgbClr val="ED7D31"/>
      </a:accent4>
      <a:accent5>
        <a:srgbClr val="FFC000"/>
      </a:accent5>
      <a:accent6>
        <a:srgbClr val="70AD47"/>
      </a:accent6>
      <a:hlink>
        <a:srgbClr val="085393"/>
      </a:hlink>
      <a:folHlink>
        <a:srgbClr val="B2B2B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E27" dT="2021-01-11T21:35:42.17" personId="{5D339572-8F02-4759-A382-6FB9F46178A8}" id="{2483B63D-B4B3-40BC-BFD0-3D8797906C69}">
    <text>16.9% at constant FX</text>
  </threadedComment>
</ThreadedComments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fe.training/" TargetMode="External"/><Relationship Id="rId4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microsoft.com/office/2017/10/relationships/threadedComment" Target="../threadedComments/threadedComment1.xml"/><Relationship Id="rId2" Type="http://schemas.openxmlformats.org/officeDocument/2006/relationships/comments" Target="../comments1.xml"/><Relationship Id="rId1" Type="http://schemas.openxmlformats.org/officeDocument/2006/relationships/vmlDrawing" Target="../drawings/vmlDrawing6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19"/>
  <sheetViews>
    <sheetView showGridLines="0" tabSelected="1" zoomScaleNormal="100" workbookViewId="0">
      <selection sqref="A1:N1"/>
    </sheetView>
  </sheetViews>
  <sheetFormatPr defaultColWidth="9.1328125" defaultRowHeight="14.25" x14ac:dyDescent="0.45"/>
  <cols>
    <col min="1" max="1" width="9.86328125" customWidth="1"/>
    <col min="2" max="13" width="9.19921875" customWidth="1"/>
    <col min="14" max="14" width="9.86328125" customWidth="1"/>
    <col min="15" max="26" width="9.1328125" customWidth="1"/>
  </cols>
  <sheetData>
    <row r="1" spans="1:21" s="18" customFormat="1" ht="189.75" customHeight="1" x14ac:dyDescent="0.85">
      <c r="A1" s="47"/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/>
      <c r="P1"/>
      <c r="Q1"/>
      <c r="R1"/>
      <c r="S1"/>
      <c r="T1"/>
      <c r="U1"/>
    </row>
    <row r="2" spans="1:21" s="13" customFormat="1" ht="75" customHeight="1" x14ac:dyDescent="0.45">
      <c r="A2" s="50" t="s">
        <v>153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/>
      <c r="P2"/>
      <c r="Q2"/>
      <c r="R2"/>
      <c r="S2"/>
      <c r="T2"/>
      <c r="U2"/>
    </row>
    <row r="3" spans="1:21" s="14" customFormat="1" ht="7.5" customHeight="1" x14ac:dyDescent="0.45">
      <c r="B3" s="15"/>
      <c r="C3" s="15"/>
      <c r="F3" s="16"/>
      <c r="G3" s="16"/>
      <c r="H3" s="16"/>
      <c r="I3" s="16"/>
      <c r="J3" s="16"/>
      <c r="K3" s="16"/>
      <c r="O3"/>
      <c r="P3"/>
      <c r="Q3"/>
      <c r="R3"/>
      <c r="S3"/>
      <c r="T3"/>
      <c r="U3"/>
    </row>
    <row r="4" spans="1:21" s="14" customFormat="1" ht="15" customHeight="1" x14ac:dyDescent="0.45">
      <c r="A4" s="20"/>
      <c r="B4" s="21"/>
      <c r="C4" s="49"/>
      <c r="D4" s="49"/>
      <c r="E4" s="22"/>
      <c r="F4" s="23"/>
      <c r="G4" s="23"/>
      <c r="H4" s="23"/>
      <c r="I4" s="23"/>
      <c r="J4" s="23"/>
      <c r="K4" s="23"/>
      <c r="L4" s="22"/>
      <c r="M4" s="22"/>
      <c r="N4" s="22"/>
      <c r="O4"/>
      <c r="P4"/>
      <c r="Q4"/>
      <c r="R4"/>
      <c r="S4"/>
      <c r="T4"/>
      <c r="U4"/>
    </row>
    <row r="5" spans="1:21" s="14" customFormat="1" ht="15" customHeight="1" x14ac:dyDescent="0.45">
      <c r="A5" s="51" t="s">
        <v>11</v>
      </c>
      <c r="B5" s="51"/>
      <c r="C5" s="51"/>
      <c r="D5" s="51"/>
      <c r="E5" s="51"/>
      <c r="F5" s="51"/>
      <c r="G5" s="51"/>
      <c r="H5" s="51"/>
      <c r="I5" s="51"/>
      <c r="J5" s="51"/>
      <c r="K5" s="51"/>
      <c r="L5" s="51"/>
      <c r="M5" s="51"/>
      <c r="N5" s="51"/>
      <c r="O5"/>
      <c r="P5"/>
      <c r="Q5"/>
      <c r="R5"/>
      <c r="S5"/>
      <c r="T5"/>
      <c r="U5"/>
    </row>
    <row r="6" spans="1:21" s="14" customFormat="1" ht="15" customHeight="1" x14ac:dyDescent="0.45">
      <c r="A6" s="51"/>
      <c r="B6" s="51"/>
      <c r="C6" s="51"/>
      <c r="D6" s="51"/>
      <c r="E6" s="51"/>
      <c r="F6" s="51"/>
      <c r="G6" s="51"/>
      <c r="H6" s="51"/>
      <c r="I6" s="51"/>
      <c r="J6" s="51"/>
      <c r="K6" s="51"/>
      <c r="L6" s="51"/>
      <c r="M6" s="51"/>
      <c r="N6" s="51"/>
      <c r="O6"/>
      <c r="P6"/>
      <c r="Q6"/>
      <c r="R6"/>
      <c r="S6"/>
      <c r="T6"/>
      <c r="U6"/>
    </row>
    <row r="7" spans="1:21" s="14" customFormat="1" ht="15" customHeight="1" x14ac:dyDescent="0.45">
      <c r="A7" s="51" t="str">
        <f ca="1">"© "&amp;YEAR(TODAY())&amp;" Financial Edge Training"</f>
        <v>© 2022 Financial Edge Training</v>
      </c>
      <c r="B7" s="51"/>
      <c r="C7" s="51"/>
      <c r="D7" s="51"/>
      <c r="E7" s="51"/>
      <c r="F7" s="51"/>
      <c r="G7" s="51"/>
      <c r="H7" s="51"/>
      <c r="I7" s="51"/>
      <c r="J7" s="51"/>
      <c r="K7" s="51"/>
      <c r="L7" s="51"/>
      <c r="M7" s="51"/>
      <c r="N7" s="51"/>
      <c r="O7"/>
      <c r="P7"/>
      <c r="Q7"/>
      <c r="R7"/>
      <c r="S7"/>
      <c r="T7"/>
      <c r="U7"/>
    </row>
    <row r="8" spans="1:21" s="14" customFormat="1" ht="15" customHeight="1" x14ac:dyDescent="0.45">
      <c r="A8" s="52" t="s">
        <v>20</v>
      </c>
      <c r="B8" s="51"/>
      <c r="C8" s="51"/>
      <c r="D8" s="51"/>
      <c r="E8" s="51"/>
      <c r="F8" s="51"/>
      <c r="G8" s="51"/>
      <c r="H8" s="51"/>
      <c r="I8" s="51"/>
      <c r="J8" s="51"/>
      <c r="K8" s="51"/>
      <c r="L8" s="51"/>
      <c r="M8" s="51"/>
      <c r="N8" s="51"/>
      <c r="O8"/>
      <c r="P8"/>
      <c r="Q8"/>
      <c r="R8"/>
      <c r="S8"/>
      <c r="T8"/>
      <c r="U8"/>
    </row>
    <row r="9" spans="1:21" s="14" customFormat="1" ht="15" customHeight="1" thickBot="1" x14ac:dyDescent="0.5">
      <c r="A9" s="34"/>
      <c r="B9" s="35"/>
      <c r="C9" s="34"/>
      <c r="D9" s="34"/>
      <c r="E9" s="36"/>
      <c r="F9" s="37"/>
      <c r="G9" s="37"/>
      <c r="H9" s="37"/>
      <c r="I9" s="37"/>
      <c r="J9" s="37"/>
      <c r="K9" s="37"/>
      <c r="L9" s="36"/>
      <c r="M9" s="36"/>
      <c r="N9" s="36"/>
      <c r="O9"/>
      <c r="P9"/>
      <c r="Q9"/>
      <c r="R9"/>
      <c r="S9"/>
      <c r="T9"/>
      <c r="U9"/>
    </row>
    <row r="10" spans="1:21" s="14" customFormat="1" ht="15" customHeight="1" x14ac:dyDescent="0.45">
      <c r="A10"/>
      <c r="B10"/>
      <c r="C10"/>
      <c r="D10"/>
      <c r="E10"/>
      <c r="F10"/>
      <c r="G10" s="48"/>
      <c r="H10" s="48"/>
      <c r="I10" s="48"/>
      <c r="J10" s="48"/>
      <c r="K10"/>
      <c r="L10"/>
      <c r="M10"/>
      <c r="N10"/>
      <c r="O10"/>
      <c r="P10"/>
      <c r="Q10"/>
      <c r="R10"/>
      <c r="S10"/>
      <c r="T10"/>
      <c r="U10"/>
    </row>
    <row r="11" spans="1:21" s="14" customFormat="1" ht="15" customHeight="1" x14ac:dyDescent="0.45">
      <c r="A11"/>
      <c r="B11"/>
      <c r="C11"/>
      <c r="D11"/>
      <c r="E11"/>
      <c r="F11"/>
      <c r="G11" s="48"/>
      <c r="H11" s="48"/>
      <c r="I11" s="48"/>
      <c r="J11" s="48"/>
      <c r="K11"/>
      <c r="L11"/>
      <c r="M11"/>
      <c r="N11"/>
      <c r="O11"/>
      <c r="P11"/>
      <c r="Q11"/>
      <c r="R11"/>
      <c r="S11"/>
      <c r="T11"/>
      <c r="U11"/>
    </row>
    <row r="12" spans="1:21" s="14" customFormat="1" ht="15" customHeight="1" x14ac:dyDescent="0.45">
      <c r="A12"/>
      <c r="B12"/>
      <c r="C12"/>
      <c r="D12"/>
      <c r="E12"/>
      <c r="F12"/>
      <c r="G12"/>
      <c r="H12"/>
      <c r="I12"/>
      <c r="J12"/>
      <c r="K12"/>
      <c r="L12"/>
      <c r="M12"/>
      <c r="N12"/>
      <c r="O12"/>
      <c r="P12"/>
      <c r="Q12"/>
      <c r="R12"/>
      <c r="S12"/>
      <c r="T12"/>
      <c r="U12"/>
    </row>
    <row r="13" spans="1:21" s="14" customFormat="1" ht="15" customHeight="1" x14ac:dyDescent="0.45">
      <c r="A13"/>
      <c r="B13"/>
      <c r="C13"/>
      <c r="D13"/>
      <c r="E13"/>
      <c r="F13"/>
      <c r="G13" s="48"/>
      <c r="H13" s="48"/>
      <c r="I13" s="48"/>
      <c r="J13" s="48"/>
      <c r="K13"/>
      <c r="L13"/>
      <c r="M13"/>
      <c r="N13"/>
      <c r="O13"/>
      <c r="P13"/>
      <c r="Q13"/>
      <c r="R13"/>
      <c r="S13"/>
      <c r="T13"/>
      <c r="U13"/>
    </row>
    <row r="14" spans="1:21" s="14" customFormat="1" ht="15" customHeight="1" x14ac:dyDescent="0.45">
      <c r="A14"/>
      <c r="B14"/>
      <c r="C14"/>
      <c r="D14"/>
      <c r="E14"/>
      <c r="F14"/>
      <c r="G14" s="48"/>
      <c r="H14" s="48"/>
      <c r="I14" s="48"/>
      <c r="J14" s="48"/>
      <c r="K14"/>
      <c r="L14"/>
      <c r="M14"/>
      <c r="N14"/>
      <c r="O14"/>
      <c r="P14"/>
      <c r="Q14"/>
      <c r="R14"/>
      <c r="S14"/>
      <c r="T14"/>
      <c r="U14"/>
    </row>
    <row r="15" spans="1:21" s="14" customFormat="1" ht="15" customHeight="1" x14ac:dyDescent="0.45">
      <c r="A15"/>
      <c r="B15"/>
      <c r="C15"/>
      <c r="D15"/>
      <c r="E15"/>
      <c r="F15"/>
      <c r="G15" s="48"/>
      <c r="H15" s="48"/>
      <c r="I15" s="48"/>
      <c r="J15" s="48"/>
      <c r="K15"/>
      <c r="L15"/>
      <c r="M15"/>
      <c r="N15"/>
      <c r="O15"/>
      <c r="P15"/>
      <c r="Q15"/>
      <c r="R15"/>
      <c r="S15"/>
      <c r="T15"/>
      <c r="U15"/>
    </row>
    <row r="16" spans="1:21" s="14" customFormat="1" ht="15" customHeight="1" x14ac:dyDescent="0.45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</row>
    <row r="17" spans="1:21" s="14" customFormat="1" ht="15" customHeight="1" x14ac:dyDescent="0.45">
      <c r="A17"/>
      <c r="B17"/>
      <c r="C17"/>
      <c r="D17"/>
      <c r="E17"/>
      <c r="F17"/>
      <c r="G17" s="48"/>
      <c r="H17" s="48"/>
      <c r="I17" s="48"/>
      <c r="J17" s="48"/>
      <c r="K17"/>
      <c r="L17"/>
      <c r="M17"/>
      <c r="N17"/>
      <c r="O17"/>
      <c r="P17"/>
      <c r="Q17"/>
      <c r="R17"/>
      <c r="S17"/>
      <c r="T17"/>
      <c r="U17"/>
    </row>
    <row r="18" spans="1:21" s="14" customFormat="1" ht="15" customHeight="1" x14ac:dyDescent="0.45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</row>
    <row r="19" spans="1:21" ht="15" customHeight="1" x14ac:dyDescent="0.45"/>
  </sheetData>
  <mergeCells count="9">
    <mergeCell ref="A1:N1"/>
    <mergeCell ref="G17:J17"/>
    <mergeCell ref="G13:J15"/>
    <mergeCell ref="C4:D4"/>
    <mergeCell ref="A2:N2"/>
    <mergeCell ref="A5:N6"/>
    <mergeCell ref="A7:N7"/>
    <mergeCell ref="G10:J11"/>
    <mergeCell ref="A8:N8"/>
  </mergeCells>
  <hyperlinks>
    <hyperlink ref="A8" r:id="rId1" xr:uid="{862FB886-0E77-43B0-A664-3C4707117648}"/>
  </hyperlinks>
  <pageMargins left="0.7" right="0.7" top="0.75" bottom="0.75" header="0.3" footer="0.3"/>
  <pageSetup paperSize="9" orientation="landscape" verticalDpi="1200" r:id="rId2"/>
  <headerFooter>
    <oddHeader xml:space="preserve">&amp;R&amp;10&amp;F 
&amp;A
</oddHeader>
    <oddFooter>&amp;L&amp;10© 2020&amp;C&amp;10Page &amp;P of &amp;N&amp;R&amp;G</oddFooter>
  </headerFooter>
  <drawing r:id="rId3"/>
  <legacyDrawingHF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X20"/>
  <sheetViews>
    <sheetView showGridLines="0" zoomScaleNormal="100" workbookViewId="0"/>
  </sheetViews>
  <sheetFormatPr defaultColWidth="9.1328125" defaultRowHeight="14.25" x14ac:dyDescent="0.45"/>
  <cols>
    <col min="1" max="1" width="1.46484375" customWidth="1"/>
    <col min="2" max="2" width="2.86328125" customWidth="1"/>
    <col min="3" max="3" width="13.19921875" customWidth="1"/>
    <col min="4" max="4" width="2.86328125" customWidth="1"/>
    <col min="5" max="7" width="1.46484375" customWidth="1"/>
    <col min="8" max="8" width="2.86328125" customWidth="1"/>
    <col min="9" max="9" width="42.796875" customWidth="1"/>
    <col min="10" max="11" width="1.46484375" customWidth="1"/>
    <col min="12" max="12" width="15.53125" customWidth="1"/>
    <col min="13" max="14" width="1.46484375" customWidth="1"/>
    <col min="15" max="15" width="2.86328125" customWidth="1"/>
    <col min="16" max="16" width="32.53125" customWidth="1"/>
    <col min="17" max="17" width="2.86328125" customWidth="1"/>
    <col min="18" max="18" width="1.46484375" customWidth="1"/>
    <col min="23" max="23" width="9.1328125" customWidth="1"/>
  </cols>
  <sheetData>
    <row r="1" spans="1:24" ht="45" customHeight="1" x14ac:dyDescent="0.85">
      <c r="A1" s="10" t="str">
        <f>Welcome!A2</f>
        <v>Segment Forecasting</v>
      </c>
      <c r="B1" s="10"/>
      <c r="C1" s="10"/>
      <c r="D1" s="10"/>
      <c r="E1" s="10"/>
      <c r="F1" s="10"/>
      <c r="G1" s="10"/>
      <c r="H1" s="10"/>
      <c r="I1" s="10"/>
      <c r="J1" s="5"/>
      <c r="K1" s="5"/>
      <c r="L1" s="5"/>
      <c r="M1" s="5"/>
      <c r="N1" s="5"/>
      <c r="O1" s="5"/>
      <c r="P1" s="5"/>
      <c r="Q1" s="5"/>
      <c r="R1" s="5"/>
    </row>
    <row r="2" spans="1:24" ht="30" customHeight="1" x14ac:dyDescent="0.65">
      <c r="A2" s="11" t="s">
        <v>16</v>
      </c>
      <c r="B2" s="11"/>
      <c r="C2" s="11"/>
      <c r="D2" s="11"/>
      <c r="E2" s="11"/>
      <c r="F2" s="11"/>
      <c r="G2" s="11"/>
      <c r="H2" s="11"/>
      <c r="I2" s="11"/>
      <c r="J2" s="6"/>
      <c r="K2" s="6"/>
      <c r="L2" s="6"/>
      <c r="M2" s="6"/>
      <c r="N2" s="6"/>
      <c r="O2" s="6"/>
      <c r="P2" s="6"/>
      <c r="Q2" s="6"/>
      <c r="R2" s="6"/>
    </row>
    <row r="3" spans="1:24" s="3" customFormat="1" ht="7.5" customHeight="1" x14ac:dyDescent="0.45">
      <c r="S3"/>
      <c r="T3"/>
      <c r="U3"/>
      <c r="V3"/>
      <c r="W3"/>
      <c r="X3"/>
    </row>
    <row r="4" spans="1:24" s="3" customFormat="1" ht="22.5" customHeight="1" x14ac:dyDescent="0.45">
      <c r="A4" s="1"/>
      <c r="B4" s="56" t="s">
        <v>0</v>
      </c>
      <c r="C4" s="56"/>
      <c r="D4" s="56"/>
      <c r="E4" s="56"/>
      <c r="F4" s="56"/>
      <c r="G4" s="56"/>
      <c r="H4" s="56"/>
      <c r="I4" s="56"/>
      <c r="K4" s="1"/>
      <c r="L4" s="56" t="s">
        <v>2</v>
      </c>
      <c r="M4" s="56"/>
      <c r="N4" s="56"/>
      <c r="O4" s="56"/>
      <c r="P4" s="56"/>
      <c r="Q4" s="23"/>
      <c r="R4" s="23"/>
      <c r="S4"/>
      <c r="T4"/>
      <c r="U4"/>
      <c r="V4"/>
      <c r="W4"/>
      <c r="X4"/>
    </row>
    <row r="5" spans="1:24" s="3" customFormat="1" ht="15" customHeight="1" x14ac:dyDescent="0.45">
      <c r="A5" s="2"/>
      <c r="B5" s="33" t="s">
        <v>1</v>
      </c>
      <c r="C5" s="28" t="s">
        <v>153</v>
      </c>
      <c r="D5" s="29"/>
      <c r="E5" s="29"/>
      <c r="F5" s="29"/>
      <c r="G5" s="29"/>
      <c r="H5" s="29"/>
      <c r="I5" s="29"/>
      <c r="K5" s="1"/>
      <c r="L5" s="39" t="s">
        <v>3</v>
      </c>
      <c r="M5" s="39"/>
      <c r="N5" s="54" t="s">
        <v>151</v>
      </c>
      <c r="O5" s="54"/>
      <c r="P5" s="54"/>
      <c r="Q5" s="54"/>
      <c r="R5" s="23"/>
      <c r="S5"/>
      <c r="T5"/>
      <c r="U5"/>
      <c r="V5"/>
      <c r="W5"/>
      <c r="X5"/>
    </row>
    <row r="6" spans="1:24" s="3" customFormat="1" ht="15" customHeight="1" x14ac:dyDescent="0.45">
      <c r="A6" s="38"/>
      <c r="B6" s="33"/>
      <c r="C6" s="28"/>
      <c r="D6" s="29"/>
      <c r="E6" s="29"/>
      <c r="F6" s="29"/>
      <c r="G6" s="29"/>
      <c r="H6" s="29"/>
      <c r="I6" s="29"/>
      <c r="K6" s="2"/>
      <c r="L6" s="39" t="s">
        <v>4</v>
      </c>
      <c r="M6" s="39"/>
      <c r="N6" s="55">
        <v>42094</v>
      </c>
      <c r="O6" s="55"/>
      <c r="P6" s="55"/>
      <c r="Q6" s="55"/>
      <c r="R6" s="23"/>
      <c r="S6"/>
      <c r="T6"/>
      <c r="U6"/>
      <c r="V6"/>
      <c r="W6"/>
      <c r="X6"/>
    </row>
    <row r="7" spans="1:24" s="3" customFormat="1" ht="15" customHeight="1" x14ac:dyDescent="0.45">
      <c r="A7" s="29"/>
      <c r="B7" s="33"/>
      <c r="C7" s="28"/>
      <c r="D7" s="29"/>
      <c r="E7" s="29"/>
      <c r="F7" s="29"/>
      <c r="G7" s="29"/>
      <c r="H7" s="29"/>
      <c r="I7" s="29"/>
      <c r="K7" s="38"/>
      <c r="L7" s="39" t="s">
        <v>5</v>
      </c>
      <c r="M7" s="39"/>
      <c r="N7" s="54" t="s">
        <v>152</v>
      </c>
      <c r="O7" s="54"/>
      <c r="P7" s="54"/>
      <c r="Q7" s="54"/>
      <c r="R7" s="23"/>
      <c r="S7"/>
      <c r="T7"/>
      <c r="U7"/>
      <c r="V7"/>
      <c r="W7"/>
      <c r="X7"/>
    </row>
    <row r="8" spans="1:24" s="3" customFormat="1" ht="15" customHeight="1" x14ac:dyDescent="0.45">
      <c r="A8" s="29"/>
      <c r="B8" s="33"/>
      <c r="C8" s="29"/>
      <c r="D8" s="29"/>
      <c r="E8" s="29"/>
      <c r="F8" s="29"/>
      <c r="G8" s="29"/>
      <c r="H8" s="29"/>
      <c r="I8" s="29"/>
      <c r="K8" s="29"/>
      <c r="L8" s="39" t="s">
        <v>6</v>
      </c>
      <c r="M8" s="39"/>
      <c r="N8" s="54" t="s">
        <v>9</v>
      </c>
      <c r="O8" s="54"/>
      <c r="P8" s="54"/>
      <c r="Q8" s="54"/>
      <c r="R8" s="23"/>
      <c r="S8"/>
      <c r="T8"/>
      <c r="U8"/>
      <c r="V8"/>
      <c r="W8"/>
      <c r="X8"/>
    </row>
    <row r="9" spans="1:24" s="3" customFormat="1" ht="15" customHeight="1" x14ac:dyDescent="0.45">
      <c r="A9" s="24"/>
      <c r="B9" s="21"/>
      <c r="C9" s="24"/>
      <c r="D9" s="24"/>
      <c r="E9" s="24"/>
      <c r="F9" s="24"/>
      <c r="G9" s="24"/>
      <c r="H9" s="24"/>
      <c r="I9" s="24"/>
      <c r="K9" s="29"/>
      <c r="L9" s="39" t="s">
        <v>7</v>
      </c>
      <c r="M9" s="39"/>
      <c r="N9" s="54" t="s">
        <v>10</v>
      </c>
      <c r="O9" s="54"/>
      <c r="P9" s="54"/>
      <c r="Q9" s="54"/>
      <c r="R9" s="23"/>
      <c r="S9"/>
      <c r="T9"/>
      <c r="U9"/>
      <c r="V9"/>
      <c r="W9"/>
      <c r="X9"/>
    </row>
    <row r="10" spans="1:24" s="3" customFormat="1" ht="15" customHeight="1" x14ac:dyDescent="0.45">
      <c r="A10" s="22"/>
      <c r="B10" s="22"/>
      <c r="C10" s="22"/>
      <c r="D10" s="22"/>
      <c r="E10" s="22"/>
      <c r="F10" s="22"/>
      <c r="G10" s="22"/>
      <c r="H10" s="22"/>
      <c r="I10" s="22"/>
      <c r="K10" s="29"/>
      <c r="L10" s="39" t="s">
        <v>8</v>
      </c>
      <c r="M10" s="39"/>
      <c r="N10" s="53">
        <v>1</v>
      </c>
      <c r="O10" s="53"/>
      <c r="P10" s="53"/>
      <c r="Q10" s="53"/>
      <c r="R10" s="25"/>
      <c r="S10"/>
      <c r="T10"/>
      <c r="U10"/>
      <c r="V10"/>
      <c r="W10"/>
      <c r="X10"/>
    </row>
    <row r="11" spans="1:24" s="3" customFormat="1" ht="15" customHeight="1" thickBot="1" x14ac:dyDescent="0.5">
      <c r="A11" s="34"/>
      <c r="B11" s="34"/>
      <c r="C11" s="34"/>
      <c r="D11" s="34"/>
      <c r="E11" s="34"/>
      <c r="F11" s="34"/>
      <c r="G11" s="34"/>
      <c r="H11" s="34"/>
      <c r="I11" s="34"/>
      <c r="K11" s="34"/>
      <c r="L11" s="34"/>
      <c r="M11" s="34"/>
      <c r="N11" s="34"/>
      <c r="O11" s="34"/>
      <c r="P11" s="34"/>
      <c r="Q11" s="34"/>
      <c r="R11" s="34"/>
      <c r="S11"/>
      <c r="T11"/>
      <c r="U11"/>
      <c r="V11"/>
      <c r="W11"/>
      <c r="X11"/>
    </row>
    <row r="12" spans="1:24" s="3" customFormat="1" ht="7.5" customHeight="1" x14ac:dyDescent="0.45">
      <c r="K12" s="16"/>
      <c r="L12" s="16"/>
      <c r="M12" s="16"/>
      <c r="N12" s="16"/>
      <c r="O12" s="16"/>
      <c r="P12" s="16"/>
      <c r="Q12" s="16"/>
      <c r="R12" s="16"/>
      <c r="S12"/>
      <c r="T12"/>
      <c r="U12"/>
      <c r="V12"/>
      <c r="W12"/>
      <c r="X12"/>
    </row>
    <row r="13" spans="1:24" s="3" customFormat="1" ht="22.5" customHeight="1" x14ac:dyDescent="0.45">
      <c r="A13" s="28"/>
      <c r="B13" s="56" t="s">
        <v>17</v>
      </c>
      <c r="C13" s="56"/>
      <c r="D13" s="56"/>
      <c r="E13" s="56"/>
      <c r="F13" s="56"/>
      <c r="G13" s="56"/>
      <c r="H13" s="56"/>
      <c r="I13" s="56"/>
      <c r="J13" s="56"/>
      <c r="K13" s="56"/>
      <c r="L13" s="56"/>
      <c r="N13" s="1"/>
      <c r="O13" s="56" t="s">
        <v>12</v>
      </c>
      <c r="P13" s="56"/>
      <c r="Q13" s="56"/>
      <c r="R13" s="30"/>
      <c r="S13"/>
      <c r="T13"/>
      <c r="U13"/>
      <c r="V13"/>
      <c r="W13"/>
      <c r="X13"/>
    </row>
    <row r="14" spans="1:24" s="3" customFormat="1" ht="15" customHeight="1" x14ac:dyDescent="0.45">
      <c r="A14" s="29"/>
      <c r="B14" s="53" t="s">
        <v>18</v>
      </c>
      <c r="C14" s="53"/>
      <c r="D14" s="53" t="s">
        <v>19</v>
      </c>
      <c r="E14" s="53"/>
      <c r="F14" s="53"/>
      <c r="G14" s="53"/>
      <c r="H14" s="53"/>
      <c r="I14" s="53"/>
      <c r="J14" s="53"/>
      <c r="K14" s="53"/>
      <c r="L14" s="53"/>
      <c r="N14" s="2"/>
      <c r="O14" s="17"/>
      <c r="P14" s="13"/>
      <c r="Q14" s="13"/>
      <c r="R14" s="29"/>
      <c r="S14"/>
      <c r="T14"/>
      <c r="U14"/>
      <c r="V14"/>
      <c r="W14"/>
      <c r="X14"/>
    </row>
    <row r="15" spans="1:24" s="3" customFormat="1" ht="15" customHeight="1" x14ac:dyDescent="0.45">
      <c r="A15" s="29"/>
      <c r="B15" s="53"/>
      <c r="C15" s="53"/>
      <c r="D15" s="53"/>
      <c r="E15" s="53"/>
      <c r="F15" s="53"/>
      <c r="G15" s="53"/>
      <c r="H15" s="53"/>
      <c r="I15" s="53"/>
      <c r="J15" s="53"/>
      <c r="K15" s="53"/>
      <c r="L15" s="53"/>
      <c r="N15" s="38"/>
      <c r="O15" s="17"/>
      <c r="P15" s="26" t="s">
        <v>13</v>
      </c>
      <c r="Q15" s="13"/>
      <c r="R15" s="29"/>
      <c r="S15"/>
      <c r="T15"/>
      <c r="U15"/>
      <c r="V15"/>
      <c r="W15"/>
      <c r="X15"/>
    </row>
    <row r="16" spans="1:24" s="3" customFormat="1" ht="15" customHeight="1" x14ac:dyDescent="0.45">
      <c r="A16" s="29"/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N16" s="29"/>
      <c r="O16" s="17"/>
      <c r="P16" s="19" t="s">
        <v>14</v>
      </c>
      <c r="Q16" s="13"/>
      <c r="R16" s="29"/>
      <c r="S16"/>
      <c r="T16"/>
      <c r="U16"/>
      <c r="V16"/>
      <c r="W16"/>
      <c r="X16"/>
    </row>
    <row r="17" spans="1:24" s="3" customFormat="1" ht="15" customHeight="1" x14ac:dyDescent="0.45">
      <c r="A17" s="29"/>
      <c r="B17" s="53"/>
      <c r="C17" s="53"/>
      <c r="D17" s="53"/>
      <c r="E17" s="53"/>
      <c r="F17" s="53"/>
      <c r="G17" s="53"/>
      <c r="H17" s="53"/>
      <c r="I17" s="53"/>
      <c r="J17" s="53"/>
      <c r="K17" s="53"/>
      <c r="L17" s="53"/>
      <c r="N17" s="29"/>
      <c r="O17" s="17"/>
      <c r="P17" t="s">
        <v>15</v>
      </c>
      <c r="Q17" s="13"/>
      <c r="R17" s="29"/>
      <c r="S17"/>
      <c r="T17"/>
      <c r="U17"/>
      <c r="V17"/>
      <c r="W17"/>
      <c r="X17"/>
    </row>
    <row r="18" spans="1:24" s="3" customFormat="1" ht="15" customHeight="1" x14ac:dyDescent="0.45">
      <c r="A18" s="22"/>
      <c r="B18" s="53"/>
      <c r="C18" s="53"/>
      <c r="D18" s="53"/>
      <c r="E18" s="53"/>
      <c r="F18" s="53"/>
      <c r="G18" s="53"/>
      <c r="H18" s="53"/>
      <c r="I18" s="53"/>
      <c r="J18" s="53"/>
      <c r="K18" s="53"/>
      <c r="L18" s="53"/>
      <c r="N18" s="22"/>
      <c r="O18" s="27"/>
      <c r="P18" s="27"/>
      <c r="Q18" s="27"/>
      <c r="R18" s="22"/>
      <c r="S18"/>
      <c r="T18"/>
      <c r="U18"/>
      <c r="V18"/>
      <c r="W18"/>
      <c r="X18"/>
    </row>
    <row r="19" spans="1:24" ht="14.65" thickBot="1" x14ac:dyDescent="0.5">
      <c r="A19" s="34"/>
      <c r="B19" s="34"/>
      <c r="C19" s="34"/>
      <c r="D19" s="34"/>
      <c r="E19" s="34"/>
      <c r="F19" s="34"/>
      <c r="G19" s="34"/>
      <c r="H19" s="34"/>
      <c r="I19" s="34"/>
      <c r="J19" s="34"/>
      <c r="K19" s="34"/>
      <c r="L19" s="34"/>
      <c r="N19" s="34"/>
      <c r="O19" s="34"/>
      <c r="P19" s="34"/>
      <c r="Q19" s="34"/>
      <c r="R19" s="34"/>
    </row>
    <row r="20" spans="1:24" x14ac:dyDescent="0.45">
      <c r="Q20" s="14"/>
    </row>
  </sheetData>
  <mergeCells count="20">
    <mergeCell ref="B17:C17"/>
    <mergeCell ref="L4:P4"/>
    <mergeCell ref="B4:I4"/>
    <mergeCell ref="B13:L13"/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  <mergeCell ref="D15:L15"/>
    <mergeCell ref="B14:C14"/>
    <mergeCell ref="B15:C15"/>
    <mergeCell ref="B16:C16"/>
  </mergeCells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2020&amp;C&amp;10Page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J30"/>
  <sheetViews>
    <sheetView zoomScaleNormal="100" workbookViewId="0"/>
  </sheetViews>
  <sheetFormatPr defaultColWidth="9.1328125" defaultRowHeight="15" customHeight="1" x14ac:dyDescent="0.45"/>
  <cols>
    <col min="1" max="1" width="1.53125" style="12" customWidth="1"/>
    <col min="2" max="2" width="40.53125" customWidth="1"/>
    <col min="3" max="3" width="15.53125" customWidth="1"/>
    <col min="4" max="4" width="10.53125" customWidth="1"/>
    <col min="5" max="10" width="11.53125" customWidth="1"/>
    <col min="11" max="11" width="17.86328125" customWidth="1"/>
  </cols>
  <sheetData>
    <row r="1" spans="1:10" ht="45" customHeight="1" x14ac:dyDescent="0.85">
      <c r="A1" s="4" t="s">
        <v>61</v>
      </c>
      <c r="B1" s="7"/>
      <c r="C1" s="45" t="str">
        <f>IF(C2&lt;=Info!$N$6,"Hist.","Proj.")</f>
        <v>Hist.</v>
      </c>
      <c r="D1" s="45" t="str">
        <f>IF(D2&lt;=Info!$N$6,"Hist.","Proj.")</f>
        <v>Hist.</v>
      </c>
      <c r="E1" s="45" t="str">
        <f>IF(E2&lt;=Info!$N$6,"Hist.","Proj.")</f>
        <v>Proj.</v>
      </c>
      <c r="F1" s="45" t="str">
        <f>IF(F2&lt;=Info!$N$6,"Hist.","Proj.")</f>
        <v>Proj.</v>
      </c>
      <c r="G1" s="45" t="str">
        <f>IF(G2&lt;=Info!$N$6,"Hist.","Proj.")</f>
        <v>Proj.</v>
      </c>
      <c r="H1" s="45" t="str">
        <f>IF(H2&lt;=Info!$N$6,"Hist.","Proj.")</f>
        <v>Proj.</v>
      </c>
      <c r="I1" s="45" t="str">
        <f>IF(I2&lt;=Info!$N$6,"Hist.","Proj.")</f>
        <v>Proj.</v>
      </c>
      <c r="J1" s="45" t="str">
        <f>IF(J2&lt;=Info!$N$6,"Hist.","Proj.")</f>
        <v>Proj.</v>
      </c>
    </row>
    <row r="2" spans="1:10" ht="30" customHeight="1" x14ac:dyDescent="0.65">
      <c r="A2" s="11" t="s">
        <v>64</v>
      </c>
      <c r="B2" s="6"/>
      <c r="C2" s="8">
        <v>41639</v>
      </c>
      <c r="D2" s="8">
        <f>EDATE(C2,12)</f>
        <v>42004</v>
      </c>
      <c r="E2" s="8">
        <f>EDATE(D2,12)</f>
        <v>42369</v>
      </c>
      <c r="F2" s="8">
        <f t="shared" ref="F2:J2" si="0">EDATE(E2,12)</f>
        <v>42735</v>
      </c>
      <c r="G2" s="8">
        <f t="shared" si="0"/>
        <v>43100</v>
      </c>
      <c r="H2" s="8">
        <f t="shared" si="0"/>
        <v>43465</v>
      </c>
      <c r="I2" s="8">
        <f t="shared" si="0"/>
        <v>43830</v>
      </c>
      <c r="J2" s="8">
        <f t="shared" si="0"/>
        <v>44196</v>
      </c>
    </row>
    <row r="4" spans="1:10" ht="15" customHeight="1" x14ac:dyDescent="0.45">
      <c r="A4" s="12" t="s">
        <v>121</v>
      </c>
    </row>
    <row r="5" spans="1:10" ht="15" customHeight="1" x14ac:dyDescent="0.45">
      <c r="B5" t="s">
        <v>78</v>
      </c>
      <c r="D5" s="42">
        <f>-IS!D22/IS!D20</f>
        <v>0.25225022502250227</v>
      </c>
      <c r="E5" s="42">
        <f>-IS!E22/IS!E20</f>
        <v>0.23279352226720645</v>
      </c>
      <c r="F5" s="43">
        <v>0.23</v>
      </c>
      <c r="G5" s="43">
        <v>0.21</v>
      </c>
      <c r="H5" s="43">
        <f>G5</f>
        <v>0.21</v>
      </c>
      <c r="I5" s="43">
        <f>H5</f>
        <v>0.21</v>
      </c>
      <c r="J5" s="43">
        <f>I5</f>
        <v>0.21</v>
      </c>
    </row>
    <row r="6" spans="1:10" ht="15" customHeight="1" x14ac:dyDescent="0.45">
      <c r="B6" t="s">
        <v>79</v>
      </c>
      <c r="E6" s="42">
        <f>IS!E28/IS!D28-1</f>
        <v>9.375E-2</v>
      </c>
      <c r="F6" s="43">
        <v>0.1</v>
      </c>
      <c r="G6" s="43">
        <v>0.1</v>
      </c>
      <c r="H6" s="43">
        <v>0.1</v>
      </c>
      <c r="I6" s="43">
        <v>0.1</v>
      </c>
      <c r="J6" s="43">
        <v>0.1</v>
      </c>
    </row>
    <row r="7" spans="1:10" ht="15" customHeight="1" x14ac:dyDescent="0.45">
      <c r="B7" t="s">
        <v>80</v>
      </c>
      <c r="D7">
        <f>IS!D26</f>
        <v>437.9</v>
      </c>
      <c r="E7">
        <f>IS!E26</f>
        <v>440</v>
      </c>
      <c r="F7" s="44">
        <f>E7</f>
        <v>440</v>
      </c>
      <c r="G7" s="44">
        <f>F7</f>
        <v>440</v>
      </c>
      <c r="H7" s="44">
        <f>G7</f>
        <v>440</v>
      </c>
      <c r="I7" s="44">
        <f>H7</f>
        <v>440</v>
      </c>
      <c r="J7" s="44">
        <f>I7</f>
        <v>440</v>
      </c>
    </row>
    <row r="9" spans="1:10" ht="15" customHeight="1" x14ac:dyDescent="0.45">
      <c r="A9" s="12" t="s">
        <v>61</v>
      </c>
    </row>
    <row r="10" spans="1:10" ht="15" customHeight="1" x14ac:dyDescent="0.45">
      <c r="B10" t="s">
        <v>21</v>
      </c>
      <c r="D10">
        <f>Segments!D20+Segments!D30</f>
        <v>2329.7999999999997</v>
      </c>
      <c r="E10">
        <f>Segments!E20+Segments!E30</f>
        <v>2523.1999999999998</v>
      </c>
    </row>
    <row r="11" spans="1:10" ht="15" customHeight="1" x14ac:dyDescent="0.45">
      <c r="B11" t="s">
        <v>65</v>
      </c>
      <c r="D11">
        <f>Segments!D21+Segments!D31</f>
        <v>596.29999999999995</v>
      </c>
      <c r="E11">
        <f>Segments!E21+Segments!E31</f>
        <v>583</v>
      </c>
    </row>
    <row r="12" spans="1:10" ht="15" customHeight="1" x14ac:dyDescent="0.45">
      <c r="B12" t="s">
        <v>66</v>
      </c>
      <c r="D12">
        <f>Segments!D22</f>
        <v>-105.6</v>
      </c>
      <c r="E12">
        <f>Segments!E22</f>
        <v>-104</v>
      </c>
    </row>
    <row r="13" spans="1:10" ht="15" customHeight="1" x14ac:dyDescent="0.45">
      <c r="A13" s="31"/>
      <c r="B13" t="s">
        <v>67</v>
      </c>
      <c r="D13">
        <f>Segments!D23</f>
        <v>-18.100000000000001</v>
      </c>
      <c r="E13">
        <f>Segments!E23</f>
        <v>-19.7</v>
      </c>
    </row>
    <row r="14" spans="1:10" ht="15" customHeight="1" x14ac:dyDescent="0.45">
      <c r="A14" s="31"/>
      <c r="B14" t="s">
        <v>69</v>
      </c>
      <c r="D14">
        <f>SUM(D11:D13)</f>
        <v>472.59999999999991</v>
      </c>
      <c r="E14">
        <f t="shared" ref="E14" si="1">SUM(E11:E13)</f>
        <v>459.3</v>
      </c>
    </row>
    <row r="15" spans="1:10" ht="15" customHeight="1" x14ac:dyDescent="0.45">
      <c r="A15" s="31"/>
      <c r="B15" t="s">
        <v>150</v>
      </c>
      <c r="D15">
        <f>Segments!D25+Segments!D33</f>
        <v>-12.3</v>
      </c>
      <c r="E15">
        <f>Segments!E25+Segments!E33</f>
        <v>-4.0999999999999996</v>
      </c>
    </row>
    <row r="16" spans="1:10" ht="15" customHeight="1" x14ac:dyDescent="0.45">
      <c r="A16" s="31"/>
      <c r="B16" t="s">
        <v>149</v>
      </c>
      <c r="D16" s="41">
        <v>-14.9</v>
      </c>
      <c r="E16" s="41">
        <v>-14.9</v>
      </c>
    </row>
    <row r="17" spans="1:5" ht="15" customHeight="1" x14ac:dyDescent="0.45">
      <c r="A17" s="31"/>
      <c r="B17" t="s">
        <v>22</v>
      </c>
      <c r="D17">
        <f>D14+D15+D16</f>
        <v>445.39999999999992</v>
      </c>
      <c r="E17">
        <f t="shared" ref="E17" si="2">E14+E15+E16</f>
        <v>440.3</v>
      </c>
    </row>
    <row r="19" spans="1:5" ht="15" customHeight="1" x14ac:dyDescent="0.45">
      <c r="B19" t="s">
        <v>23</v>
      </c>
      <c r="D19" s="41">
        <v>-1</v>
      </c>
      <c r="E19" s="41">
        <v>4.3</v>
      </c>
    </row>
    <row r="20" spans="1:5" ht="15" customHeight="1" x14ac:dyDescent="0.45">
      <c r="B20" t="s">
        <v>24</v>
      </c>
      <c r="D20">
        <f t="shared" ref="D20:E20" si="3">D17+D19</f>
        <v>444.39999999999992</v>
      </c>
      <c r="E20">
        <f t="shared" si="3"/>
        <v>444.6</v>
      </c>
    </row>
    <row r="22" spans="1:5" ht="15" customHeight="1" x14ac:dyDescent="0.45">
      <c r="B22" t="s">
        <v>25</v>
      </c>
      <c r="D22" s="41">
        <v>-112.1</v>
      </c>
      <c r="E22" s="41">
        <v>-103.5</v>
      </c>
    </row>
    <row r="23" spans="1:5" ht="15" customHeight="1" x14ac:dyDescent="0.45">
      <c r="B23" t="s">
        <v>26</v>
      </c>
      <c r="D23">
        <f t="shared" ref="D23:E23" si="4">D20+D22</f>
        <v>332.29999999999995</v>
      </c>
      <c r="E23">
        <f t="shared" si="4"/>
        <v>341.1</v>
      </c>
    </row>
    <row r="26" spans="1:5" ht="15" customHeight="1" x14ac:dyDescent="0.45">
      <c r="B26" t="s">
        <v>27</v>
      </c>
      <c r="D26" s="41">
        <v>437.9</v>
      </c>
      <c r="E26" s="41">
        <v>440</v>
      </c>
    </row>
    <row r="27" spans="1:5" ht="15" customHeight="1" x14ac:dyDescent="0.45">
      <c r="B27" t="s">
        <v>28</v>
      </c>
      <c r="D27" s="41">
        <v>0.73599999999999999</v>
      </c>
      <c r="E27" s="41">
        <v>0.76400000000000001</v>
      </c>
    </row>
    <row r="28" spans="1:5" ht="15" customHeight="1" x14ac:dyDescent="0.45">
      <c r="B28" t="s">
        <v>29</v>
      </c>
      <c r="D28" s="41">
        <v>0.32</v>
      </c>
      <c r="E28" s="41">
        <v>0.35</v>
      </c>
    </row>
    <row r="30" spans="1:5" ht="15" customHeight="1" x14ac:dyDescent="0.45">
      <c r="A30" s="46" t="s">
        <v>147</v>
      </c>
    </row>
  </sheetData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2020&amp;C&amp;10Page &amp;P of &amp;N&amp;R&amp;G</oddFooter>
  </headerFooter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4E9E42-1B8B-43B0-A971-945EA5A3F5E2}">
  <dimension ref="A1:J84"/>
  <sheetViews>
    <sheetView zoomScaleNormal="100" workbookViewId="0"/>
  </sheetViews>
  <sheetFormatPr defaultColWidth="9.1328125" defaultRowHeight="15" customHeight="1" x14ac:dyDescent="0.45"/>
  <cols>
    <col min="1" max="1" width="1.53125" style="12" customWidth="1"/>
    <col min="2" max="2" width="40.53125" customWidth="1"/>
    <col min="3" max="3" width="13.46484375" customWidth="1"/>
    <col min="4" max="10" width="11.53125" customWidth="1"/>
  </cols>
  <sheetData>
    <row r="1" spans="1:10" ht="45" customHeight="1" x14ac:dyDescent="0.85">
      <c r="A1" s="4" t="s">
        <v>62</v>
      </c>
      <c r="B1" s="7"/>
      <c r="C1" s="45" t="str">
        <f>IS!C1</f>
        <v>Hist.</v>
      </c>
      <c r="D1" s="45" t="str">
        <f>IS!D1</f>
        <v>Hist.</v>
      </c>
      <c r="E1" s="45" t="str">
        <f>IS!E1</f>
        <v>Proj.</v>
      </c>
      <c r="F1" s="45" t="str">
        <f>IS!F1</f>
        <v>Proj.</v>
      </c>
      <c r="G1" s="45" t="str">
        <f>IS!G1</f>
        <v>Proj.</v>
      </c>
      <c r="H1" s="45" t="str">
        <f>IS!H1</f>
        <v>Proj.</v>
      </c>
      <c r="I1" s="45" t="str">
        <f>IS!I1</f>
        <v>Proj.</v>
      </c>
      <c r="J1" s="45" t="str">
        <f>IS!J1</f>
        <v>Proj.</v>
      </c>
    </row>
    <row r="2" spans="1:10" ht="30" customHeight="1" x14ac:dyDescent="0.65">
      <c r="A2" s="11" t="s">
        <v>64</v>
      </c>
      <c r="B2" s="6"/>
      <c r="C2" s="8">
        <f>IS!C2</f>
        <v>41639</v>
      </c>
      <c r="D2" s="8">
        <f>IS!D2</f>
        <v>42004</v>
      </c>
      <c r="E2" s="8">
        <f>IS!E2</f>
        <v>42369</v>
      </c>
      <c r="F2" s="8">
        <f>IS!F2</f>
        <v>42735</v>
      </c>
      <c r="G2" s="8">
        <f>IS!G2</f>
        <v>43100</v>
      </c>
      <c r="H2" s="8">
        <f>IS!H2</f>
        <v>43465</v>
      </c>
      <c r="I2" s="8">
        <f>IS!I2</f>
        <v>43830</v>
      </c>
      <c r="J2" s="8">
        <f>IS!J2</f>
        <v>44196</v>
      </c>
    </row>
    <row r="4" spans="1:10" ht="15" customHeight="1" x14ac:dyDescent="0.45">
      <c r="A4" s="12" t="s">
        <v>81</v>
      </c>
    </row>
    <row r="5" spans="1:10" ht="15" customHeight="1" x14ac:dyDescent="0.45">
      <c r="B5" t="s">
        <v>82</v>
      </c>
      <c r="D5" s="42">
        <f>129.5/Segments!D20</f>
        <v>5.754021149915578E-2</v>
      </c>
      <c r="E5" s="42">
        <f>127.8/Segments!E20</f>
        <v>5.2046426389737326E-2</v>
      </c>
      <c r="F5" s="43"/>
      <c r="G5" s="43"/>
      <c r="H5" s="43"/>
      <c r="I5" s="43"/>
      <c r="J5" s="43"/>
    </row>
    <row r="6" spans="1:10" ht="15" customHeight="1" x14ac:dyDescent="0.45">
      <c r="B6" t="s">
        <v>83</v>
      </c>
      <c r="D6" s="42">
        <f>24.5/Segments!D20</f>
        <v>1.0885985959299743E-2</v>
      </c>
      <c r="E6" s="42">
        <f>27.9/Segments!E20</f>
        <v>1.1362248014660965E-2</v>
      </c>
      <c r="F6" s="43"/>
      <c r="G6" s="43"/>
      <c r="H6" s="43"/>
      <c r="I6" s="43"/>
      <c r="J6" s="43"/>
    </row>
    <row r="7" spans="1:10" ht="15" customHeight="1" x14ac:dyDescent="0.45">
      <c r="B7" t="s">
        <v>84</v>
      </c>
      <c r="D7">
        <f>BS!D25/IS!D10*365</f>
        <v>36.252468023006273</v>
      </c>
      <c r="E7">
        <f>BS!E25/IS!E10*365</f>
        <v>37.654367469879517</v>
      </c>
      <c r="F7" s="44"/>
      <c r="G7" s="44"/>
      <c r="H7" s="44"/>
      <c r="I7" s="44"/>
      <c r="J7" s="44"/>
    </row>
    <row r="8" spans="1:10" ht="15" customHeight="1" x14ac:dyDescent="0.45">
      <c r="B8" t="s">
        <v>85</v>
      </c>
      <c r="D8">
        <f>BS!D26/(IS!D10-IS!D11)*365</f>
        <v>88.391693106432086</v>
      </c>
      <c r="E8">
        <f>BS!E26/(IS!E10-IS!E11)*365</f>
        <v>82.135346871456562</v>
      </c>
      <c r="F8" s="44"/>
      <c r="G8" s="44"/>
      <c r="H8" s="44"/>
      <c r="I8" s="44"/>
      <c r="J8" s="44"/>
    </row>
    <row r="9" spans="1:10" ht="15" customHeight="1" x14ac:dyDescent="0.45">
      <c r="B9" t="s">
        <v>86</v>
      </c>
      <c r="D9" s="42">
        <f>BS!D24/IS!D10</f>
        <v>5.837410936561079E-3</v>
      </c>
      <c r="E9" s="42">
        <f>BS!E24/IS!E10</f>
        <v>7.8075459733671542E-3</v>
      </c>
      <c r="F9" s="43"/>
      <c r="G9" s="43"/>
      <c r="H9" s="43"/>
      <c r="I9" s="43"/>
      <c r="J9" s="43"/>
    </row>
    <row r="10" spans="1:10" ht="15" customHeight="1" x14ac:dyDescent="0.45">
      <c r="B10" t="s">
        <v>87</v>
      </c>
      <c r="D10" s="42">
        <f>BS!D32/IS!D10</f>
        <v>6.9276332732423382E-2</v>
      </c>
      <c r="E10" s="42">
        <f>BS!E32/IS!E10</f>
        <v>8.2910589727330369E-2</v>
      </c>
      <c r="F10" s="43"/>
      <c r="G10" s="43"/>
      <c r="H10" s="43"/>
      <c r="I10" s="43"/>
      <c r="J10" s="43"/>
    </row>
    <row r="11" spans="1:10" ht="15" customHeight="1" x14ac:dyDescent="0.45">
      <c r="B11" t="s">
        <v>88</v>
      </c>
      <c r="D11">
        <f>BS!D38/(IS!D10-IS!D11)*365</f>
        <v>84.180559561580623</v>
      </c>
      <c r="E11">
        <f>BS!E38/(IS!E10-IS!E11)*365</f>
        <v>76.378723842902801</v>
      </c>
      <c r="F11" s="44"/>
      <c r="G11" s="44"/>
      <c r="H11" s="44"/>
      <c r="I11" s="44"/>
      <c r="J11" s="44"/>
    </row>
    <row r="12" spans="1:10" ht="15" customHeight="1" x14ac:dyDescent="0.45">
      <c r="B12" t="s">
        <v>89</v>
      </c>
      <c r="D12" s="42">
        <f>BS!D39/IS!D10</f>
        <v>5.2794231264486225E-3</v>
      </c>
      <c r="E12" s="42">
        <f>BS!E39/IS!E10</f>
        <v>9.0361445783132543E-3</v>
      </c>
      <c r="F12" s="43"/>
      <c r="G12" s="43"/>
      <c r="H12" s="43"/>
      <c r="I12" s="43"/>
      <c r="J12" s="43"/>
    </row>
    <row r="13" spans="1:10" ht="15" customHeight="1" x14ac:dyDescent="0.45">
      <c r="B13" t="s">
        <v>90</v>
      </c>
      <c r="D13" s="42">
        <f>-BS!D40/IS!D22</f>
        <v>0.68331846565566456</v>
      </c>
      <c r="E13" s="42">
        <f>-BS!E40/IS!E22</f>
        <v>0.83864734299516908</v>
      </c>
      <c r="F13" s="43"/>
      <c r="G13" s="43"/>
      <c r="H13" s="43"/>
      <c r="I13" s="43"/>
      <c r="J13" s="43"/>
    </row>
    <row r="14" spans="1:10" ht="15" customHeight="1" x14ac:dyDescent="0.45">
      <c r="B14" t="s">
        <v>91</v>
      </c>
      <c r="D14" s="42">
        <f>BS!D44/IS!D10</f>
        <v>3.1976993733367681E-2</v>
      </c>
      <c r="E14" s="42">
        <f>BS!E44/IS!E10</f>
        <v>3.4281864299302474E-2</v>
      </c>
      <c r="F14" s="43"/>
      <c r="G14" s="43"/>
      <c r="H14" s="43"/>
      <c r="I14" s="43"/>
      <c r="J14" s="43"/>
    </row>
    <row r="15" spans="1:10" ht="15" customHeight="1" x14ac:dyDescent="0.45">
      <c r="A15"/>
    </row>
    <row r="16" spans="1:10" ht="15" customHeight="1" x14ac:dyDescent="0.45">
      <c r="A16" s="12" t="s">
        <v>92</v>
      </c>
    </row>
    <row r="17" spans="1:10" ht="15" customHeight="1" x14ac:dyDescent="0.45">
      <c r="B17" t="s">
        <v>93</v>
      </c>
      <c r="D17">
        <v>0</v>
      </c>
      <c r="E17">
        <v>0</v>
      </c>
      <c r="F17" s="44"/>
      <c r="G17" s="44"/>
      <c r="H17" s="44"/>
      <c r="I17" s="44"/>
      <c r="J17" s="44"/>
    </row>
    <row r="18" spans="1:10" ht="15" customHeight="1" x14ac:dyDescent="0.45">
      <c r="B18" t="s">
        <v>94</v>
      </c>
      <c r="D18" s="42">
        <v>1.4999999999999999E-2</v>
      </c>
      <c r="E18" s="42">
        <v>1.4999999999999999E-2</v>
      </c>
      <c r="F18" s="43"/>
      <c r="G18" s="43"/>
      <c r="H18" s="43"/>
      <c r="I18" s="43"/>
      <c r="J18" s="43"/>
    </row>
    <row r="19" spans="1:10" ht="15" customHeight="1" x14ac:dyDescent="0.45">
      <c r="B19" t="s">
        <v>95</v>
      </c>
      <c r="D19" s="42">
        <v>0.04</v>
      </c>
      <c r="E19" s="42">
        <v>0.04</v>
      </c>
      <c r="F19" s="43"/>
      <c r="G19" s="43"/>
      <c r="H19" s="43"/>
      <c r="I19" s="43"/>
      <c r="J19" s="43"/>
    </row>
    <row r="20" spans="1:10" ht="15" customHeight="1" x14ac:dyDescent="0.45">
      <c r="B20" t="s">
        <v>96</v>
      </c>
      <c r="D20" s="42">
        <v>0.01</v>
      </c>
      <c r="E20" s="42">
        <v>0.01</v>
      </c>
      <c r="F20" s="43"/>
      <c r="G20" s="43"/>
      <c r="H20" s="43"/>
      <c r="I20" s="43"/>
      <c r="J20" s="43"/>
    </row>
    <row r="21" spans="1:10" ht="15" customHeight="1" x14ac:dyDescent="0.45">
      <c r="A21"/>
    </row>
    <row r="22" spans="1:10" ht="15" customHeight="1" x14ac:dyDescent="0.45">
      <c r="A22" s="12" t="s">
        <v>62</v>
      </c>
    </row>
    <row r="23" spans="1:10" ht="15" customHeight="1" x14ac:dyDescent="0.45">
      <c r="B23" t="s">
        <v>30</v>
      </c>
      <c r="D23" s="41">
        <v>545.5</v>
      </c>
      <c r="E23" s="41">
        <v>617.4</v>
      </c>
    </row>
    <row r="24" spans="1:10" ht="15" customHeight="1" x14ac:dyDescent="0.45">
      <c r="B24" t="s">
        <v>31</v>
      </c>
      <c r="D24" s="41">
        <v>13.6</v>
      </c>
      <c r="E24" s="41">
        <v>19.700000000000003</v>
      </c>
    </row>
    <row r="25" spans="1:10" ht="15" customHeight="1" x14ac:dyDescent="0.45">
      <c r="A25" s="31"/>
      <c r="B25" t="s">
        <v>32</v>
      </c>
      <c r="D25" s="41">
        <v>231.4</v>
      </c>
      <c r="E25" s="41">
        <v>260.3</v>
      </c>
    </row>
    <row r="26" spans="1:10" ht="15" customHeight="1" x14ac:dyDescent="0.45">
      <c r="B26" t="s">
        <v>33</v>
      </c>
      <c r="D26" s="41">
        <v>419.8</v>
      </c>
      <c r="E26" s="41">
        <v>436.6</v>
      </c>
    </row>
    <row r="27" spans="1:10" ht="15" customHeight="1" x14ac:dyDescent="0.45">
      <c r="B27" t="s">
        <v>34</v>
      </c>
      <c r="D27">
        <f>SUM(D23:D26)</f>
        <v>1210.3</v>
      </c>
      <c r="E27">
        <f t="shared" ref="E27" si="0">SUM(E23:E26)</f>
        <v>1334</v>
      </c>
    </row>
    <row r="29" spans="1:10" ht="15" customHeight="1" x14ac:dyDescent="0.45">
      <c r="B29" t="s">
        <v>35</v>
      </c>
      <c r="D29" s="41">
        <v>398.4</v>
      </c>
      <c r="E29" s="41">
        <v>436.5</v>
      </c>
    </row>
    <row r="30" spans="1:10" ht="15" customHeight="1" x14ac:dyDescent="0.45">
      <c r="B30" t="s">
        <v>36</v>
      </c>
      <c r="D30" s="41">
        <f>195.4-D31</f>
        <v>139.4</v>
      </c>
      <c r="E30" s="41">
        <f>193.5-E31</f>
        <v>152.4</v>
      </c>
    </row>
    <row r="31" spans="1:10" ht="15" customHeight="1" x14ac:dyDescent="0.45">
      <c r="B31" t="s">
        <v>72</v>
      </c>
      <c r="D31" s="41">
        <v>56</v>
      </c>
      <c r="E31" s="41">
        <v>41.1</v>
      </c>
    </row>
    <row r="32" spans="1:10" ht="15" customHeight="1" x14ac:dyDescent="0.45">
      <c r="B32" t="s">
        <v>37</v>
      </c>
      <c r="D32" s="41">
        <v>161.39999999999998</v>
      </c>
      <c r="E32" s="41">
        <v>209.2</v>
      </c>
    </row>
    <row r="33" spans="2:5" ht="15" customHeight="1" x14ac:dyDescent="0.45">
      <c r="B33" t="s">
        <v>38</v>
      </c>
      <c r="D33">
        <f>SUM(D29:D32)</f>
        <v>755.19999999999993</v>
      </c>
      <c r="E33">
        <f t="shared" ref="E33" si="1">SUM(E29:E32)</f>
        <v>839.2</v>
      </c>
    </row>
    <row r="35" spans="2:5" ht="15" customHeight="1" x14ac:dyDescent="0.45">
      <c r="B35" t="s">
        <v>39</v>
      </c>
      <c r="D35">
        <f>D27+D33</f>
        <v>1965.5</v>
      </c>
      <c r="E35">
        <f>E27+E33</f>
        <v>2173.1999999999998</v>
      </c>
    </row>
    <row r="37" spans="2:5" ht="15" customHeight="1" x14ac:dyDescent="0.45">
      <c r="B37" t="s">
        <v>40</v>
      </c>
      <c r="D37" s="41">
        <v>143</v>
      </c>
      <c r="E37" s="41">
        <v>65.2</v>
      </c>
    </row>
    <row r="38" spans="2:5" ht="15" customHeight="1" x14ac:dyDescent="0.45">
      <c r="B38" t="s">
        <v>41</v>
      </c>
      <c r="D38" s="41">
        <v>399.8</v>
      </c>
      <c r="E38" s="41">
        <v>406</v>
      </c>
    </row>
    <row r="39" spans="2:5" ht="15" customHeight="1" x14ac:dyDescent="0.45">
      <c r="B39" t="s">
        <v>42</v>
      </c>
      <c r="D39" s="41">
        <v>12.299999999999999</v>
      </c>
      <c r="E39" s="41">
        <v>22.8</v>
      </c>
    </row>
    <row r="40" spans="2:5" ht="15" customHeight="1" x14ac:dyDescent="0.45">
      <c r="B40" t="s">
        <v>43</v>
      </c>
      <c r="D40" s="41">
        <v>76.599999999999994</v>
      </c>
      <c r="E40" s="41">
        <v>86.8</v>
      </c>
    </row>
    <row r="41" spans="2:5" ht="15" customHeight="1" x14ac:dyDescent="0.45">
      <c r="B41" t="s">
        <v>44</v>
      </c>
      <c r="D41">
        <f>SUM(D37:D40)</f>
        <v>631.69999999999993</v>
      </c>
      <c r="E41">
        <f t="shared" ref="E41" si="2">SUM(E37:E40)</f>
        <v>580.79999999999995</v>
      </c>
    </row>
    <row r="43" spans="2:5" ht="15" customHeight="1" x14ac:dyDescent="0.45">
      <c r="B43" t="s">
        <v>45</v>
      </c>
      <c r="D43" s="41">
        <v>51.3</v>
      </c>
      <c r="E43" s="41">
        <v>54.4</v>
      </c>
    </row>
    <row r="44" spans="2:5" ht="15" customHeight="1" x14ac:dyDescent="0.45">
      <c r="B44" t="s">
        <v>46</v>
      </c>
      <c r="D44" s="41">
        <v>74.500000000000014</v>
      </c>
      <c r="E44" s="41">
        <v>86.5</v>
      </c>
    </row>
    <row r="45" spans="2:5" ht="15" customHeight="1" x14ac:dyDescent="0.45">
      <c r="B45" t="s">
        <v>47</v>
      </c>
      <c r="D45">
        <f>SUM(D43:D44)</f>
        <v>125.80000000000001</v>
      </c>
      <c r="E45">
        <f t="shared" ref="E45" si="3">SUM(E43:E44)</f>
        <v>140.9</v>
      </c>
    </row>
    <row r="47" spans="2:5" ht="15" customHeight="1" x14ac:dyDescent="0.45">
      <c r="B47" t="s">
        <v>48</v>
      </c>
      <c r="D47">
        <f>D41+D45</f>
        <v>757.5</v>
      </c>
      <c r="E47">
        <f t="shared" ref="E47" si="4">E41+E45</f>
        <v>721.69999999999993</v>
      </c>
    </row>
    <row r="49" spans="1:5" ht="15" customHeight="1" x14ac:dyDescent="0.45">
      <c r="B49" t="s">
        <v>49</v>
      </c>
      <c r="D49" s="41">
        <v>1208</v>
      </c>
      <c r="E49" s="41">
        <v>1451.5</v>
      </c>
    </row>
    <row r="50" spans="1:5" ht="15" customHeight="1" x14ac:dyDescent="0.45">
      <c r="B50" t="s">
        <v>50</v>
      </c>
      <c r="D50">
        <f>D47+D49</f>
        <v>1965.5</v>
      </c>
      <c r="E50">
        <f t="shared" ref="E50" si="5">E47+E49</f>
        <v>2173.1999999999998</v>
      </c>
    </row>
    <row r="52" spans="1:5" ht="15" customHeight="1" x14ac:dyDescent="0.45">
      <c r="B52" t="s">
        <v>73</v>
      </c>
      <c r="D52">
        <f>D50-D35</f>
        <v>0</v>
      </c>
      <c r="E52">
        <f t="shared" ref="E52" si="6">E50-E35</f>
        <v>0</v>
      </c>
    </row>
    <row r="54" spans="1:5" ht="15" customHeight="1" x14ac:dyDescent="0.45">
      <c r="A54" s="12" t="s">
        <v>97</v>
      </c>
    </row>
    <row r="55" spans="1:5" ht="15" customHeight="1" x14ac:dyDescent="0.45">
      <c r="B55" t="s">
        <v>98</v>
      </c>
    </row>
    <row r="56" spans="1:5" ht="15" customHeight="1" x14ac:dyDescent="0.45">
      <c r="B56" t="s">
        <v>99</v>
      </c>
    </row>
    <row r="57" spans="1:5" ht="15" customHeight="1" x14ac:dyDescent="0.45">
      <c r="B57" t="s">
        <v>66</v>
      </c>
    </row>
    <row r="58" spans="1:5" ht="15" customHeight="1" x14ac:dyDescent="0.45">
      <c r="B58" t="s">
        <v>100</v>
      </c>
    </row>
    <row r="59" spans="1:5" ht="15" customHeight="1" x14ac:dyDescent="0.45">
      <c r="B59" t="s">
        <v>101</v>
      </c>
      <c r="E59">
        <f>E29</f>
        <v>436.5</v>
      </c>
    </row>
    <row r="61" spans="1:5" ht="15" customHeight="1" x14ac:dyDescent="0.45">
      <c r="B61" t="s">
        <v>102</v>
      </c>
    </row>
    <row r="62" spans="1:5" ht="15" customHeight="1" x14ac:dyDescent="0.45">
      <c r="B62" t="s">
        <v>103</v>
      </c>
    </row>
    <row r="63" spans="1:5" ht="15" customHeight="1" x14ac:dyDescent="0.45">
      <c r="B63" t="s">
        <v>67</v>
      </c>
    </row>
    <row r="64" spans="1:5" ht="15" customHeight="1" x14ac:dyDescent="0.45">
      <c r="B64" t="s">
        <v>104</v>
      </c>
      <c r="E64">
        <f>E30</f>
        <v>152.4</v>
      </c>
    </row>
    <row r="66" spans="2:5" ht="15" customHeight="1" x14ac:dyDescent="0.45">
      <c r="B66" t="s">
        <v>105</v>
      </c>
    </row>
    <row r="67" spans="2:5" ht="15" customHeight="1" x14ac:dyDescent="0.45">
      <c r="B67" t="s">
        <v>67</v>
      </c>
    </row>
    <row r="68" spans="2:5" ht="15" customHeight="1" x14ac:dyDescent="0.45">
      <c r="B68" t="s">
        <v>106</v>
      </c>
      <c r="E68">
        <f>E31</f>
        <v>41.1</v>
      </c>
    </row>
    <row r="70" spans="2:5" ht="15" customHeight="1" x14ac:dyDescent="0.45">
      <c r="B70" t="s">
        <v>107</v>
      </c>
    </row>
    <row r="71" spans="2:5" ht="15" customHeight="1" x14ac:dyDescent="0.45">
      <c r="B71" t="s">
        <v>51</v>
      </c>
    </row>
    <row r="72" spans="2:5" ht="15" customHeight="1" x14ac:dyDescent="0.45">
      <c r="B72" t="s">
        <v>58</v>
      </c>
    </row>
    <row r="73" spans="2:5" ht="15" customHeight="1" x14ac:dyDescent="0.45">
      <c r="B73" t="s">
        <v>108</v>
      </c>
      <c r="E73">
        <f>E49</f>
        <v>1451.5</v>
      </c>
    </row>
    <row r="75" spans="2:5" ht="15" customHeight="1" x14ac:dyDescent="0.45">
      <c r="B75" t="s">
        <v>109</v>
      </c>
    </row>
    <row r="76" spans="2:5" ht="15" customHeight="1" x14ac:dyDescent="0.45">
      <c r="B76" t="str">
        <f>B24</f>
        <v>Other current assets</v>
      </c>
      <c r="D76">
        <f t="shared" ref="D76:E76" si="7">D24</f>
        <v>13.6</v>
      </c>
      <c r="E76">
        <f t="shared" si="7"/>
        <v>19.700000000000003</v>
      </c>
    </row>
    <row r="77" spans="2:5" ht="15" customHeight="1" x14ac:dyDescent="0.45">
      <c r="B77" t="str">
        <f t="shared" ref="B77:E78" si="8">B25</f>
        <v>Trade and other receivables</v>
      </c>
      <c r="D77">
        <f t="shared" si="8"/>
        <v>231.4</v>
      </c>
      <c r="E77">
        <f t="shared" si="8"/>
        <v>260.3</v>
      </c>
    </row>
    <row r="78" spans="2:5" ht="15" customHeight="1" x14ac:dyDescent="0.45">
      <c r="B78" t="str">
        <f t="shared" si="8"/>
        <v>Inventories</v>
      </c>
      <c r="D78">
        <f t="shared" si="8"/>
        <v>419.8</v>
      </c>
      <c r="E78">
        <f t="shared" si="8"/>
        <v>436.6</v>
      </c>
    </row>
    <row r="79" spans="2:5" ht="15" customHeight="1" x14ac:dyDescent="0.45">
      <c r="B79" t="str">
        <f>B38</f>
        <v>Trade and other payables</v>
      </c>
      <c r="D79">
        <f t="shared" ref="D79:E79" si="9">D38</f>
        <v>399.8</v>
      </c>
      <c r="E79">
        <f t="shared" si="9"/>
        <v>406</v>
      </c>
    </row>
    <row r="80" spans="2:5" ht="15" customHeight="1" x14ac:dyDescent="0.45">
      <c r="B80" t="str">
        <f t="shared" ref="B80:E81" si="10">B39</f>
        <v>Other current liabilities</v>
      </c>
      <c r="D80">
        <f t="shared" si="10"/>
        <v>12.299999999999999</v>
      </c>
      <c r="E80">
        <f t="shared" si="10"/>
        <v>22.8</v>
      </c>
    </row>
    <row r="81" spans="1:5" ht="15" customHeight="1" x14ac:dyDescent="0.45">
      <c r="B81" t="str">
        <f t="shared" si="10"/>
        <v>Income tax liabilities</v>
      </c>
      <c r="D81">
        <f t="shared" si="10"/>
        <v>76.599999999999994</v>
      </c>
      <c r="E81">
        <f t="shared" si="10"/>
        <v>86.8</v>
      </c>
    </row>
    <row r="82" spans="1:5" ht="15" customHeight="1" x14ac:dyDescent="0.45">
      <c r="B82" t="s">
        <v>110</v>
      </c>
      <c r="D82">
        <f>SUM(D76:D78)-SUM(D79:D81)</f>
        <v>176.09999999999991</v>
      </c>
      <c r="E82">
        <f>SUM(E76:E78)-SUM(E79:E81)</f>
        <v>201</v>
      </c>
    </row>
    <row r="84" spans="1:5" ht="15" customHeight="1" x14ac:dyDescent="0.45">
      <c r="A84" s="46" t="s">
        <v>147</v>
      </c>
    </row>
  </sheetData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2020&amp;C&amp;10Page &amp;P of &amp;N&amp;R&amp;G</oddFooter>
  </headerFooter>
  <legacyDrawingHF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5B1368-2A90-45CC-8083-A797498315D1}">
  <dimension ref="A1:J38"/>
  <sheetViews>
    <sheetView zoomScaleNormal="100" workbookViewId="0"/>
  </sheetViews>
  <sheetFormatPr defaultColWidth="9.1328125" defaultRowHeight="15" customHeight="1" x14ac:dyDescent="0.45"/>
  <cols>
    <col min="1" max="1" width="1.53125" style="12" customWidth="1"/>
    <col min="2" max="2" width="40.53125" customWidth="1"/>
    <col min="3" max="10" width="11.53125" customWidth="1"/>
    <col min="11" max="11" width="9.1328125" customWidth="1"/>
  </cols>
  <sheetData>
    <row r="1" spans="1:10" ht="45" customHeight="1" x14ac:dyDescent="0.85">
      <c r="A1" s="4" t="s">
        <v>63</v>
      </c>
      <c r="B1" s="7"/>
      <c r="C1" s="9" t="str">
        <f>IS!C1</f>
        <v>Hist.</v>
      </c>
      <c r="D1" s="9" t="str">
        <f>IS!D1</f>
        <v>Hist.</v>
      </c>
      <c r="E1" s="9" t="str">
        <f>IS!E1</f>
        <v>Proj.</v>
      </c>
      <c r="F1" s="9" t="str">
        <f>IS!F1</f>
        <v>Proj.</v>
      </c>
      <c r="G1" s="9" t="str">
        <f>IS!G1</f>
        <v>Proj.</v>
      </c>
      <c r="H1" s="9" t="str">
        <f>IS!H1</f>
        <v>Proj.</v>
      </c>
      <c r="I1" s="9" t="str">
        <f>IS!I1</f>
        <v>Proj.</v>
      </c>
      <c r="J1" s="9" t="str">
        <f>IS!J1</f>
        <v>Proj.</v>
      </c>
    </row>
    <row r="2" spans="1:10" ht="30" customHeight="1" x14ac:dyDescent="0.65">
      <c r="A2" s="11" t="s">
        <v>64</v>
      </c>
      <c r="B2" s="6"/>
      <c r="C2" s="8">
        <f>IS!C2</f>
        <v>41639</v>
      </c>
      <c r="D2" s="8">
        <f>IS!D2</f>
        <v>42004</v>
      </c>
      <c r="E2" s="8">
        <f>IS!E2</f>
        <v>42369</v>
      </c>
      <c r="F2" s="8">
        <f>IS!F2</f>
        <v>42735</v>
      </c>
      <c r="G2" s="8">
        <f>IS!G2</f>
        <v>43100</v>
      </c>
      <c r="H2" s="8">
        <f>IS!H2</f>
        <v>43465</v>
      </c>
      <c r="I2" s="8">
        <f>IS!I2</f>
        <v>43830</v>
      </c>
      <c r="J2" s="8">
        <f>IS!J2</f>
        <v>44196</v>
      </c>
    </row>
    <row r="4" spans="1:10" ht="15" customHeight="1" x14ac:dyDescent="0.45">
      <c r="A4" s="12" t="s">
        <v>63</v>
      </c>
    </row>
    <row r="5" spans="1:10" ht="15" customHeight="1" x14ac:dyDescent="0.45">
      <c r="B5" t="s">
        <v>51</v>
      </c>
      <c r="E5" s="32"/>
      <c r="F5" s="32"/>
      <c r="G5" s="32"/>
      <c r="H5" s="32"/>
      <c r="I5" s="32"/>
      <c r="J5" s="32"/>
    </row>
    <row r="6" spans="1:10" ht="15" customHeight="1" x14ac:dyDescent="0.45">
      <c r="B6" t="s">
        <v>111</v>
      </c>
    </row>
    <row r="7" spans="1:10" ht="15" customHeight="1" x14ac:dyDescent="0.45">
      <c r="B7" t="s">
        <v>52</v>
      </c>
    </row>
    <row r="8" spans="1:10" ht="15" customHeight="1" x14ac:dyDescent="0.45">
      <c r="A8" s="31"/>
      <c r="B8" t="s">
        <v>112</v>
      </c>
    </row>
    <row r="9" spans="1:10" ht="15" customHeight="1" x14ac:dyDescent="0.45">
      <c r="B9" t="s">
        <v>53</v>
      </c>
    </row>
    <row r="10" spans="1:10" ht="15" customHeight="1" x14ac:dyDescent="0.45">
      <c r="B10" t="s">
        <v>113</v>
      </c>
    </row>
    <row r="11" spans="1:10" ht="15" customHeight="1" x14ac:dyDescent="0.45">
      <c r="B11" t="s">
        <v>54</v>
      </c>
    </row>
    <row r="13" spans="1:10" ht="15" customHeight="1" x14ac:dyDescent="0.45">
      <c r="B13" t="s">
        <v>55</v>
      </c>
    </row>
    <row r="14" spans="1:10" ht="15" customHeight="1" x14ac:dyDescent="0.45">
      <c r="B14" t="s">
        <v>114</v>
      </c>
    </row>
    <row r="15" spans="1:10" ht="15" customHeight="1" x14ac:dyDescent="0.45">
      <c r="B15" t="s">
        <v>56</v>
      </c>
    </row>
    <row r="17" spans="1:2" ht="15" customHeight="1" x14ac:dyDescent="0.45">
      <c r="B17" t="s">
        <v>57</v>
      </c>
    </row>
    <row r="18" spans="1:2" ht="15" customHeight="1" x14ac:dyDescent="0.45">
      <c r="B18" t="s">
        <v>58</v>
      </c>
    </row>
    <row r="19" spans="1:2" ht="15" customHeight="1" x14ac:dyDescent="0.45">
      <c r="B19" t="s">
        <v>59</v>
      </c>
    </row>
    <row r="21" spans="1:2" ht="15" customHeight="1" x14ac:dyDescent="0.45">
      <c r="B21" t="s">
        <v>155</v>
      </c>
    </row>
    <row r="22" spans="1:2" ht="15" customHeight="1" x14ac:dyDescent="0.45">
      <c r="B22" t="s">
        <v>60</v>
      </c>
    </row>
    <row r="23" spans="1:2" ht="15" customHeight="1" x14ac:dyDescent="0.45">
      <c r="B23" t="s">
        <v>156</v>
      </c>
    </row>
    <row r="25" spans="1:2" ht="15" customHeight="1" x14ac:dyDescent="0.45">
      <c r="A25" s="12" t="s">
        <v>157</v>
      </c>
    </row>
    <row r="26" spans="1:2" ht="15" customHeight="1" x14ac:dyDescent="0.45">
      <c r="B26" t="s">
        <v>115</v>
      </c>
    </row>
    <row r="27" spans="1:2" ht="15" customHeight="1" x14ac:dyDescent="0.45">
      <c r="B27" t="s">
        <v>117</v>
      </c>
    </row>
    <row r="29" spans="1:2" ht="15" customHeight="1" x14ac:dyDescent="0.45">
      <c r="B29" t="s">
        <v>116</v>
      </c>
    </row>
    <row r="30" spans="1:2" ht="15" customHeight="1" x14ac:dyDescent="0.45">
      <c r="B30" t="s">
        <v>117</v>
      </c>
    </row>
    <row r="32" spans="1:2" ht="15" customHeight="1" x14ac:dyDescent="0.45">
      <c r="B32" t="s">
        <v>154</v>
      </c>
    </row>
    <row r="33" spans="1:2" ht="15" customHeight="1" x14ac:dyDescent="0.45">
      <c r="B33" t="s">
        <v>118</v>
      </c>
    </row>
    <row r="35" spans="1:2" ht="15" customHeight="1" x14ac:dyDescent="0.45">
      <c r="B35" t="s">
        <v>23</v>
      </c>
    </row>
    <row r="37" spans="1:2" ht="15" customHeight="1" x14ac:dyDescent="0.45">
      <c r="A37" s="46" t="s">
        <v>147</v>
      </c>
    </row>
    <row r="38" spans="1:2" ht="15" customHeight="1" x14ac:dyDescent="0.45">
      <c r="A38" s="46"/>
    </row>
  </sheetData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2020&amp;C&amp;10Page &amp;P of &amp;N&amp;R&amp;G</oddFooter>
  </headerFooter>
  <legacyDrawingHF r:id="rId2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53A035-2B32-426A-9218-36F7AB956D22}">
  <dimension ref="A1:K53"/>
  <sheetViews>
    <sheetView workbookViewId="0"/>
  </sheetViews>
  <sheetFormatPr defaultColWidth="9.1328125" defaultRowHeight="15" customHeight="1" x14ac:dyDescent="0.45"/>
  <cols>
    <col min="1" max="1" width="1.53125" style="12" customWidth="1"/>
    <col min="2" max="2" width="40.53125" customWidth="1"/>
    <col min="3" max="3" width="15.19921875" customWidth="1"/>
    <col min="4" max="4" width="10.53125" customWidth="1"/>
    <col min="5" max="10" width="11.53125" customWidth="1"/>
    <col min="11" max="11" width="37" customWidth="1"/>
    <col min="12" max="12" width="23" customWidth="1"/>
  </cols>
  <sheetData>
    <row r="1" spans="1:10" ht="45" customHeight="1" x14ac:dyDescent="0.85">
      <c r="A1" s="4" t="s">
        <v>120</v>
      </c>
      <c r="B1" s="7"/>
      <c r="C1" s="45" t="str">
        <f>IS!C1</f>
        <v>Hist.</v>
      </c>
      <c r="D1" s="45" t="str">
        <f>IS!D1</f>
        <v>Hist.</v>
      </c>
      <c r="E1" s="45" t="str">
        <f>IS!E1</f>
        <v>Proj.</v>
      </c>
      <c r="F1" s="45" t="str">
        <f>IS!F1</f>
        <v>Proj.</v>
      </c>
      <c r="G1" s="45" t="str">
        <f>IS!G1</f>
        <v>Proj.</v>
      </c>
      <c r="H1" s="45" t="str">
        <f>IS!H1</f>
        <v>Proj.</v>
      </c>
      <c r="I1" s="45" t="str">
        <f>IS!I1</f>
        <v>Proj.</v>
      </c>
      <c r="J1" s="45" t="str">
        <f>IS!J1</f>
        <v>Proj.</v>
      </c>
    </row>
    <row r="2" spans="1:10" ht="30" customHeight="1" x14ac:dyDescent="0.65">
      <c r="A2" s="11" t="s">
        <v>64</v>
      </c>
      <c r="B2" s="6"/>
      <c r="C2" s="8">
        <v>41639</v>
      </c>
      <c r="D2" s="8">
        <f>IS!D2</f>
        <v>42004</v>
      </c>
      <c r="E2" s="8">
        <f>IS!E2</f>
        <v>42369</v>
      </c>
      <c r="F2" s="8">
        <f>IS!F2</f>
        <v>42735</v>
      </c>
      <c r="G2" s="8">
        <f>IS!G2</f>
        <v>43100</v>
      </c>
      <c r="H2" s="8">
        <f>IS!H2</f>
        <v>43465</v>
      </c>
      <c r="I2" s="8">
        <f>IS!I2</f>
        <v>43830</v>
      </c>
      <c r="J2" s="8">
        <f>IS!J2</f>
        <v>44196</v>
      </c>
    </row>
    <row r="4" spans="1:10" ht="15" customHeight="1" x14ac:dyDescent="0.45">
      <c r="A4" s="12" t="s">
        <v>122</v>
      </c>
    </row>
    <row r="5" spans="1:10" ht="15" customHeight="1" x14ac:dyDescent="0.45">
      <c r="B5" t="s">
        <v>142</v>
      </c>
      <c r="E5" s="42">
        <f>E42</f>
        <v>0.11389128559102679</v>
      </c>
      <c r="F5" s="42">
        <f>F42</f>
        <v>3.6085626911315005E-2</v>
      </c>
      <c r="G5" s="42">
        <f t="shared" ref="G5:J5" si="0">G42</f>
        <v>4.0000000000000036E-2</v>
      </c>
      <c r="H5" s="42">
        <f t="shared" si="0"/>
        <v>4.0000000000000036E-2</v>
      </c>
      <c r="I5" s="42">
        <f t="shared" si="0"/>
        <v>4.0000000000000258E-2</v>
      </c>
      <c r="J5" s="42">
        <f t="shared" si="0"/>
        <v>4.0000000000000036E-2</v>
      </c>
    </row>
    <row r="6" spans="1:10" ht="15" customHeight="1" x14ac:dyDescent="0.45">
      <c r="B6" t="s">
        <v>143</v>
      </c>
      <c r="E6" s="42">
        <f>E19/D19-1</f>
        <v>3.2006369426751613E-2</v>
      </c>
      <c r="F6" s="43">
        <v>0</v>
      </c>
      <c r="G6" s="43">
        <v>0.01</v>
      </c>
      <c r="H6" s="43">
        <v>0.01</v>
      </c>
      <c r="I6" s="43">
        <v>0.01</v>
      </c>
      <c r="J6" s="43">
        <v>0.01</v>
      </c>
    </row>
    <row r="7" spans="1:10" ht="15" customHeight="1" x14ac:dyDescent="0.45">
      <c r="B7" t="s">
        <v>75</v>
      </c>
      <c r="D7" s="42">
        <f>D21/D20</f>
        <v>0.23527059450813118</v>
      </c>
      <c r="E7" s="42">
        <f>E21/E20</f>
        <v>0.21462024027692933</v>
      </c>
      <c r="F7" s="43">
        <v>0.22</v>
      </c>
      <c r="G7" s="43">
        <v>0.22</v>
      </c>
      <c r="H7" s="43">
        <v>0.22</v>
      </c>
      <c r="I7" s="43">
        <v>0.22</v>
      </c>
      <c r="J7" s="43">
        <v>0.22</v>
      </c>
    </row>
    <row r="8" spans="1:10" ht="15" customHeight="1" x14ac:dyDescent="0.45">
      <c r="B8" t="s">
        <v>76</v>
      </c>
      <c r="E8" s="42">
        <f>-E22/BS!D29</f>
        <v>0.26104417670682734</v>
      </c>
      <c r="F8" s="43">
        <v>0.26100000000000001</v>
      </c>
      <c r="G8" s="43">
        <v>0.26100000000000001</v>
      </c>
      <c r="H8" s="43">
        <v>0.26100000000000001</v>
      </c>
      <c r="I8" s="43">
        <v>0.26100000000000001</v>
      </c>
      <c r="J8" s="43">
        <v>0.26100000000000001</v>
      </c>
    </row>
    <row r="9" spans="1:10" ht="15" customHeight="1" x14ac:dyDescent="0.45">
      <c r="B9" t="s">
        <v>77</v>
      </c>
      <c r="E9" s="42">
        <f>-E23/BS!D30</f>
        <v>0.1413199426111908</v>
      </c>
      <c r="F9" s="43">
        <v>0.14099999999999999</v>
      </c>
      <c r="G9" s="43">
        <v>0.14099999999999999</v>
      </c>
      <c r="H9" s="43">
        <v>0.14099999999999999</v>
      </c>
      <c r="I9" s="43">
        <v>0.14099999999999999</v>
      </c>
      <c r="J9" s="43">
        <v>0.14099999999999999</v>
      </c>
    </row>
    <row r="10" spans="1:10" ht="15" customHeight="1" x14ac:dyDescent="0.45">
      <c r="B10" t="s">
        <v>68</v>
      </c>
      <c r="D10">
        <f>D25</f>
        <v>-12.3</v>
      </c>
      <c r="E10">
        <f>E25</f>
        <v>-4.0999999999999996</v>
      </c>
      <c r="F10" s="44">
        <v>0</v>
      </c>
      <c r="G10" s="44">
        <v>0</v>
      </c>
      <c r="H10" s="44">
        <v>0</v>
      </c>
      <c r="I10" s="44">
        <v>0</v>
      </c>
      <c r="J10" s="44">
        <v>0</v>
      </c>
    </row>
    <row r="12" spans="1:10" ht="15" customHeight="1" x14ac:dyDescent="0.45">
      <c r="A12" s="12" t="s">
        <v>70</v>
      </c>
    </row>
    <row r="13" spans="1:10" ht="15" customHeight="1" x14ac:dyDescent="0.45">
      <c r="B13" t="s">
        <v>74</v>
      </c>
      <c r="E13" s="42">
        <f>E30/D30-1</f>
        <v>-0.14520202020202022</v>
      </c>
      <c r="F13" s="43">
        <v>-0.4</v>
      </c>
      <c r="G13" s="43">
        <v>0</v>
      </c>
      <c r="H13" s="43">
        <v>0.05</v>
      </c>
      <c r="I13" s="43">
        <v>0.05</v>
      </c>
      <c r="J13" s="43">
        <v>0.05</v>
      </c>
    </row>
    <row r="14" spans="1:10" ht="15" customHeight="1" x14ac:dyDescent="0.45">
      <c r="B14" t="s">
        <v>75</v>
      </c>
      <c r="D14" s="42">
        <f>D31/D30</f>
        <v>0.84343434343434331</v>
      </c>
      <c r="E14" s="42">
        <f>E31/E30</f>
        <v>0.82717872968980799</v>
      </c>
      <c r="F14" s="43">
        <v>0.5</v>
      </c>
      <c r="G14" s="43">
        <v>0.5</v>
      </c>
      <c r="H14" s="43">
        <v>0.5</v>
      </c>
      <c r="I14" s="43">
        <v>0.5</v>
      </c>
      <c r="J14" s="43">
        <v>0.5</v>
      </c>
    </row>
    <row r="15" spans="1:10" ht="15" customHeight="1" x14ac:dyDescent="0.45">
      <c r="B15" t="s">
        <v>68</v>
      </c>
      <c r="D15">
        <f>D33</f>
        <v>0</v>
      </c>
      <c r="E15">
        <f>E33</f>
        <v>0</v>
      </c>
      <c r="F15" s="44">
        <v>0</v>
      </c>
      <c r="G15" s="44">
        <v>0</v>
      </c>
      <c r="H15" s="44">
        <v>0</v>
      </c>
      <c r="I15" s="44">
        <v>0</v>
      </c>
      <c r="J15" s="44">
        <v>0</v>
      </c>
    </row>
    <row r="16" spans="1:10" ht="15" customHeight="1" x14ac:dyDescent="0.45">
      <c r="A16"/>
    </row>
    <row r="17" spans="1:11" ht="15" customHeight="1" x14ac:dyDescent="0.45">
      <c r="A17" s="12" t="s">
        <v>122</v>
      </c>
    </row>
    <row r="18" spans="1:11" ht="15" customHeight="1" x14ac:dyDescent="0.45">
      <c r="B18" t="s">
        <v>135</v>
      </c>
      <c r="C18" s="41"/>
      <c r="D18" s="41">
        <v>1622.6</v>
      </c>
      <c r="E18" s="41">
        <v>1807.4</v>
      </c>
      <c r="F18">
        <f>F41</f>
        <v>1872.6211620795109</v>
      </c>
      <c r="G18">
        <f t="shared" ref="G18:J18" si="1">G41</f>
        <v>1947.5260085626912</v>
      </c>
      <c r="H18">
        <f t="shared" si="1"/>
        <v>2025.4270489051989</v>
      </c>
      <c r="I18">
        <f t="shared" si="1"/>
        <v>2106.4441308614073</v>
      </c>
      <c r="J18">
        <f t="shared" si="1"/>
        <v>2190.7018960958635</v>
      </c>
      <c r="K18" t="str">
        <f ca="1">_xlfn.FORMULATEXT(J18)</f>
        <v>=J41</v>
      </c>
    </row>
    <row r="19" spans="1:11" ht="15" customHeight="1" x14ac:dyDescent="0.45">
      <c r="B19" t="s">
        <v>136</v>
      </c>
      <c r="C19" s="41"/>
      <c r="D19" s="41">
        <v>628</v>
      </c>
      <c r="E19" s="41">
        <v>648.1</v>
      </c>
      <c r="F19">
        <f>(1+F6)*E19</f>
        <v>648.1</v>
      </c>
      <c r="G19">
        <f t="shared" ref="G19:J19" si="2">(1+G6)*F19</f>
        <v>654.58100000000002</v>
      </c>
      <c r="H19">
        <f t="shared" si="2"/>
        <v>661.12680999999998</v>
      </c>
      <c r="I19">
        <f t="shared" si="2"/>
        <v>667.73807809999994</v>
      </c>
      <c r="J19">
        <f t="shared" si="2"/>
        <v>674.41545888099995</v>
      </c>
      <c r="K19" t="str">
        <f ca="1">_xlfn.FORMULATEXT(J19)</f>
        <v>=(1+J6)*I19</v>
      </c>
    </row>
    <row r="20" spans="1:11" ht="15" customHeight="1" x14ac:dyDescent="0.45">
      <c r="B20" t="s">
        <v>137</v>
      </c>
      <c r="D20">
        <f>SUM(D18:D19)</f>
        <v>2250.6</v>
      </c>
      <c r="E20">
        <f>SUM(E18:E19)</f>
        <v>2455.5</v>
      </c>
      <c r="F20">
        <f>SUM(F18:F19)</f>
        <v>2520.721162079511</v>
      </c>
      <c r="G20">
        <f t="shared" ref="G20:J20" si="3">SUM(G18:G19)</f>
        <v>2602.1070085626911</v>
      </c>
      <c r="H20">
        <f t="shared" si="3"/>
        <v>2686.5538589051989</v>
      </c>
      <c r="I20">
        <f t="shared" si="3"/>
        <v>2774.182208961407</v>
      </c>
      <c r="J20">
        <f t="shared" si="3"/>
        <v>2865.1173549768637</v>
      </c>
      <c r="K20" t="str">
        <f ca="1">_xlfn.FORMULATEXT(J20)</f>
        <v>=SUM(J18:J19)</v>
      </c>
    </row>
    <row r="21" spans="1:11" ht="15" customHeight="1" x14ac:dyDescent="0.45">
      <c r="B21" t="s">
        <v>65</v>
      </c>
      <c r="D21" s="41">
        <f>393.5-SUM(D22,D23,D25)</f>
        <v>529.5</v>
      </c>
      <c r="E21" s="41">
        <f>399.2-SUM(E22,E23,E25)</f>
        <v>527</v>
      </c>
      <c r="F21">
        <f>F7*F20</f>
        <v>554.55865565749241</v>
      </c>
      <c r="G21">
        <f t="shared" ref="G21:J21" si="4">G7*G20</f>
        <v>572.463541883792</v>
      </c>
      <c r="H21">
        <f t="shared" si="4"/>
        <v>591.04184895914375</v>
      </c>
      <c r="I21">
        <f t="shared" si="4"/>
        <v>610.32008597150957</v>
      </c>
      <c r="J21">
        <f t="shared" si="4"/>
        <v>630.32581809491001</v>
      </c>
      <c r="K21" t="str">
        <f ca="1">_xlfn.FORMULATEXT(J21)</f>
        <v>=J7*J20</v>
      </c>
    </row>
    <row r="22" spans="1:11" ht="15" customHeight="1" x14ac:dyDescent="0.45">
      <c r="B22" t="s">
        <v>66</v>
      </c>
      <c r="D22" s="41">
        <f>-(0.8+88.7+16.1)</f>
        <v>-105.6</v>
      </c>
      <c r="E22" s="41">
        <f>-(1+88.8+14.2)</f>
        <v>-104</v>
      </c>
    </row>
    <row r="23" spans="1:11" ht="15" customHeight="1" x14ac:dyDescent="0.45">
      <c r="B23" t="s">
        <v>67</v>
      </c>
      <c r="D23" s="41">
        <f>-(2.2+15.9)</f>
        <v>-18.100000000000001</v>
      </c>
      <c r="E23" s="41">
        <f>-(1.7+18)</f>
        <v>-19.7</v>
      </c>
    </row>
    <row r="24" spans="1:11" ht="15" customHeight="1" x14ac:dyDescent="0.45">
      <c r="B24" t="s">
        <v>71</v>
      </c>
      <c r="D24">
        <f>D21+D22+D23</f>
        <v>405.79999999999995</v>
      </c>
      <c r="E24">
        <f>E21+E22+E23</f>
        <v>403.3</v>
      </c>
    </row>
    <row r="25" spans="1:11" ht="15" customHeight="1" x14ac:dyDescent="0.45">
      <c r="B25" t="s">
        <v>150</v>
      </c>
      <c r="D25" s="41">
        <v>-12.3</v>
      </c>
      <c r="E25" s="41">
        <v>-4.0999999999999996</v>
      </c>
    </row>
    <row r="26" spans="1:11" ht="15" customHeight="1" x14ac:dyDescent="0.45">
      <c r="B26" t="s">
        <v>22</v>
      </c>
      <c r="D26">
        <f>D24+D25</f>
        <v>393.49999999999994</v>
      </c>
      <c r="E26">
        <f>E24+E25</f>
        <v>399.2</v>
      </c>
    </row>
    <row r="27" spans="1:11" ht="15" customHeight="1" x14ac:dyDescent="0.45">
      <c r="B27" t="s">
        <v>148</v>
      </c>
      <c r="D27" s="42">
        <f t="shared" ref="D27:E27" si="5">D26/D20</f>
        <v>0.17484226428507951</v>
      </c>
      <c r="E27" s="42">
        <f t="shared" si="5"/>
        <v>0.16257381388719203</v>
      </c>
      <c r="F27" s="42"/>
      <c r="G27" s="42"/>
      <c r="H27" s="42"/>
      <c r="I27" s="42"/>
      <c r="J27" s="42"/>
    </row>
    <row r="29" spans="1:11" ht="15" customHeight="1" x14ac:dyDescent="0.45">
      <c r="A29" s="12" t="s">
        <v>70</v>
      </c>
    </row>
    <row r="30" spans="1:11" ht="15" customHeight="1" x14ac:dyDescent="0.45">
      <c r="B30" t="s">
        <v>21</v>
      </c>
      <c r="C30" s="41"/>
      <c r="D30" s="41">
        <v>79.2</v>
      </c>
      <c r="E30" s="41">
        <v>67.7</v>
      </c>
      <c r="F30">
        <f>(1+F13)*E30</f>
        <v>40.619999999999997</v>
      </c>
      <c r="G30">
        <f t="shared" ref="G30:J30" si="6">(1+G13)*F30</f>
        <v>40.619999999999997</v>
      </c>
      <c r="H30">
        <f t="shared" si="6"/>
        <v>42.650999999999996</v>
      </c>
      <c r="I30">
        <f t="shared" si="6"/>
        <v>44.783549999999998</v>
      </c>
      <c r="J30">
        <f t="shared" si="6"/>
        <v>47.022727500000002</v>
      </c>
      <c r="K30" t="str">
        <f ca="1">_xlfn.FORMULATEXT(J30)</f>
        <v>=(1+J13)*I30</v>
      </c>
    </row>
    <row r="31" spans="1:11" ht="15" customHeight="1" x14ac:dyDescent="0.45">
      <c r="B31" t="s">
        <v>65</v>
      </c>
      <c r="D31" s="41">
        <f>66.8-D33</f>
        <v>66.8</v>
      </c>
      <c r="E31" s="41">
        <f>56-E33</f>
        <v>56</v>
      </c>
      <c r="F31">
        <f>F14*F30</f>
        <v>20.309999999999999</v>
      </c>
      <c r="G31">
        <f t="shared" ref="G31:J31" si="7">G14*G30</f>
        <v>20.309999999999999</v>
      </c>
      <c r="H31">
        <f t="shared" si="7"/>
        <v>21.325499999999998</v>
      </c>
      <c r="I31">
        <f t="shared" si="7"/>
        <v>22.391774999999999</v>
      </c>
      <c r="J31">
        <f t="shared" si="7"/>
        <v>23.511363750000001</v>
      </c>
      <c r="K31" t="str">
        <f ca="1">_xlfn.FORMULATEXT(J31)</f>
        <v>=J14*J30</v>
      </c>
    </row>
    <row r="32" spans="1:11" ht="15" customHeight="1" x14ac:dyDescent="0.45">
      <c r="B32" t="s">
        <v>71</v>
      </c>
      <c r="D32">
        <f>D31</f>
        <v>66.8</v>
      </c>
      <c r="E32">
        <f t="shared" ref="E32" si="8">E31</f>
        <v>56</v>
      </c>
    </row>
    <row r="33" spans="1:11" ht="15" customHeight="1" x14ac:dyDescent="0.45">
      <c r="B33" t="s">
        <v>150</v>
      </c>
      <c r="D33" s="41">
        <v>0</v>
      </c>
      <c r="E33" s="41">
        <v>0</v>
      </c>
    </row>
    <row r="34" spans="1:11" ht="15" customHeight="1" x14ac:dyDescent="0.45">
      <c r="B34" t="s">
        <v>22</v>
      </c>
      <c r="D34">
        <f>D32+D33</f>
        <v>66.8</v>
      </c>
      <c r="E34">
        <f t="shared" ref="E34" si="9">E32+E33</f>
        <v>56</v>
      </c>
    </row>
    <row r="35" spans="1:11" ht="15" customHeight="1" x14ac:dyDescent="0.45">
      <c r="B35" t="s">
        <v>148</v>
      </c>
      <c r="D35" s="42">
        <f>D34/D30</f>
        <v>0.84343434343434331</v>
      </c>
      <c r="E35" s="42">
        <f t="shared" ref="E35" si="10">E34/E30</f>
        <v>0.82717872968980799</v>
      </c>
      <c r="F35" s="42"/>
      <c r="G35" s="42"/>
      <c r="H35" s="42"/>
      <c r="I35" s="42"/>
      <c r="J35" s="42"/>
    </row>
    <row r="37" spans="1:11" ht="15" customHeight="1" x14ac:dyDescent="0.45">
      <c r="A37" s="12" t="s">
        <v>146</v>
      </c>
    </row>
    <row r="38" spans="1:11" ht="15" customHeight="1" x14ac:dyDescent="0.45">
      <c r="B38" t="s">
        <v>138</v>
      </c>
      <c r="C38" s="41">
        <v>469</v>
      </c>
      <c r="D38" s="41">
        <v>497</v>
      </c>
      <c r="E38" s="41">
        <v>484</v>
      </c>
      <c r="F38" s="44">
        <v>484</v>
      </c>
      <c r="G38" s="44">
        <v>484</v>
      </c>
      <c r="H38" s="44">
        <v>484</v>
      </c>
      <c r="I38" s="44">
        <v>484</v>
      </c>
      <c r="J38" s="44">
        <v>484</v>
      </c>
    </row>
    <row r="39" spans="1:11" ht="15" customHeight="1" x14ac:dyDescent="0.45">
      <c r="B39" t="s">
        <v>141</v>
      </c>
      <c r="E39" s="42">
        <f>E40/D40-1</f>
        <v>9.6859308747127226E-2</v>
      </c>
      <c r="F39" s="43">
        <v>0.05</v>
      </c>
      <c r="G39" s="43">
        <v>0.04</v>
      </c>
      <c r="H39" s="43">
        <v>0.04</v>
      </c>
      <c r="I39" s="43">
        <v>0.04</v>
      </c>
      <c r="J39" s="43">
        <v>0.04</v>
      </c>
    </row>
    <row r="40" spans="1:11" ht="15" customHeight="1" x14ac:dyDescent="0.45">
      <c r="B40" t="s">
        <v>139</v>
      </c>
      <c r="D40">
        <f>D18/AVERAGE(C38:D38)</f>
        <v>3.3594202898550725</v>
      </c>
      <c r="E40">
        <f>E18/AVERAGE(D38:E38)</f>
        <v>3.6848114169215087</v>
      </c>
      <c r="F40">
        <f>(1+F39)*E40</f>
        <v>3.8690519877675844</v>
      </c>
      <c r="G40">
        <f t="shared" ref="G40:J40" si="11">(1+G39)*F40</f>
        <v>4.0238140672782876</v>
      </c>
      <c r="H40">
        <f t="shared" si="11"/>
        <v>4.1847666299694195</v>
      </c>
      <c r="I40">
        <f t="shared" si="11"/>
        <v>4.3521572951681966</v>
      </c>
      <c r="J40">
        <f t="shared" si="11"/>
        <v>4.5262435869749247</v>
      </c>
      <c r="K40" t="str">
        <f t="shared" ref="K40:K42" ca="1" si="12">_xlfn.FORMULATEXT(J40)</f>
        <v>=(1+J39)*I40</v>
      </c>
    </row>
    <row r="41" spans="1:11" ht="15" customHeight="1" x14ac:dyDescent="0.45">
      <c r="B41" t="s">
        <v>135</v>
      </c>
      <c r="D41">
        <f>D18</f>
        <v>1622.6</v>
      </c>
      <c r="E41">
        <f>E18</f>
        <v>1807.4</v>
      </c>
      <c r="F41">
        <f>F40*AVERAGE(E38,F38)</f>
        <v>1872.6211620795109</v>
      </c>
      <c r="G41">
        <f t="shared" ref="G41:J41" si="13">G40*AVERAGE(F38,G38)</f>
        <v>1947.5260085626912</v>
      </c>
      <c r="H41">
        <f t="shared" si="13"/>
        <v>2025.4270489051989</v>
      </c>
      <c r="I41">
        <f t="shared" si="13"/>
        <v>2106.4441308614073</v>
      </c>
      <c r="J41">
        <f t="shared" si="13"/>
        <v>2190.7018960958635</v>
      </c>
      <c r="K41" t="str">
        <f t="shared" ca="1" si="12"/>
        <v>=J40*AVERAGE(I38,J38)</v>
      </c>
    </row>
    <row r="42" spans="1:11" ht="15" customHeight="1" x14ac:dyDescent="0.45">
      <c r="B42" t="s">
        <v>140</v>
      </c>
      <c r="E42" s="42">
        <f t="shared" ref="E42" si="14">E41/D41-1</f>
        <v>0.11389128559102679</v>
      </c>
      <c r="F42" s="42">
        <f>F41/E41-1</f>
        <v>3.6085626911315005E-2</v>
      </c>
      <c r="G42" s="42">
        <f t="shared" ref="G42:J42" si="15">G41/F41-1</f>
        <v>4.0000000000000036E-2</v>
      </c>
      <c r="H42" s="42">
        <f t="shared" si="15"/>
        <v>4.0000000000000036E-2</v>
      </c>
      <c r="I42" s="42">
        <f t="shared" si="15"/>
        <v>4.0000000000000258E-2</v>
      </c>
      <c r="J42" s="42">
        <f t="shared" si="15"/>
        <v>4.0000000000000036E-2</v>
      </c>
      <c r="K42" t="str">
        <f t="shared" ca="1" si="12"/>
        <v>=J41/I41-1</v>
      </c>
    </row>
    <row r="44" spans="1:11" ht="15" customHeight="1" x14ac:dyDescent="0.45">
      <c r="A44" s="46" t="s">
        <v>147</v>
      </c>
    </row>
    <row r="53" spans="1:1" ht="15" customHeight="1" x14ac:dyDescent="0.45">
      <c r="A53" s="46"/>
    </row>
  </sheetData>
  <pageMargins left="0.7" right="0.7" top="0.75" bottom="0.75" header="0.3" footer="0.3"/>
  <legacy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0A1F7E-25C7-441A-BCCA-C683E8A72150}">
  <dimension ref="A1:K32"/>
  <sheetViews>
    <sheetView workbookViewId="0"/>
  </sheetViews>
  <sheetFormatPr defaultColWidth="9.1328125" defaultRowHeight="15" customHeight="1" x14ac:dyDescent="0.45"/>
  <cols>
    <col min="1" max="1" width="1.53125" style="12" customWidth="1"/>
    <col min="2" max="2" width="40.53125" customWidth="1"/>
    <col min="3" max="4" width="10.53125" customWidth="1"/>
    <col min="5" max="10" width="11.53125" customWidth="1"/>
    <col min="11" max="11" width="32.53125" bestFit="1" customWidth="1"/>
  </cols>
  <sheetData>
    <row r="1" spans="1:11" ht="45" customHeight="1" x14ac:dyDescent="0.85">
      <c r="A1" s="4" t="s">
        <v>119</v>
      </c>
      <c r="B1" s="7"/>
      <c r="C1" s="9"/>
      <c r="D1" s="9"/>
      <c r="E1" s="9"/>
      <c r="F1" s="9" t="str">
        <f>IS!F1</f>
        <v>Proj.</v>
      </c>
      <c r="G1" s="9" t="str">
        <f>IS!G1</f>
        <v>Proj.</v>
      </c>
      <c r="H1" s="9" t="str">
        <f>IS!H1</f>
        <v>Proj.</v>
      </c>
      <c r="I1" s="9" t="str">
        <f>IS!I1</f>
        <v>Proj.</v>
      </c>
      <c r="J1" s="9" t="str">
        <f>IS!J1</f>
        <v>Proj.</v>
      </c>
    </row>
    <row r="2" spans="1:11" ht="30" customHeight="1" x14ac:dyDescent="0.65">
      <c r="A2" s="11" t="s">
        <v>64</v>
      </c>
      <c r="B2" s="6"/>
      <c r="C2" s="8"/>
      <c r="D2" s="8"/>
      <c r="E2" s="8"/>
      <c r="F2" s="8">
        <f>IS!F2</f>
        <v>42735</v>
      </c>
      <c r="G2" s="8">
        <f>IS!G2</f>
        <v>43100</v>
      </c>
      <c r="H2" s="8">
        <f>IS!H2</f>
        <v>43465</v>
      </c>
      <c r="I2" s="8">
        <f>IS!I2</f>
        <v>43830</v>
      </c>
      <c r="J2" s="8">
        <f>IS!J2</f>
        <v>44196</v>
      </c>
    </row>
    <row r="3" spans="1:11" ht="15" customHeight="1" x14ac:dyDescent="0.45">
      <c r="K3" s="40"/>
    </row>
    <row r="4" spans="1:11" ht="15" customHeight="1" x14ac:dyDescent="0.45">
      <c r="B4" t="s">
        <v>123</v>
      </c>
      <c r="C4" s="44">
        <v>2</v>
      </c>
      <c r="K4" s="40"/>
    </row>
    <row r="5" spans="1:11" ht="15" customHeight="1" x14ac:dyDescent="0.45">
      <c r="K5" s="40"/>
    </row>
    <row r="6" spans="1:11" ht="15" customHeight="1" x14ac:dyDescent="0.45">
      <c r="A6" s="12" t="s">
        <v>125</v>
      </c>
      <c r="K6" s="40"/>
    </row>
    <row r="7" spans="1:11" ht="15" customHeight="1" x14ac:dyDescent="0.45">
      <c r="B7" t="s">
        <v>145</v>
      </c>
      <c r="K7" s="40"/>
    </row>
    <row r="8" spans="1:11" ht="15" customHeight="1" x14ac:dyDescent="0.45">
      <c r="B8" t="s">
        <v>124</v>
      </c>
      <c r="C8" s="41">
        <v>1</v>
      </c>
      <c r="D8" s="41"/>
      <c r="F8" s="43">
        <f>F9-1%</f>
        <v>-0.01</v>
      </c>
      <c r="G8" s="43">
        <f t="shared" ref="G8:J8" si="0">G9-1%</f>
        <v>-0.01</v>
      </c>
      <c r="H8" s="43">
        <f t="shared" si="0"/>
        <v>-0.01</v>
      </c>
      <c r="I8" s="43">
        <f t="shared" si="0"/>
        <v>-0.01</v>
      </c>
      <c r="J8" s="43">
        <f t="shared" si="0"/>
        <v>-0.01</v>
      </c>
      <c r="K8" s="40"/>
    </row>
    <row r="9" spans="1:11" ht="15" customHeight="1" x14ac:dyDescent="0.45">
      <c r="B9" t="s">
        <v>126</v>
      </c>
      <c r="C9" s="41">
        <v>2</v>
      </c>
      <c r="D9" s="41"/>
      <c r="F9" s="42"/>
      <c r="G9" s="42"/>
      <c r="H9" s="42"/>
      <c r="I9" s="42"/>
      <c r="J9" s="42"/>
      <c r="K9" s="40"/>
    </row>
    <row r="10" spans="1:11" ht="15" customHeight="1" x14ac:dyDescent="0.45">
      <c r="B10" t="s">
        <v>127</v>
      </c>
      <c r="C10" s="41">
        <v>3</v>
      </c>
      <c r="D10" s="41"/>
      <c r="F10" s="43">
        <f>F9+1%</f>
        <v>0.01</v>
      </c>
      <c r="G10" s="43">
        <f t="shared" ref="G10:J10" si="1">G9+1%</f>
        <v>0.01</v>
      </c>
      <c r="H10" s="43">
        <f t="shared" si="1"/>
        <v>0.01</v>
      </c>
      <c r="I10" s="43">
        <f t="shared" si="1"/>
        <v>0.01</v>
      </c>
      <c r="J10" s="43">
        <f t="shared" si="1"/>
        <v>0.01</v>
      </c>
      <c r="K10" s="40"/>
    </row>
    <row r="11" spans="1:11" ht="15" customHeight="1" x14ac:dyDescent="0.45">
      <c r="C11" s="41"/>
      <c r="D11" s="41"/>
      <c r="K11" s="40"/>
    </row>
    <row r="12" spans="1:11" ht="15" customHeight="1" x14ac:dyDescent="0.45">
      <c r="B12" t="s">
        <v>144</v>
      </c>
      <c r="K12" s="40"/>
    </row>
    <row r="13" spans="1:11" ht="15" customHeight="1" x14ac:dyDescent="0.45">
      <c r="B13" t="s">
        <v>124</v>
      </c>
      <c r="C13" s="41">
        <v>1</v>
      </c>
      <c r="D13" s="41"/>
      <c r="E13" s="41"/>
      <c r="F13" s="43">
        <f>0</f>
        <v>0</v>
      </c>
      <c r="G13" s="43">
        <f t="shared" ref="G13:J13" si="2">G14-1%</f>
        <v>0</v>
      </c>
      <c r="H13" s="43">
        <f t="shared" si="2"/>
        <v>0</v>
      </c>
      <c r="I13" s="43">
        <f t="shared" si="2"/>
        <v>0</v>
      </c>
      <c r="J13" s="43">
        <f t="shared" si="2"/>
        <v>0</v>
      </c>
      <c r="K13" s="40"/>
    </row>
    <row r="14" spans="1:11" ht="15" customHeight="1" x14ac:dyDescent="0.45">
      <c r="B14" t="s">
        <v>126</v>
      </c>
      <c r="C14" s="41">
        <v>2</v>
      </c>
      <c r="D14" s="41"/>
      <c r="E14" s="41"/>
      <c r="F14" s="43">
        <v>0</v>
      </c>
      <c r="G14" s="43">
        <v>0.01</v>
      </c>
      <c r="H14" s="43">
        <v>0.01</v>
      </c>
      <c r="I14" s="43">
        <v>0.01</v>
      </c>
      <c r="J14" s="43">
        <v>0.01</v>
      </c>
      <c r="K14" s="40"/>
    </row>
    <row r="15" spans="1:11" ht="15" customHeight="1" x14ac:dyDescent="0.45">
      <c r="B15" t="s">
        <v>127</v>
      </c>
      <c r="C15" s="41">
        <v>3</v>
      </c>
      <c r="D15" s="41"/>
      <c r="E15" s="41"/>
      <c r="F15" s="43">
        <f>F14+1%</f>
        <v>0.01</v>
      </c>
      <c r="G15" s="43">
        <f t="shared" ref="G15:J15" si="3">G14+1%</f>
        <v>0.02</v>
      </c>
      <c r="H15" s="43">
        <f t="shared" si="3"/>
        <v>0.02</v>
      </c>
      <c r="I15" s="43">
        <f t="shared" si="3"/>
        <v>0.02</v>
      </c>
      <c r="J15" s="43">
        <f t="shared" si="3"/>
        <v>0.02</v>
      </c>
      <c r="K15" s="40"/>
    </row>
    <row r="16" spans="1:11" ht="15" customHeight="1" x14ac:dyDescent="0.45">
      <c r="C16" s="41"/>
      <c r="D16" s="41"/>
      <c r="E16" s="41"/>
      <c r="K16" s="40"/>
    </row>
    <row r="17" spans="1:11" ht="15" customHeight="1" x14ac:dyDescent="0.45">
      <c r="B17" t="s">
        <v>128</v>
      </c>
      <c r="C17" s="41"/>
      <c r="D17" s="41"/>
      <c r="E17" s="41"/>
      <c r="K17" s="40"/>
    </row>
    <row r="18" spans="1:11" ht="15" customHeight="1" x14ac:dyDescent="0.45">
      <c r="B18" t="s">
        <v>124</v>
      </c>
      <c r="C18" s="41">
        <v>1</v>
      </c>
      <c r="D18" s="41"/>
      <c r="E18" s="41"/>
      <c r="F18" s="43">
        <f>F19-1%</f>
        <v>0.21</v>
      </c>
      <c r="G18" s="43">
        <f t="shared" ref="G18:J18" si="4">G19-1%</f>
        <v>0.21</v>
      </c>
      <c r="H18" s="43">
        <f t="shared" si="4"/>
        <v>0.21</v>
      </c>
      <c r="I18" s="43">
        <f t="shared" si="4"/>
        <v>0.21</v>
      </c>
      <c r="J18" s="43">
        <f t="shared" si="4"/>
        <v>0.21</v>
      </c>
      <c r="K18" s="40"/>
    </row>
    <row r="19" spans="1:11" ht="15" customHeight="1" x14ac:dyDescent="0.45">
      <c r="B19" t="s">
        <v>126</v>
      </c>
      <c r="C19" s="41">
        <v>2</v>
      </c>
      <c r="D19" s="41"/>
      <c r="E19" s="41"/>
      <c r="F19" s="43">
        <v>0.22</v>
      </c>
      <c r="G19" s="43">
        <v>0.22</v>
      </c>
      <c r="H19" s="43">
        <v>0.22</v>
      </c>
      <c r="I19" s="43">
        <v>0.22</v>
      </c>
      <c r="J19" s="43">
        <v>0.22</v>
      </c>
      <c r="K19" s="40"/>
    </row>
    <row r="20" spans="1:11" ht="15" customHeight="1" x14ac:dyDescent="0.45">
      <c r="B20" t="s">
        <v>127</v>
      </c>
      <c r="C20" s="41">
        <v>3</v>
      </c>
      <c r="D20" s="41"/>
      <c r="E20" s="41"/>
      <c r="F20" s="43">
        <f>F19+1%</f>
        <v>0.23</v>
      </c>
      <c r="G20" s="43">
        <f t="shared" ref="G20:J20" si="5">G19+1%</f>
        <v>0.23</v>
      </c>
      <c r="H20" s="43">
        <f t="shared" si="5"/>
        <v>0.23</v>
      </c>
      <c r="I20" s="43">
        <f t="shared" si="5"/>
        <v>0.23</v>
      </c>
      <c r="J20" s="43">
        <f t="shared" si="5"/>
        <v>0.23</v>
      </c>
      <c r="K20" s="40"/>
    </row>
    <row r="21" spans="1:11" ht="15" customHeight="1" x14ac:dyDescent="0.45">
      <c r="K21" s="40"/>
    </row>
    <row r="22" spans="1:11" ht="15" customHeight="1" x14ac:dyDescent="0.45">
      <c r="A22" s="12" t="s">
        <v>70</v>
      </c>
      <c r="K22" s="40"/>
    </row>
    <row r="23" spans="1:11" ht="15" customHeight="1" x14ac:dyDescent="0.45">
      <c r="B23" t="s">
        <v>124</v>
      </c>
      <c r="C23" s="41">
        <v>1</v>
      </c>
      <c r="D23" s="41"/>
      <c r="E23" s="41"/>
      <c r="F23" s="43">
        <f>F24-5%</f>
        <v>-0.45</v>
      </c>
      <c r="G23" s="43">
        <f t="shared" ref="G23:J23" si="6">G24-5%</f>
        <v>-0.05</v>
      </c>
      <c r="H23" s="43">
        <f t="shared" si="6"/>
        <v>0</v>
      </c>
      <c r="I23" s="43">
        <f t="shared" si="6"/>
        <v>0</v>
      </c>
      <c r="J23" s="43">
        <f t="shared" si="6"/>
        <v>0</v>
      </c>
      <c r="K23" s="40"/>
    </row>
    <row r="24" spans="1:11" ht="15" customHeight="1" x14ac:dyDescent="0.45">
      <c r="B24" t="s">
        <v>126</v>
      </c>
      <c r="C24" s="41">
        <v>2</v>
      </c>
      <c r="D24" s="41"/>
      <c r="E24" s="41"/>
      <c r="F24" s="43">
        <v>-0.4</v>
      </c>
      <c r="G24" s="43">
        <v>0</v>
      </c>
      <c r="H24" s="43">
        <v>0.05</v>
      </c>
      <c r="I24" s="43">
        <v>0.05</v>
      </c>
      <c r="J24" s="43">
        <v>0.05</v>
      </c>
      <c r="K24" s="40"/>
    </row>
    <row r="25" spans="1:11" ht="15" customHeight="1" x14ac:dyDescent="0.45">
      <c r="B25" t="s">
        <v>127</v>
      </c>
      <c r="C25" s="41">
        <v>3</v>
      </c>
      <c r="D25" s="41"/>
      <c r="E25" s="41"/>
      <c r="F25" s="43">
        <f>F24+5%</f>
        <v>-0.35000000000000003</v>
      </c>
      <c r="G25" s="43">
        <f t="shared" ref="G25:J25" si="7">G24+5%</f>
        <v>0.05</v>
      </c>
      <c r="H25" s="43">
        <f t="shared" si="7"/>
        <v>0.1</v>
      </c>
      <c r="I25" s="43">
        <f t="shared" si="7"/>
        <v>0.1</v>
      </c>
      <c r="J25" s="43">
        <f t="shared" si="7"/>
        <v>0.1</v>
      </c>
      <c r="K25" s="40"/>
    </row>
    <row r="26" spans="1:11" ht="15" customHeight="1" x14ac:dyDescent="0.45">
      <c r="C26" s="41"/>
      <c r="D26" s="41"/>
      <c r="E26" s="41"/>
      <c r="K26" s="40"/>
    </row>
    <row r="27" spans="1:11" ht="15" customHeight="1" x14ac:dyDescent="0.45">
      <c r="B27" t="s">
        <v>128</v>
      </c>
      <c r="C27" s="41"/>
      <c r="D27" s="41"/>
      <c r="E27" s="41"/>
      <c r="K27" s="40"/>
    </row>
    <row r="28" spans="1:11" ht="15" customHeight="1" x14ac:dyDescent="0.45">
      <c r="B28" t="s">
        <v>124</v>
      </c>
      <c r="C28" s="41">
        <v>1</v>
      </c>
      <c r="D28" s="41"/>
      <c r="E28" s="41"/>
      <c r="F28" s="43">
        <f>F29-10%</f>
        <v>0.4</v>
      </c>
      <c r="G28" s="43">
        <f t="shared" ref="G28:J28" si="8">G29-10%</f>
        <v>0.4</v>
      </c>
      <c r="H28" s="43">
        <f t="shared" si="8"/>
        <v>0.4</v>
      </c>
      <c r="I28" s="43">
        <f t="shared" si="8"/>
        <v>0.4</v>
      </c>
      <c r="J28" s="43">
        <f t="shared" si="8"/>
        <v>0.4</v>
      </c>
      <c r="K28" s="40"/>
    </row>
    <row r="29" spans="1:11" ht="15" customHeight="1" x14ac:dyDescent="0.45">
      <c r="B29" t="s">
        <v>126</v>
      </c>
      <c r="C29" s="41">
        <v>2</v>
      </c>
      <c r="D29" s="41"/>
      <c r="E29" s="41"/>
      <c r="F29" s="43">
        <v>0.5</v>
      </c>
      <c r="G29" s="43">
        <v>0.5</v>
      </c>
      <c r="H29" s="43">
        <v>0.5</v>
      </c>
      <c r="I29" s="43">
        <v>0.5</v>
      </c>
      <c r="J29" s="43">
        <v>0.5</v>
      </c>
      <c r="K29" s="40"/>
    </row>
    <row r="30" spans="1:11" ht="15" customHeight="1" x14ac:dyDescent="0.45">
      <c r="B30" t="s">
        <v>127</v>
      </c>
      <c r="C30" s="41">
        <v>3</v>
      </c>
      <c r="D30" s="41"/>
      <c r="E30" s="41"/>
      <c r="F30" s="43">
        <f>F29+10%</f>
        <v>0.6</v>
      </c>
      <c r="G30" s="43">
        <f t="shared" ref="G30:J30" si="9">G29+10%</f>
        <v>0.6</v>
      </c>
      <c r="H30" s="43">
        <f t="shared" si="9"/>
        <v>0.6</v>
      </c>
      <c r="I30" s="43">
        <f t="shared" si="9"/>
        <v>0.6</v>
      </c>
      <c r="J30" s="43">
        <f t="shared" si="9"/>
        <v>0.6</v>
      </c>
      <c r="K30" s="40"/>
    </row>
    <row r="31" spans="1:11" ht="15" customHeight="1" x14ac:dyDescent="0.45">
      <c r="K31" s="40"/>
    </row>
    <row r="32" spans="1:11" ht="15" customHeight="1" x14ac:dyDescent="0.45">
      <c r="A32" s="46" t="s">
        <v>147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8CA156-2052-47B5-814D-770E38FC7014}">
  <dimension ref="A1:I26"/>
  <sheetViews>
    <sheetView workbookViewId="0"/>
  </sheetViews>
  <sheetFormatPr defaultColWidth="9.1328125" defaultRowHeight="15.75" x14ac:dyDescent="0.45"/>
  <cols>
    <col min="1" max="1" width="1.53125" style="12" customWidth="1"/>
    <col min="2" max="2" width="40.53125" customWidth="1"/>
    <col min="3" max="3" width="14.86328125" customWidth="1"/>
    <col min="4" max="4" width="10.53125" customWidth="1"/>
    <col min="5" max="8" width="11.53125" customWidth="1"/>
    <col min="9" max="9" width="32.53125" bestFit="1" customWidth="1"/>
  </cols>
  <sheetData>
    <row r="1" spans="1:9" ht="45" customHeight="1" x14ac:dyDescent="0.85">
      <c r="A1" s="4" t="s">
        <v>129</v>
      </c>
      <c r="B1" s="7"/>
      <c r="C1" s="7"/>
      <c r="D1" s="9"/>
      <c r="E1" s="9"/>
      <c r="F1" s="9"/>
      <c r="G1" s="9"/>
      <c r="H1" s="9"/>
    </row>
    <row r="2" spans="1:9" ht="30" customHeight="1" x14ac:dyDescent="0.65">
      <c r="A2" s="11"/>
      <c r="B2" s="6"/>
      <c r="C2" s="6"/>
      <c r="D2" s="8"/>
      <c r="E2" s="8"/>
      <c r="F2" s="8">
        <f>IS!F2</f>
        <v>42735</v>
      </c>
      <c r="G2" s="8">
        <f>IS!G2</f>
        <v>43100</v>
      </c>
      <c r="H2" s="8">
        <f>IS!H2</f>
        <v>43465</v>
      </c>
    </row>
    <row r="3" spans="1:9" ht="15" customHeight="1" x14ac:dyDescent="0.45">
      <c r="I3" s="40"/>
    </row>
    <row r="4" spans="1:9" ht="15" customHeight="1" x14ac:dyDescent="0.45">
      <c r="B4" t="s">
        <v>131</v>
      </c>
      <c r="F4" s="41">
        <v>2642</v>
      </c>
      <c r="G4" s="41">
        <v>2762</v>
      </c>
      <c r="H4" s="41">
        <v>2928</v>
      </c>
    </row>
    <row r="5" spans="1:9" ht="15" customHeight="1" x14ac:dyDescent="0.45">
      <c r="B5" t="s">
        <v>130</v>
      </c>
      <c r="F5" s="42"/>
      <c r="G5" s="42"/>
      <c r="H5" s="42"/>
    </row>
    <row r="6" spans="1:9" ht="15" customHeight="1" x14ac:dyDescent="0.45"/>
    <row r="7" spans="1:9" ht="15" customHeight="1" x14ac:dyDescent="0.45">
      <c r="B7" t="s">
        <v>132</v>
      </c>
      <c r="F7" s="41">
        <v>559</v>
      </c>
      <c r="G7" s="41">
        <v>591</v>
      </c>
      <c r="H7" s="41">
        <v>641</v>
      </c>
    </row>
    <row r="8" spans="1:9" ht="15" customHeight="1" x14ac:dyDescent="0.45">
      <c r="B8" t="s">
        <v>130</v>
      </c>
      <c r="F8" s="42"/>
      <c r="G8" s="42"/>
      <c r="H8" s="42"/>
    </row>
    <row r="9" spans="1:9" ht="15" customHeight="1" x14ac:dyDescent="0.45"/>
    <row r="10" spans="1:9" ht="15" customHeight="1" x14ac:dyDescent="0.45">
      <c r="B10" t="s">
        <v>133</v>
      </c>
      <c r="F10" s="41">
        <v>309</v>
      </c>
      <c r="G10" s="41">
        <v>333</v>
      </c>
      <c r="H10" s="41">
        <v>375</v>
      </c>
    </row>
    <row r="11" spans="1:9" ht="15" customHeight="1" x14ac:dyDescent="0.45">
      <c r="B11" t="s">
        <v>130</v>
      </c>
      <c r="F11" s="42"/>
      <c r="G11" s="42"/>
      <c r="H11" s="42"/>
    </row>
    <row r="12" spans="1:9" ht="15" customHeight="1" x14ac:dyDescent="0.45"/>
    <row r="13" spans="1:9" ht="15" customHeight="1" x14ac:dyDescent="0.45">
      <c r="B13" t="s">
        <v>134</v>
      </c>
      <c r="F13" s="41">
        <v>167</v>
      </c>
      <c r="G13" s="41">
        <v>168</v>
      </c>
      <c r="H13" s="41">
        <v>173</v>
      </c>
    </row>
    <row r="14" spans="1:9" ht="15" customHeight="1" x14ac:dyDescent="0.45">
      <c r="B14" t="s">
        <v>130</v>
      </c>
      <c r="F14" s="42"/>
      <c r="G14" s="42"/>
      <c r="H14" s="42"/>
    </row>
    <row r="15" spans="1:9" ht="15" customHeight="1" x14ac:dyDescent="0.45"/>
    <row r="16" spans="1:9" ht="15" customHeight="1" x14ac:dyDescent="0.45">
      <c r="A16" s="46" t="s">
        <v>147</v>
      </c>
    </row>
    <row r="17" ht="15" customHeight="1" x14ac:dyDescent="0.45"/>
    <row r="18" ht="15" customHeight="1" x14ac:dyDescent="0.45"/>
    <row r="19" ht="15" customHeight="1" x14ac:dyDescent="0.45"/>
    <row r="20" ht="15" customHeight="1" x14ac:dyDescent="0.45"/>
    <row r="21" ht="15" customHeight="1" x14ac:dyDescent="0.45"/>
    <row r="22" ht="15" customHeight="1" x14ac:dyDescent="0.45"/>
    <row r="23" ht="15" customHeight="1" x14ac:dyDescent="0.45"/>
    <row r="24" ht="15" customHeight="1" x14ac:dyDescent="0.45"/>
    <row r="25" ht="15" customHeight="1" x14ac:dyDescent="0.45"/>
    <row r="26" ht="15" customHeight="1" x14ac:dyDescent="0.45"/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F002F8CDD7ACF40A6C36B1C9FA62C55" ma:contentTypeVersion="12" ma:contentTypeDescription="Create a new document." ma:contentTypeScope="" ma:versionID="51d2a264030a8bd8debbcd1bb3573acd">
  <xsd:schema xmlns:xsd="http://www.w3.org/2001/XMLSchema" xmlns:xs="http://www.w3.org/2001/XMLSchema" xmlns:p="http://schemas.microsoft.com/office/2006/metadata/properties" xmlns:ns2="69eded41-6c5d-4718-b7b7-dbfd1652bccf" xmlns:ns3="6ea4884f-dd23-4a9e-9674-e0962577458b" targetNamespace="http://schemas.microsoft.com/office/2006/metadata/properties" ma:root="true" ma:fieldsID="7f4cb5e2c427b59bdfe488449a10443e" ns2:_="" ns3:_="">
    <xsd:import namespace="69eded41-6c5d-4718-b7b7-dbfd1652bccf"/>
    <xsd:import namespace="6ea4884f-dd23-4a9e-9674-e0962577458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eded41-6c5d-4718-b7b7-dbfd1652bcc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c32ff089-c713-41da-a7f8-7725fa36ebb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a4884f-dd23-4a9e-9674-e0962577458b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797a576b-233c-4f6a-bc99-79689ae6a87f}" ma:internalName="TaxCatchAll" ma:showField="CatchAllData" ma:web="6ea4884f-dd23-4a9e-9674-e0962577458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9eded41-6c5d-4718-b7b7-dbfd1652bccf">
      <Terms xmlns="http://schemas.microsoft.com/office/infopath/2007/PartnerControls"/>
    </lcf76f155ced4ddcb4097134ff3c332f>
    <TaxCatchAll xmlns="6ea4884f-dd23-4a9e-9674-e0962577458b" xsi:nil="true"/>
  </documentManagement>
</p:properties>
</file>

<file path=customXml/itemProps1.xml><?xml version="1.0" encoding="utf-8"?>
<ds:datastoreItem xmlns:ds="http://schemas.openxmlformats.org/officeDocument/2006/customXml" ds:itemID="{9FDBBDD5-20D2-486F-9CB8-81485A689375}"/>
</file>

<file path=customXml/itemProps2.xml><?xml version="1.0" encoding="utf-8"?>
<ds:datastoreItem xmlns:ds="http://schemas.openxmlformats.org/officeDocument/2006/customXml" ds:itemID="{030C91EE-77D8-41B4-A7A2-F1D9C183772D}"/>
</file>

<file path=customXml/itemProps3.xml><?xml version="1.0" encoding="utf-8"?>
<ds:datastoreItem xmlns:ds="http://schemas.openxmlformats.org/officeDocument/2006/customXml" ds:itemID="{9E0766F3-9344-4C7B-A6B5-59A3873F4B7F}"/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8</vt:i4>
      </vt:variant>
      <vt:variant>
        <vt:lpstr>Named Ranges</vt:lpstr>
      </vt:variant>
      <vt:variant>
        <vt:i4>1</vt:i4>
      </vt:variant>
    </vt:vector>
  </HeadingPairs>
  <TitlesOfParts>
    <vt:vector size="9" baseType="lpstr">
      <vt:lpstr>Welcome</vt:lpstr>
      <vt:lpstr>Info</vt:lpstr>
      <vt:lpstr>IS</vt:lpstr>
      <vt:lpstr>BS</vt:lpstr>
      <vt:lpstr>CFS</vt:lpstr>
      <vt:lpstr>Segments</vt:lpstr>
      <vt:lpstr>Scenarios</vt:lpstr>
      <vt:lpstr>Benchmark vs Consensus</vt:lpstr>
      <vt:lpstr>Switch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Zu</dc:creator>
  <cp:lastModifiedBy>Debs Taylor</cp:lastModifiedBy>
  <cp:lastPrinted>2016-02-04T14:08:33Z</cp:lastPrinted>
  <dcterms:created xsi:type="dcterms:W3CDTF">2016-02-03T14:06:14Z</dcterms:created>
  <dcterms:modified xsi:type="dcterms:W3CDTF">2022-11-15T11:33:50Z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0x0101004F002F8CDD7ACF40A6C36B1C9FA62C55</vt:lpwstr>
  </property>
</Properties>
</file>