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2.xml" ContentType="application/vnd.openxmlformats-officedocument.drawing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https://ibhero-my.sharepoint.com/personal/gerard_kelly_fe_training/Documents/Gerard Kelly/Gerard's/Non C/Material - Create Proof Glitch/Elearn/3040 Modeling With Estimates (V2)/11 Model Balance Sheet - Liabilities and Equity/"/>
    </mc:Choice>
  </mc:AlternateContent>
  <xr:revisionPtr revIDLastSave="125" documentId="8_{A66E876F-C656-4CD5-96C9-40CEF315FE53}" xr6:coauthVersionLast="47" xr6:coauthVersionMax="47" xr10:uidLastSave="{260DEF8A-8C49-4F98-AB9B-DEFA669F684E}"/>
  <bookViews>
    <workbookView xWindow="-98" yWindow="-98" windowWidth="21795" windowHeight="13875" xr2:uid="{00000000-000D-0000-FFFF-FFFF00000000}"/>
  </bookViews>
  <sheets>
    <sheet name="Welcome" sheetId="1" r:id="rId1"/>
    <sheet name="Info" sheetId="6" r:id="rId2"/>
    <sheet name="Model 1 Assumptions" sheetId="11" r:id="rId3"/>
    <sheet name="Model 1" sheetId="2" r:id="rId4"/>
  </sheets>
  <definedNames>
    <definedName name="switch">Info!$N$10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11" l="1" a="1"/>
  <c r="B5" i="11" s="1"/>
  <c r="G18" i="11" l="1" a="1"/>
  <c r="G18" i="11" s="1"/>
  <c r="H18" i="11" a="1"/>
  <c r="H18" i="11" s="1"/>
  <c r="I18" i="11" a="1"/>
  <c r="I18" i="11" s="1"/>
  <c r="J18" i="11" a="1"/>
  <c r="J18" i="11" s="1"/>
  <c r="K18" i="11" a="1"/>
  <c r="K18" i="11" s="1"/>
  <c r="L18" i="11" a="1"/>
  <c r="L18" i="11" s="1"/>
  <c r="M18" i="11" a="1"/>
  <c r="M18" i="11" s="1"/>
  <c r="N18" i="11" a="1"/>
  <c r="N18" i="11" s="1"/>
  <c r="O18" i="11" a="1"/>
  <c r="O18" i="11" s="1"/>
  <c r="F18" i="11" a="1"/>
  <c r="F18" i="11" s="1"/>
  <c r="G12" i="11" l="1" a="1"/>
  <c r="G12" i="11" s="1"/>
  <c r="H12" i="11" a="1"/>
  <c r="H12" i="11" s="1"/>
  <c r="I12" i="11" a="1"/>
  <c r="I12" i="11" s="1"/>
  <c r="J12" i="11" a="1"/>
  <c r="J12" i="11" s="1"/>
  <c r="K12" i="11" a="1"/>
  <c r="K12" i="11" s="1"/>
  <c r="L12" i="11" a="1"/>
  <c r="L12" i="11" s="1"/>
  <c r="M12" i="11" a="1"/>
  <c r="M12" i="11" s="1"/>
  <c r="N12" i="11" a="1"/>
  <c r="N12" i="11" s="1"/>
  <c r="O12" i="11" a="1"/>
  <c r="O12" i="11" s="1"/>
  <c r="F12" i="11" a="1"/>
  <c r="F12" i="11" s="1"/>
  <c r="G10" i="2"/>
  <c r="H10" i="2"/>
  <c r="I10" i="2"/>
  <c r="J10" i="2"/>
  <c r="K10" i="2"/>
  <c r="L10" i="2"/>
  <c r="M10" i="2"/>
  <c r="N10" i="2"/>
  <c r="O10" i="2"/>
  <c r="F10" i="2"/>
  <c r="D21" i="11"/>
  <c r="E21" i="11"/>
  <c r="C21" i="11"/>
  <c r="D124" i="2"/>
  <c r="D123" i="2"/>
  <c r="D125" i="2" s="1"/>
  <c r="D24" i="11"/>
  <c r="E24" i="11"/>
  <c r="C24" i="11"/>
  <c r="D127" i="2" l="1"/>
  <c r="D126" i="2"/>
  <c r="D128" i="2" s="1"/>
  <c r="E126" i="2"/>
  <c r="E124" i="2"/>
  <c r="E123" i="2"/>
  <c r="E112" i="2"/>
  <c r="E113" i="2"/>
  <c r="E114" i="2"/>
  <c r="E120" i="2"/>
  <c r="E118" i="2"/>
  <c r="E119" i="2" s="1"/>
  <c r="H34" i="2"/>
  <c r="I34" i="2"/>
  <c r="J34" i="2"/>
  <c r="G15" i="2"/>
  <c r="H15" i="2"/>
  <c r="I15" i="2"/>
  <c r="J15" i="2"/>
  <c r="K15" i="2"/>
  <c r="L15" i="2"/>
  <c r="M15" i="2"/>
  <c r="N15" i="2"/>
  <c r="O15" i="2"/>
  <c r="G34" i="2"/>
  <c r="O34" i="2"/>
  <c r="F30" i="2"/>
  <c r="F9" i="2" s="1"/>
  <c r="F15" i="2"/>
  <c r="E39" i="11"/>
  <c r="D39" i="11"/>
  <c r="E33" i="11"/>
  <c r="D33" i="11"/>
  <c r="E31" i="11"/>
  <c r="D31" i="11"/>
  <c r="E125" i="2"/>
  <c r="E132" i="2"/>
  <c r="D112" i="2"/>
  <c r="F82" i="2"/>
  <c r="G82" i="2" s="1"/>
  <c r="H82" i="2" s="1"/>
  <c r="I82" i="2" s="1"/>
  <c r="J82" i="2" s="1"/>
  <c r="K82" i="2" s="1"/>
  <c r="L82" i="2" s="1"/>
  <c r="M82" i="2" s="1"/>
  <c r="N82" i="2" s="1"/>
  <c r="O82" i="2" s="1"/>
  <c r="E38" i="11"/>
  <c r="D38" i="11"/>
  <c r="E35" i="11"/>
  <c r="F35" i="11" s="1"/>
  <c r="G35" i="11" s="1"/>
  <c r="H35" i="11" s="1"/>
  <c r="H70" i="2" s="1"/>
  <c r="D35" i="11"/>
  <c r="E34" i="11"/>
  <c r="D34" i="11"/>
  <c r="C34" i="11"/>
  <c r="F23" i="2"/>
  <c r="G23" i="2" s="1"/>
  <c r="F24" i="2"/>
  <c r="E26" i="11"/>
  <c r="D26" i="11"/>
  <c r="E28" i="11"/>
  <c r="D28" i="11"/>
  <c r="E27" i="11"/>
  <c r="D27" i="11"/>
  <c r="C28" i="11"/>
  <c r="C27" i="11"/>
  <c r="D23" i="11"/>
  <c r="C23" i="11"/>
  <c r="A2" i="11"/>
  <c r="E2" i="11"/>
  <c r="D2" i="11" s="1"/>
  <c r="C2" i="11" s="1"/>
  <c r="D4" i="11"/>
  <c r="E4" i="11" s="1"/>
  <c r="C8" i="11"/>
  <c r="D8" i="11"/>
  <c r="E8" i="11"/>
  <c r="G9" i="11"/>
  <c r="G10" i="11" s="1"/>
  <c r="H9" i="11"/>
  <c r="H10" i="11"/>
  <c r="I10" i="11"/>
  <c r="J10" i="11"/>
  <c r="K10" i="11"/>
  <c r="L10" i="11"/>
  <c r="M10" i="11"/>
  <c r="N10" i="11"/>
  <c r="O10" i="11"/>
  <c r="H11" i="11"/>
  <c r="I11" i="11"/>
  <c r="J11" i="11"/>
  <c r="K11" i="11"/>
  <c r="L11" i="11"/>
  <c r="M11" i="11"/>
  <c r="N11" i="11"/>
  <c r="O11" i="11"/>
  <c r="F15" i="11"/>
  <c r="G15" i="11"/>
  <c r="H15" i="11"/>
  <c r="I16" i="11"/>
  <c r="J16" i="11"/>
  <c r="K16" i="11"/>
  <c r="L16" i="11"/>
  <c r="M16" i="11"/>
  <c r="N16" i="11"/>
  <c r="O16" i="11"/>
  <c r="I17" i="11"/>
  <c r="J17" i="11"/>
  <c r="K17" i="11"/>
  <c r="L17" i="11"/>
  <c r="M17" i="11"/>
  <c r="N17" i="11"/>
  <c r="O17" i="11"/>
  <c r="G27" i="11"/>
  <c r="G24" i="2" s="1"/>
  <c r="H16" i="11" l="1"/>
  <c r="L34" i="2"/>
  <c r="K34" i="2"/>
  <c r="M34" i="2"/>
  <c r="G16" i="11"/>
  <c r="F2" i="11"/>
  <c r="G2" i="11" s="1"/>
  <c r="H2" i="11" s="1"/>
  <c r="I2" i="11" s="1"/>
  <c r="J2" i="11" s="1"/>
  <c r="K2" i="11" s="1"/>
  <c r="L2" i="11" s="1"/>
  <c r="M2" i="11" s="1"/>
  <c r="N2" i="11" s="1"/>
  <c r="O2" i="11" s="1"/>
  <c r="G124" i="2"/>
  <c r="F124" i="2"/>
  <c r="N34" i="2"/>
  <c r="O124" i="2"/>
  <c r="N124" i="2"/>
  <c r="L124" i="2"/>
  <c r="H23" i="2"/>
  <c r="G39" i="2"/>
  <c r="M124" i="2"/>
  <c r="K124" i="2"/>
  <c r="J124" i="2"/>
  <c r="I124" i="2"/>
  <c r="H124" i="2"/>
  <c r="E128" i="2"/>
  <c r="E127" i="2"/>
  <c r="E133" i="2"/>
  <c r="D133" i="2"/>
  <c r="H27" i="11"/>
  <c r="H24" i="2" s="1"/>
  <c r="F9" i="11"/>
  <c r="F11" i="11" s="1"/>
  <c r="G70" i="2"/>
  <c r="F70" i="2"/>
  <c r="F28" i="11"/>
  <c r="F25" i="2" s="1"/>
  <c r="G17" i="11"/>
  <c r="I35" i="11"/>
  <c r="I70" i="2" s="1"/>
  <c r="F16" i="11"/>
  <c r="F17" i="11"/>
  <c r="H17" i="11"/>
  <c r="G11" i="11"/>
  <c r="E134" i="2" l="1"/>
  <c r="I23" i="2"/>
  <c r="H39" i="2"/>
  <c r="I27" i="11"/>
  <c r="I24" i="2" s="1"/>
  <c r="G28" i="11"/>
  <c r="G25" i="2" s="1"/>
  <c r="F10" i="11"/>
  <c r="J35" i="11"/>
  <c r="J70" i="2" s="1"/>
  <c r="J23" i="2" l="1"/>
  <c r="I39" i="2"/>
  <c r="F5" i="2"/>
  <c r="J27" i="11"/>
  <c r="J24" i="2" s="1"/>
  <c r="H28" i="11"/>
  <c r="H25" i="2" s="1"/>
  <c r="K35" i="11"/>
  <c r="K70" i="2" s="1"/>
  <c r="K23" i="2" l="1"/>
  <c r="J39" i="2"/>
  <c r="F7" i="2"/>
  <c r="G5" i="2"/>
  <c r="G29" i="2" s="1"/>
  <c r="K27" i="11"/>
  <c r="K24" i="2" s="1"/>
  <c r="I28" i="11"/>
  <c r="I25" i="2" s="1"/>
  <c r="L35" i="11"/>
  <c r="L70" i="2" s="1"/>
  <c r="L23" i="2" l="1"/>
  <c r="K39" i="2"/>
  <c r="H5" i="2"/>
  <c r="H112" i="2" s="1"/>
  <c r="G7" i="2"/>
  <c r="G6" i="2" s="1"/>
  <c r="L27" i="11"/>
  <c r="L24" i="2" s="1"/>
  <c r="J28" i="11"/>
  <c r="J25" i="2" s="1"/>
  <c r="M35" i="11"/>
  <c r="M70" i="2" s="1"/>
  <c r="M23" i="2" l="1"/>
  <c r="L39" i="2"/>
  <c r="G113" i="2"/>
  <c r="H29" i="2"/>
  <c r="I5" i="2"/>
  <c r="H7" i="2"/>
  <c r="M27" i="11"/>
  <c r="M24" i="2" s="1"/>
  <c r="K28" i="11"/>
  <c r="K25" i="2" s="1"/>
  <c r="N35" i="11"/>
  <c r="N70" i="2" s="1"/>
  <c r="N23" i="2" l="1"/>
  <c r="M39" i="2"/>
  <c r="J5" i="2"/>
  <c r="J29" i="2" s="1"/>
  <c r="I7" i="2"/>
  <c r="I29" i="2"/>
  <c r="I112" i="2"/>
  <c r="H6" i="2"/>
  <c r="H113" i="2"/>
  <c r="N27" i="11"/>
  <c r="N24" i="2" s="1"/>
  <c r="L28" i="11"/>
  <c r="L25" i="2" s="1"/>
  <c r="O35" i="11"/>
  <c r="O70" i="2" s="1"/>
  <c r="O23" i="2" l="1"/>
  <c r="N39" i="2"/>
  <c r="K5" i="2"/>
  <c r="J7" i="2"/>
  <c r="J112" i="2"/>
  <c r="I113" i="2"/>
  <c r="I6" i="2"/>
  <c r="O27" i="11"/>
  <c r="O24" i="2" s="1"/>
  <c r="M28" i="11"/>
  <c r="M25" i="2" s="1"/>
  <c r="O39" i="2" l="1"/>
  <c r="L5" i="2"/>
  <c r="K7" i="2"/>
  <c r="K112" i="2"/>
  <c r="K29" i="2"/>
  <c r="J113" i="2"/>
  <c r="J6" i="2"/>
  <c r="N28" i="11"/>
  <c r="N25" i="2" s="1"/>
  <c r="M5" i="2" l="1"/>
  <c r="M112" i="2" s="1"/>
  <c r="L7" i="2"/>
  <c r="L112" i="2"/>
  <c r="L29" i="2"/>
  <c r="K113" i="2"/>
  <c r="K6" i="2"/>
  <c r="O28" i="11"/>
  <c r="O25" i="2" s="1"/>
  <c r="M29" i="2" l="1"/>
  <c r="N5" i="2"/>
  <c r="N29" i="2" s="1"/>
  <c r="M7" i="2"/>
  <c r="L113" i="2"/>
  <c r="L6" i="2"/>
  <c r="N112" i="2" l="1"/>
  <c r="M113" i="2"/>
  <c r="M6" i="2"/>
  <c r="O5" i="2"/>
  <c r="O7" i="2" s="1"/>
  <c r="O6" i="2" s="1"/>
  <c r="N7" i="2"/>
  <c r="O113" i="2" l="1"/>
  <c r="O29" i="2"/>
  <c r="O112" i="2"/>
  <c r="N6" i="2"/>
  <c r="N113" i="2"/>
  <c r="F112" i="2"/>
  <c r="F113" i="2"/>
  <c r="G112" i="2"/>
  <c r="F83" i="2"/>
  <c r="F78" i="2"/>
  <c r="F66" i="2"/>
  <c r="F73" i="2"/>
  <c r="F64" i="2"/>
  <c r="F29" i="2"/>
  <c r="F31" i="2" s="1"/>
  <c r="G28" i="2" s="1"/>
  <c r="F6" i="2"/>
  <c r="G30" i="2" l="1"/>
  <c r="G9" i="2" s="1"/>
  <c r="G83" i="2"/>
  <c r="G78" i="2"/>
  <c r="G66" i="2"/>
  <c r="G73" i="2"/>
  <c r="G64" i="2"/>
  <c r="F65" i="2"/>
  <c r="F77" i="2"/>
  <c r="D120" i="2"/>
  <c r="E83" i="2"/>
  <c r="E40" i="11" s="1"/>
  <c r="D83" i="2"/>
  <c r="D40" i="11" s="1"/>
  <c r="E80" i="2"/>
  <c r="D80" i="2"/>
  <c r="E73" i="2"/>
  <c r="E36" i="11" s="1"/>
  <c r="D73" i="2"/>
  <c r="D36" i="11" s="1"/>
  <c r="F71" i="2"/>
  <c r="G71" i="2" s="1"/>
  <c r="H71" i="2" s="1"/>
  <c r="I71" i="2" s="1"/>
  <c r="J71" i="2" s="1"/>
  <c r="K71" i="2" s="1"/>
  <c r="L71" i="2" s="1"/>
  <c r="M71" i="2" s="1"/>
  <c r="N71" i="2" s="1"/>
  <c r="O71" i="2" s="1"/>
  <c r="E66" i="2"/>
  <c r="E67" i="2" s="1"/>
  <c r="D66" i="2"/>
  <c r="D67" i="2" s="1"/>
  <c r="B47" i="2"/>
  <c r="B46" i="2"/>
  <c r="B45" i="2"/>
  <c r="B44" i="2"/>
  <c r="B43" i="2"/>
  <c r="B42" i="2"/>
  <c r="E40" i="2"/>
  <c r="F37" i="2" s="1"/>
  <c r="D40" i="2"/>
  <c r="E35" i="2"/>
  <c r="F33" i="2" s="1"/>
  <c r="D35" i="2"/>
  <c r="E31" i="2"/>
  <c r="F28" i="2" s="1"/>
  <c r="F11" i="2" s="1"/>
  <c r="D31" i="2"/>
  <c r="F39" i="2"/>
  <c r="E18" i="2"/>
  <c r="D18" i="2"/>
  <c r="C18" i="2"/>
  <c r="E15" i="2"/>
  <c r="E23" i="11" s="1"/>
  <c r="E14" i="2"/>
  <c r="E22" i="11" s="1"/>
  <c r="F22" i="11" s="1"/>
  <c r="D14" i="2"/>
  <c r="D22" i="11" s="1"/>
  <c r="C14" i="2"/>
  <c r="C22" i="11" s="1"/>
  <c r="E13" i="2"/>
  <c r="D13" i="2"/>
  <c r="C13" i="2"/>
  <c r="E10" i="2"/>
  <c r="D10" i="2"/>
  <c r="C10" i="2"/>
  <c r="E9" i="2"/>
  <c r="D9" i="2"/>
  <c r="C9" i="2"/>
  <c r="E6" i="2"/>
  <c r="D6" i="2"/>
  <c r="C6" i="2"/>
  <c r="F132" i="2" l="1"/>
  <c r="F114" i="2"/>
  <c r="G31" i="2"/>
  <c r="H28" i="2" s="1"/>
  <c r="H30" i="2" s="1"/>
  <c r="H9" i="2" s="1"/>
  <c r="G11" i="2"/>
  <c r="H83" i="2"/>
  <c r="E84" i="2"/>
  <c r="E87" i="2" s="1"/>
  <c r="D7" i="2"/>
  <c r="D14" i="11" s="1"/>
  <c r="D18" i="11" s="1"/>
  <c r="D37" i="11"/>
  <c r="D32" i="11"/>
  <c r="E20" i="11"/>
  <c r="F14" i="2"/>
  <c r="G22" i="11"/>
  <c r="G14" i="2" s="1"/>
  <c r="H64" i="2"/>
  <c r="H73" i="2"/>
  <c r="H78" i="2"/>
  <c r="H66" i="2"/>
  <c r="E7" i="2"/>
  <c r="E14" i="11" s="1"/>
  <c r="E18" i="11" s="1"/>
  <c r="E37" i="11"/>
  <c r="E32" i="11"/>
  <c r="G77" i="2"/>
  <c r="G65" i="2"/>
  <c r="E74" i="2"/>
  <c r="C7" i="2"/>
  <c r="C14" i="11" s="1"/>
  <c r="C18" i="11" s="1"/>
  <c r="D74" i="2"/>
  <c r="D84" i="2"/>
  <c r="D87" i="2" s="1"/>
  <c r="F34" i="2"/>
  <c r="F35" i="2" s="1"/>
  <c r="G33" i="2" s="1"/>
  <c r="G35" i="2" s="1"/>
  <c r="H33" i="2" s="1"/>
  <c r="H35" i="2" s="1"/>
  <c r="I33" i="2" s="1"/>
  <c r="I35" i="2" s="1"/>
  <c r="J33" i="2" s="1"/>
  <c r="J35" i="2" s="1"/>
  <c r="K33" i="2" s="1"/>
  <c r="K35" i="2" s="1"/>
  <c r="L33" i="2" s="1"/>
  <c r="L35" i="2" s="1"/>
  <c r="M33" i="2" s="1"/>
  <c r="M35" i="2" s="1"/>
  <c r="N33" i="2" s="1"/>
  <c r="N35" i="2" s="1"/>
  <c r="O33" i="2" s="1"/>
  <c r="O35" i="2" s="1"/>
  <c r="A7" i="1"/>
  <c r="G114" i="2" l="1"/>
  <c r="G132" i="2"/>
  <c r="H31" i="2"/>
  <c r="I28" i="2" s="1"/>
  <c r="H11" i="2"/>
  <c r="D11" i="2"/>
  <c r="D113" i="2"/>
  <c r="I83" i="2"/>
  <c r="E89" i="2"/>
  <c r="H22" i="11"/>
  <c r="H14" i="2" s="1"/>
  <c r="H77" i="2"/>
  <c r="H65" i="2"/>
  <c r="D118" i="2"/>
  <c r="D119" i="2" s="1"/>
  <c r="C11" i="2"/>
  <c r="C16" i="2" s="1"/>
  <c r="E11" i="2"/>
  <c r="I64" i="2"/>
  <c r="I73" i="2"/>
  <c r="I78" i="2"/>
  <c r="I66" i="2"/>
  <c r="C113" i="2"/>
  <c r="D89" i="2"/>
  <c r="F72" i="2"/>
  <c r="D114" i="2"/>
  <c r="D16" i="2"/>
  <c r="I30" i="2" l="1"/>
  <c r="I9" i="2" s="1"/>
  <c r="H114" i="2"/>
  <c r="H132" i="2"/>
  <c r="C114" i="2"/>
  <c r="J83" i="2"/>
  <c r="J73" i="2"/>
  <c r="J78" i="2"/>
  <c r="J66" i="2"/>
  <c r="J64" i="2"/>
  <c r="E16" i="2"/>
  <c r="I77" i="2"/>
  <c r="I65" i="2"/>
  <c r="I22" i="11"/>
  <c r="I14" i="2" s="1"/>
  <c r="F69" i="2"/>
  <c r="F120" i="2" s="1"/>
  <c r="C19" i="2"/>
  <c r="D19" i="2"/>
  <c r="G72" i="2"/>
  <c r="I31" i="2" l="1"/>
  <c r="J28" i="2" s="1"/>
  <c r="J30" i="2" s="1"/>
  <c r="J9" i="2" s="1"/>
  <c r="I11" i="2"/>
  <c r="K83" i="2"/>
  <c r="C20" i="2"/>
  <c r="C115" i="2" s="1"/>
  <c r="D20" i="2"/>
  <c r="D115" i="2" s="1"/>
  <c r="E19" i="2"/>
  <c r="J22" i="11"/>
  <c r="J14" i="2" s="1"/>
  <c r="K73" i="2"/>
  <c r="K78" i="2"/>
  <c r="K66" i="2"/>
  <c r="K64" i="2"/>
  <c r="J77" i="2"/>
  <c r="J65" i="2"/>
  <c r="G69" i="2"/>
  <c r="G120" i="2" s="1"/>
  <c r="H72" i="2"/>
  <c r="I132" i="2" l="1"/>
  <c r="I114" i="2"/>
  <c r="J31" i="2"/>
  <c r="K28" i="2" s="1"/>
  <c r="J11" i="2"/>
  <c r="H69" i="2"/>
  <c r="H120" i="2" s="1"/>
  <c r="L83" i="2"/>
  <c r="E20" i="2"/>
  <c r="K77" i="2"/>
  <c r="K65" i="2"/>
  <c r="K22" i="11"/>
  <c r="K14" i="2" s="1"/>
  <c r="L78" i="2"/>
  <c r="L66" i="2"/>
  <c r="L64" i="2"/>
  <c r="L73" i="2"/>
  <c r="I72" i="2"/>
  <c r="E131" i="2" l="1"/>
  <c r="E115" i="2"/>
  <c r="J114" i="2"/>
  <c r="J132" i="2"/>
  <c r="K30" i="2"/>
  <c r="K9" i="2" s="1"/>
  <c r="M83" i="2"/>
  <c r="L22" i="11"/>
  <c r="L14" i="2" s="1"/>
  <c r="M64" i="2"/>
  <c r="M78" i="2"/>
  <c r="M66" i="2"/>
  <c r="M73" i="2"/>
  <c r="L77" i="2"/>
  <c r="L65" i="2"/>
  <c r="J72" i="2"/>
  <c r="K31" i="2" l="1"/>
  <c r="L28" i="2" s="1"/>
  <c r="L30" i="2" s="1"/>
  <c r="K11" i="2"/>
  <c r="N83" i="2"/>
  <c r="M77" i="2"/>
  <c r="M65" i="2"/>
  <c r="N78" i="2"/>
  <c r="N66" i="2"/>
  <c r="N64" i="2"/>
  <c r="N73" i="2"/>
  <c r="M22" i="11"/>
  <c r="M14" i="2" s="1"/>
  <c r="I69" i="2"/>
  <c r="I120" i="2" s="1"/>
  <c r="K72" i="2"/>
  <c r="L9" i="2" l="1"/>
  <c r="L11" i="2" s="1"/>
  <c r="L31" i="2"/>
  <c r="M28" i="2" s="1"/>
  <c r="M30" i="2" s="1"/>
  <c r="M9" i="2" s="1"/>
  <c r="K114" i="2"/>
  <c r="K132" i="2"/>
  <c r="O83" i="2"/>
  <c r="N22" i="11"/>
  <c r="N14" i="2" s="1"/>
  <c r="O78" i="2"/>
  <c r="O66" i="2"/>
  <c r="O64" i="2"/>
  <c r="O73" i="2"/>
  <c r="N77" i="2"/>
  <c r="N65" i="2"/>
  <c r="L72" i="2"/>
  <c r="M31" i="2" l="1"/>
  <c r="N28" i="2" s="1"/>
  <c r="N30" i="2" s="1"/>
  <c r="N9" i="2" s="1"/>
  <c r="L114" i="2"/>
  <c r="L132" i="2"/>
  <c r="M11" i="2"/>
  <c r="O77" i="2"/>
  <c r="O65" i="2"/>
  <c r="O22" i="11"/>
  <c r="O14" i="2" s="1"/>
  <c r="M72" i="2"/>
  <c r="N31" i="2" l="1"/>
  <c r="O28" i="2" s="1"/>
  <c r="O30" i="2" s="1"/>
  <c r="O9" i="2" s="1"/>
  <c r="M114" i="2"/>
  <c r="M132" i="2"/>
  <c r="N11" i="2"/>
  <c r="J69" i="2"/>
  <c r="J120" i="2" s="1"/>
  <c r="N72" i="2"/>
  <c r="O72" i="2"/>
  <c r="O31" i="2" l="1"/>
  <c r="O11" i="2"/>
  <c r="N114" i="2"/>
  <c r="N132" i="2"/>
  <c r="K69" i="2"/>
  <c r="K120" i="2" s="1"/>
  <c r="O132" i="2" l="1"/>
  <c r="O114" i="2"/>
  <c r="L69" i="2"/>
  <c r="L120" i="2" s="1"/>
  <c r="M69" i="2" l="1"/>
  <c r="M120" i="2" s="1"/>
  <c r="N69" i="2" l="1"/>
  <c r="N120" i="2" s="1"/>
  <c r="A2" i="2"/>
  <c r="O69" i="2" l="1"/>
  <c r="O120" i="2" s="1"/>
  <c r="E2" i="2" l="1"/>
  <c r="A1" i="6"/>
  <c r="D2" i="2" l="1"/>
  <c r="C2" i="2" s="1"/>
  <c r="F2" i="2" l="1"/>
  <c r="G2" i="2" s="1"/>
  <c r="H2" i="2" s="1"/>
  <c r="I2" i="2" s="1"/>
  <c r="J2" i="2" s="1"/>
  <c r="K2" i="2" s="1"/>
  <c r="L2" i="2" s="1"/>
  <c r="M2" i="2" s="1"/>
  <c r="N2" i="2" s="1"/>
  <c r="O2" i="2" s="1"/>
  <c r="I16" i="2" l="1"/>
  <c r="J16" i="2"/>
  <c r="J18" i="2" s="1"/>
  <c r="J79" i="2" s="1"/>
  <c r="J118" i="2" s="1"/>
  <c r="J119" i="2" s="1"/>
  <c r="K16" i="2"/>
  <c r="L16" i="2"/>
  <c r="M16" i="2"/>
  <c r="F16" i="2"/>
  <c r="G16" i="2"/>
  <c r="G18" i="2" s="1"/>
  <c r="H16" i="2"/>
  <c r="H18" i="2" s="1"/>
  <c r="H79" i="2" s="1"/>
  <c r="H118" i="2" s="1"/>
  <c r="H119" i="2" s="1"/>
  <c r="N16" i="2"/>
  <c r="N18" i="2" s="1"/>
  <c r="O16" i="2"/>
  <c r="O18" i="2" s="1"/>
  <c r="N19" i="2" l="1"/>
  <c r="N20" i="2" s="1"/>
  <c r="N115" i="2" s="1"/>
  <c r="N79" i="2"/>
  <c r="N118" i="2" s="1"/>
  <c r="N119" i="2" s="1"/>
  <c r="F18" i="2"/>
  <c r="F79" i="2" s="1"/>
  <c r="F118" i="2" s="1"/>
  <c r="F119" i="2" s="1"/>
  <c r="M18" i="2"/>
  <c r="M79" i="2" s="1"/>
  <c r="M118" i="2" s="1"/>
  <c r="M119" i="2" s="1"/>
  <c r="H19" i="2"/>
  <c r="L18" i="2"/>
  <c r="L79" i="2" s="1"/>
  <c r="J19" i="2"/>
  <c r="O79" i="2"/>
  <c r="O118" i="2" s="1"/>
  <c r="O119" i="2" s="1"/>
  <c r="O19" i="2"/>
  <c r="I18" i="2"/>
  <c r="I79" i="2" s="1"/>
  <c r="K18" i="2"/>
  <c r="K79" i="2" s="1"/>
  <c r="K19" i="2"/>
  <c r="G79" i="2"/>
  <c r="G19" i="2"/>
  <c r="N38" i="2" l="1"/>
  <c r="F19" i="2"/>
  <c r="I19" i="2"/>
  <c r="I20" i="2" s="1"/>
  <c r="N22" i="2"/>
  <c r="H38" i="2"/>
  <c r="H20" i="2"/>
  <c r="H22" i="2" s="1"/>
  <c r="L19" i="2"/>
  <c r="M19" i="2"/>
  <c r="L118" i="2"/>
  <c r="L119" i="2" s="1"/>
  <c r="J20" i="2"/>
  <c r="J38" i="2"/>
  <c r="G118" i="2"/>
  <c r="G119" i="2" s="1"/>
  <c r="K38" i="2"/>
  <c r="K20" i="2"/>
  <c r="I118" i="2"/>
  <c r="I119" i="2" s="1"/>
  <c r="K118" i="2"/>
  <c r="K119" i="2" s="1"/>
  <c r="O38" i="2"/>
  <c r="O20" i="2"/>
  <c r="G38" i="2"/>
  <c r="G20" i="2"/>
  <c r="F20" i="2" l="1"/>
  <c r="F38" i="2"/>
  <c r="F40" i="2" s="1"/>
  <c r="I38" i="2"/>
  <c r="M20" i="2"/>
  <c r="M38" i="2"/>
  <c r="H115" i="2"/>
  <c r="L20" i="2"/>
  <c r="L38" i="2"/>
  <c r="J22" i="2"/>
  <c r="J115" i="2"/>
  <c r="O22" i="2"/>
  <c r="O115" i="2"/>
  <c r="K22" i="2"/>
  <c r="K115" i="2"/>
  <c r="F67" i="2"/>
  <c r="F74" i="2" s="1"/>
  <c r="F80" i="2"/>
  <c r="F84" i="2" s="1"/>
  <c r="F123" i="2"/>
  <c r="F125" i="2" s="1"/>
  <c r="G22" i="2"/>
  <c r="G115" i="2"/>
  <c r="I115" i="2"/>
  <c r="I22" i="2"/>
  <c r="G67" i="2" l="1"/>
  <c r="G74" i="2" s="1"/>
  <c r="F86" i="2"/>
  <c r="G37" i="2"/>
  <c r="G40" i="2" s="1"/>
  <c r="F131" i="2"/>
  <c r="F115" i="2"/>
  <c r="F22" i="2"/>
  <c r="L115" i="2"/>
  <c r="L22" i="2"/>
  <c r="M22" i="2"/>
  <c r="M115" i="2"/>
  <c r="G80" i="2"/>
  <c r="G84" i="2" s="1"/>
  <c r="G123" i="2"/>
  <c r="G125" i="2" s="1"/>
  <c r="F126" i="2"/>
  <c r="F127" i="2"/>
  <c r="G86" i="2" l="1"/>
  <c r="H37" i="2"/>
  <c r="H40" i="2" s="1"/>
  <c r="F87" i="2"/>
  <c r="F89" i="2" s="1"/>
  <c r="H67" i="2"/>
  <c r="H74" i="2" s="1"/>
  <c r="F128" i="2"/>
  <c r="F133" i="2"/>
  <c r="H80" i="2"/>
  <c r="H84" i="2" s="1"/>
  <c r="H123" i="2"/>
  <c r="H125" i="2" s="1"/>
  <c r="G126" i="2"/>
  <c r="G127" i="2"/>
  <c r="H131" i="2" l="1"/>
  <c r="G131" i="2"/>
  <c r="G87" i="2"/>
  <c r="G89" i="2" s="1"/>
  <c r="I37" i="2"/>
  <c r="I40" i="2" s="1"/>
  <c r="H86" i="2"/>
  <c r="H87" i="2" s="1"/>
  <c r="H89" i="2" s="1"/>
  <c r="I67" i="2"/>
  <c r="I74" i="2" s="1"/>
  <c r="H126" i="2"/>
  <c r="H127" i="2"/>
  <c r="I80" i="2"/>
  <c r="I84" i="2" s="1"/>
  <c r="I123" i="2"/>
  <c r="I125" i="2" s="1"/>
  <c r="F134" i="2"/>
  <c r="G128" i="2"/>
  <c r="G133" i="2"/>
  <c r="I87" i="2" l="1"/>
  <c r="I89" i="2" s="1"/>
  <c r="I86" i="2"/>
  <c r="I131" i="2" s="1"/>
  <c r="J37" i="2"/>
  <c r="J40" i="2" s="1"/>
  <c r="I127" i="2"/>
  <c r="I126" i="2"/>
  <c r="J80" i="2"/>
  <c r="J84" i="2" s="1"/>
  <c r="J123" i="2"/>
  <c r="J125" i="2" s="1"/>
  <c r="H128" i="2"/>
  <c r="H133" i="2"/>
  <c r="H134" i="2" s="1"/>
  <c r="G134" i="2"/>
  <c r="J67" i="2"/>
  <c r="J74" i="2" s="1"/>
  <c r="J86" i="2" l="1"/>
  <c r="J131" i="2" s="1"/>
  <c r="K37" i="2"/>
  <c r="K40" i="2" s="1"/>
  <c r="K80" i="2"/>
  <c r="K84" i="2" s="1"/>
  <c r="K123" i="2"/>
  <c r="K125" i="2" s="1"/>
  <c r="J126" i="2"/>
  <c r="J127" i="2"/>
  <c r="I128" i="2"/>
  <c r="I133" i="2"/>
  <c r="K67" i="2"/>
  <c r="K74" i="2" s="1"/>
  <c r="K87" i="2" l="1"/>
  <c r="K86" i="2"/>
  <c r="K131" i="2" s="1"/>
  <c r="L37" i="2"/>
  <c r="L40" i="2" s="1"/>
  <c r="J87" i="2"/>
  <c r="J89" i="2" s="1"/>
  <c r="J128" i="2"/>
  <c r="J133" i="2"/>
  <c r="J134" i="2" s="1"/>
  <c r="L80" i="2"/>
  <c r="L84" i="2" s="1"/>
  <c r="L123" i="2"/>
  <c r="L125" i="2" s="1"/>
  <c r="L67" i="2"/>
  <c r="L74" i="2" s="1"/>
  <c r="K127" i="2"/>
  <c r="K126" i="2"/>
  <c r="K89" i="2"/>
  <c r="I134" i="2"/>
  <c r="L86" i="2" l="1"/>
  <c r="L131" i="2" s="1"/>
  <c r="M37" i="2"/>
  <c r="M40" i="2" s="1"/>
  <c r="L127" i="2"/>
  <c r="L126" i="2"/>
  <c r="M80" i="2"/>
  <c r="M84" i="2" s="1"/>
  <c r="M123" i="2"/>
  <c r="M125" i="2" s="1"/>
  <c r="M67" i="2"/>
  <c r="M74" i="2" s="1"/>
  <c r="K128" i="2"/>
  <c r="K133" i="2"/>
  <c r="K134" i="2" s="1"/>
  <c r="M87" i="2" l="1"/>
  <c r="M89" i="2" s="1"/>
  <c r="L87" i="2"/>
  <c r="L89" i="2" s="1"/>
  <c r="N37" i="2"/>
  <c r="N40" i="2" s="1"/>
  <c r="M86" i="2"/>
  <c r="M131" i="2" s="1"/>
  <c r="L128" i="2"/>
  <c r="L133" i="2"/>
  <c r="L134" i="2" s="1"/>
  <c r="M126" i="2"/>
  <c r="M127" i="2"/>
  <c r="N80" i="2"/>
  <c r="N84" i="2" s="1"/>
  <c r="N123" i="2"/>
  <c r="N125" i="2" s="1"/>
  <c r="N67" i="2"/>
  <c r="N74" i="2" s="1"/>
  <c r="N87" i="2" l="1"/>
  <c r="N86" i="2"/>
  <c r="O37" i="2"/>
  <c r="O40" i="2" s="1"/>
  <c r="O86" i="2" s="1"/>
  <c r="N126" i="2"/>
  <c r="N127" i="2"/>
  <c r="M128" i="2"/>
  <c r="M133" i="2"/>
  <c r="N89" i="2"/>
  <c r="O80" i="2"/>
  <c r="O84" i="2" s="1"/>
  <c r="O123" i="2"/>
  <c r="O125" i="2" s="1"/>
  <c r="O67" i="2"/>
  <c r="O74" i="2" s="1"/>
  <c r="O87" i="2" l="1"/>
  <c r="N131" i="2"/>
  <c r="O131" i="2"/>
  <c r="N128" i="2"/>
  <c r="N133" i="2"/>
  <c r="O126" i="2"/>
  <c r="O127" i="2"/>
  <c r="O89" i="2"/>
  <c r="M134" i="2"/>
  <c r="O128" i="2" l="1"/>
  <c r="O133" i="2"/>
  <c r="O134" i="2" s="1"/>
  <c r="N13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<sst xmlns="http://schemas.openxmlformats.org/spreadsheetml/2006/main" count="196" uniqueCount="151">
  <si>
    <t>Features</t>
  </si>
  <si>
    <t>◦</t>
  </si>
  <si>
    <t>Model Details</t>
  </si>
  <si>
    <t>Company name</t>
  </si>
  <si>
    <t>Date</t>
  </si>
  <si>
    <t>Currency</t>
  </si>
  <si>
    <t>Units</t>
  </si>
  <si>
    <t>Analyst Name</t>
  </si>
  <si>
    <t>Circular Switch</t>
  </si>
  <si>
    <t>USD</t>
  </si>
  <si>
    <t>Firstname Lastname</t>
  </si>
  <si>
    <t>This document is for training purposes only. Financial Edge accepts no responsibility or liability for any other purpose or usage.</t>
  </si>
  <si>
    <t>Hist.</t>
  </si>
  <si>
    <t>Proj.</t>
  </si>
  <si>
    <t>Formatting</t>
  </si>
  <si>
    <t>Input</t>
  </si>
  <si>
    <t>Hard coded</t>
  </si>
  <si>
    <t>Formulas</t>
  </si>
  <si>
    <t>Workout Information</t>
  </si>
  <si>
    <t>Tab Structure</t>
  </si>
  <si>
    <t>Modeling</t>
  </si>
  <si>
    <t>Modeling an income statement</t>
  </si>
  <si>
    <t>Modeling a balance sheet</t>
  </si>
  <si>
    <t>Modeling a cash flow statement</t>
  </si>
  <si>
    <t>Income Statement</t>
  </si>
  <si>
    <t>Revenues</t>
  </si>
  <si>
    <t>Operating costs</t>
  </si>
  <si>
    <t>Net income</t>
  </si>
  <si>
    <t>Balance Sheet</t>
  </si>
  <si>
    <t>Total assets</t>
  </si>
  <si>
    <t>Total liabilities</t>
  </si>
  <si>
    <t>Total liabilities and equity</t>
  </si>
  <si>
    <t>Net cash flow</t>
  </si>
  <si>
    <t>Ending cash and cash equivalents</t>
  </si>
  <si>
    <t>Income Statement Assumptions</t>
  </si>
  <si>
    <t>Balance Sheet Assumptions</t>
  </si>
  <si>
    <t>EBITDA</t>
  </si>
  <si>
    <t>EBIT</t>
  </si>
  <si>
    <t>Interest income</t>
  </si>
  <si>
    <t>Interest expense</t>
  </si>
  <si>
    <t>Earnings before tax</t>
  </si>
  <si>
    <t>Long term debt</t>
  </si>
  <si>
    <t>Net Debt and Interest Assumptions</t>
  </si>
  <si>
    <t>Cash Flow Statement</t>
  </si>
  <si>
    <t>EBIT margin</t>
  </si>
  <si>
    <t>Long term debt issuance / (repayment)</t>
  </si>
  <si>
    <t>Beginning equity</t>
  </si>
  <si>
    <t>Dividends</t>
  </si>
  <si>
    <t>Ending equity</t>
  </si>
  <si>
    <t>Cash and cash equivalents interest rate</t>
  </si>
  <si>
    <t>Long term debt interest rate</t>
  </si>
  <si>
    <t>Ending long term debt</t>
  </si>
  <si>
    <t>Net Debt and Interest Statistics</t>
  </si>
  <si>
    <t>Net debt</t>
  </si>
  <si>
    <t>Net debt / EBITDA</t>
  </si>
  <si>
    <t>EBITDA margin</t>
  </si>
  <si>
    <t>Depreciation % beginning net PP&amp;E</t>
  </si>
  <si>
    <t>Effective tax rate</t>
  </si>
  <si>
    <t>Marginal tax rate</t>
  </si>
  <si>
    <t>Dividends per share</t>
  </si>
  <si>
    <t>Depreciation</t>
  </si>
  <si>
    <t>Amortization</t>
  </si>
  <si>
    <t>Income tax expense</t>
  </si>
  <si>
    <t>Other non current liabilities % revenues</t>
  </si>
  <si>
    <t>Beginning PP&amp;E</t>
  </si>
  <si>
    <t>Operating working capital</t>
  </si>
  <si>
    <t>Ending PP&amp;E</t>
  </si>
  <si>
    <t>Cash and equivalents</t>
  </si>
  <si>
    <t>Net PP&amp;E</t>
  </si>
  <si>
    <t>Goodwill</t>
  </si>
  <si>
    <t>Other intangibles</t>
  </si>
  <si>
    <t>Total equity</t>
  </si>
  <si>
    <t>Check?</t>
  </si>
  <si>
    <t>Total current assets</t>
  </si>
  <si>
    <t>Long term Investments</t>
  </si>
  <si>
    <t>Other long term assets</t>
  </si>
  <si>
    <t>Short term borrowings</t>
  </si>
  <si>
    <t>Total current liabilities</t>
  </si>
  <si>
    <t>Other non current liabilities</t>
  </si>
  <si>
    <t>Short term borrowings interest rate</t>
  </si>
  <si>
    <t>Change in other long term assets</t>
  </si>
  <si>
    <t>Change in other non current liabilities</t>
  </si>
  <si>
    <t>Change in long term investments</t>
  </si>
  <si>
    <t>Interest rate</t>
  </si>
  <si>
    <t>Total debt</t>
  </si>
  <si>
    <t>(Dividends)</t>
  </si>
  <si>
    <t>Cash from financing</t>
  </si>
  <si>
    <t>Cash balance</t>
  </si>
  <si>
    <t>Cash flow from operations</t>
  </si>
  <si>
    <t>Cash from investing activities</t>
  </si>
  <si>
    <t>Change in long term debt</t>
  </si>
  <si>
    <t>PP&amp;E % revenue</t>
  </si>
  <si>
    <t>Total debt / EBITDA</t>
  </si>
  <si>
    <t>Using consensus or management forecasts</t>
  </si>
  <si>
    <t>Ending short term borrowings</t>
  </si>
  <si>
    <t>Net interest expense</t>
  </si>
  <si>
    <t>Thousands</t>
  </si>
  <si>
    <t>Receivables</t>
  </si>
  <si>
    <t>Inventories</t>
  </si>
  <si>
    <t>Prepaids and other current assets</t>
  </si>
  <si>
    <t>Payables</t>
  </si>
  <si>
    <t>Accrued expenses</t>
  </si>
  <si>
    <t>Income taxes payable</t>
  </si>
  <si>
    <t>Receivable days</t>
  </si>
  <si>
    <t>Inventory days</t>
  </si>
  <si>
    <t>Prepaid and other current assets % revenues</t>
  </si>
  <si>
    <t>Payable days</t>
  </si>
  <si>
    <t>Accrued expenses % revenues</t>
  </si>
  <si>
    <t>Income taxes payable % tax expense</t>
  </si>
  <si>
    <t>Long term investments - amount</t>
  </si>
  <si>
    <t>Other long term assets % revenues</t>
  </si>
  <si>
    <t>Dividends per share growth</t>
  </si>
  <si>
    <t>End</t>
  </si>
  <si>
    <t>Other non operating income / (expense)</t>
  </si>
  <si>
    <t>Non recurring expenses</t>
  </si>
  <si>
    <t>Calculations</t>
  </si>
  <si>
    <t>Income Statement Operating Statistics</t>
  </si>
  <si>
    <t>Balance Sheet Operating Statistics</t>
  </si>
  <si>
    <t>Beginning other intangibles</t>
  </si>
  <si>
    <t>Ending other intangibles</t>
  </si>
  <si>
    <t>Upside</t>
  </si>
  <si>
    <t>Base</t>
  </si>
  <si>
    <t>Revenues (historical and consensus)</t>
  </si>
  <si>
    <t>Growth rate - base case</t>
  </si>
  <si>
    <t>Growth rate - upside case</t>
  </si>
  <si>
    <t>Growth rate - downside case</t>
  </si>
  <si>
    <t>Downside</t>
  </si>
  <si>
    <t>Growth rate selected</t>
  </si>
  <si>
    <t>EBITDA (historical &amp; consensus)</t>
  </si>
  <si>
    <t>Margin - base case</t>
  </si>
  <si>
    <t>Margin - upside case</t>
  </si>
  <si>
    <t>Margin - downside case</t>
  </si>
  <si>
    <t>Margin selected</t>
  </si>
  <si>
    <t>Recurring net income</t>
  </si>
  <si>
    <t>Recurring diluted EPS</t>
  </si>
  <si>
    <t>Returns</t>
  </si>
  <si>
    <t>Invested capital</t>
  </si>
  <si>
    <t>Change in operating working capital</t>
  </si>
  <si>
    <t>Capital expenditure</t>
  </si>
  <si>
    <t>Return on average equity</t>
  </si>
  <si>
    <t>Operating working capital % revenues</t>
  </si>
  <si>
    <t>Basic weighted average shares outstanding (WASO)</t>
  </si>
  <si>
    <t>Diluted weighted average shares outstanding (WASO)</t>
  </si>
  <si>
    <t>Net operating profit after tax (NOPAT)</t>
  </si>
  <si>
    <t>Operating working capital (OWC)</t>
  </si>
  <si>
    <t>Capital expenditure % revenues</t>
  </si>
  <si>
    <t>Recurring net income margin</t>
  </si>
  <si>
    <t>Return on average invested capital</t>
  </si>
  <si>
    <t>Non recurring income / (expense)</t>
  </si>
  <si>
    <t>Amortization expense</t>
  </si>
  <si>
    <t>Revenue growth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</si>
</sst>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409]d\-mmm\-yy;@"/>
    <numFmt numFmtId="169" formatCode="0.0"/>
    <numFmt numFmtId="170" formatCode="#,##0.0_);\(#,##0.0\)\,0.0_);@_)"/>
    <numFmt numFmtId="171" formatCode="#,##0.0\ \x_);\(#,##0.0\ \x\);"/>
    <numFmt numFmtId="172" formatCode="0.0%_);\(0.0%\)"/>
    <numFmt numFmtId="173" formatCode=";;;"/>
    <numFmt numFmtId="174" formatCode="#,##0.0_);\(#,##0.0\);0.0_);@_)"/>
    <numFmt numFmtId="175" formatCode="#,##0.0_);\(#,##0.0\)"/>
    <numFmt numFmtId="176" formatCode="#,##0.00_);\(#,##0.00\);0.00_);@_)"/>
    <numFmt numFmtId="177" formatCode="&quot;Case &quot;\ 0"/>
    <numFmt numFmtId="178" formatCode="#,##0.00_);\(#,##0.00\)\,0.0_);@_)"/>
    <numFmt numFmtId="179" formatCode="#,##0.0\ \x_);\(#,##0.0\ \x\)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rgb="FF085393"/>
      <name val="Calibri"/>
      <family val="2"/>
      <scheme val="minor"/>
    </font>
    <font>
      <b/>
      <sz val="12"/>
      <color rgb="FF163260"/>
      <name val="Calibri"/>
      <family val="2"/>
      <scheme val="minor"/>
    </font>
    <font>
      <sz val="10"/>
      <color rgb="FF085393"/>
      <name val="Calibri"/>
      <family val="2"/>
      <scheme val="minor"/>
    </font>
    <font>
      <u/>
      <sz val="11"/>
      <color rgb="FF085393"/>
      <name val="Calibri"/>
      <family val="2"/>
      <scheme val="minor"/>
    </font>
    <font>
      <u/>
      <sz val="14"/>
      <color rgb="FF085393"/>
      <name val="Calibri"/>
      <family val="2"/>
      <scheme val="minor"/>
    </font>
    <font>
      <sz val="16"/>
      <color theme="0"/>
      <name val="Calibri Light"/>
      <family val="2"/>
      <scheme val="maj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8"/>
      <color rgb="FF006100"/>
      <name val="Calibri"/>
      <family val="2"/>
      <scheme val="minor"/>
    </font>
    <font>
      <sz val="18"/>
      <color rgb="FF9C0006"/>
      <name val="Calibri"/>
      <family val="2"/>
      <scheme val="minor"/>
    </font>
    <font>
      <sz val="18"/>
      <color rgb="FF9C6500"/>
      <name val="Calibri"/>
      <family val="2"/>
      <scheme val="minor"/>
    </font>
    <font>
      <sz val="18"/>
      <color rgb="FF3F3F76"/>
      <name val="Calibri"/>
      <family val="2"/>
      <scheme val="minor"/>
    </font>
    <font>
      <b/>
      <sz val="18"/>
      <color rgb="FF3F3F3F"/>
      <name val="Calibri"/>
      <family val="2"/>
      <scheme val="minor"/>
    </font>
    <font>
      <b/>
      <sz val="18"/>
      <color rgb="FFFA7D00"/>
      <name val="Calibri"/>
      <family val="2"/>
      <scheme val="minor"/>
    </font>
    <font>
      <sz val="18"/>
      <color rgb="FFFA7D0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rgb="FFFF0000"/>
      <name val="Calibri"/>
      <family val="2"/>
      <scheme val="minor"/>
    </font>
    <font>
      <i/>
      <sz val="18"/>
      <color rgb="FF7F7F7F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00FF"/>
      <name val="Calibri"/>
      <family val="2"/>
      <scheme val="minor"/>
    </font>
    <font>
      <sz val="9"/>
      <color rgb="FF085393"/>
      <name val="Calibri"/>
      <family val="2"/>
      <scheme val="minor"/>
    </font>
    <font>
      <sz val="22"/>
      <color theme="0"/>
      <name val="Calibri Light"/>
      <family val="2"/>
      <scheme val="major"/>
    </font>
  </fonts>
  <fills count="39">
    <fill>
      <patternFill patternType="none"/>
    </fill>
    <fill>
      <patternFill patternType="gray125"/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0F8FE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theme="0" tint="-0.149998474074526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BDEFB"/>
      </left>
      <right style="thin">
        <color rgb="FFBBDEFB"/>
      </right>
      <top style="thin">
        <color rgb="FFBBDEFB"/>
      </top>
      <bottom style="thin">
        <color rgb="FFBBDEFB"/>
      </bottom>
      <diagonal/>
    </border>
    <border>
      <left/>
      <right/>
      <top/>
      <bottom style="medium">
        <color theme="0" tint="-0.14996795556505021"/>
      </bottom>
      <diagonal/>
    </border>
  </borders>
  <cellStyleXfs count="64">
    <xf numFmtId="174" fontId="0" fillId="0" borderId="0"/>
    <xf numFmtId="0" fontId="7" fillId="0" borderId="0" applyNumberFormat="0" applyFill="0" applyBorder="0" applyAlignment="0" applyProtection="0"/>
    <xf numFmtId="167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5" applyNumberFormat="0" applyAlignment="0" applyProtection="0"/>
    <xf numFmtId="0" fontId="19" fillId="10" borderId="6" applyNumberFormat="0" applyAlignment="0" applyProtection="0"/>
    <xf numFmtId="0" fontId="20" fillId="10" borderId="5" applyNumberFormat="0" applyAlignment="0" applyProtection="0"/>
    <xf numFmtId="0" fontId="21" fillId="0" borderId="7" applyNumberFormat="0" applyFill="0" applyAlignment="0" applyProtection="0"/>
    <xf numFmtId="0" fontId="22" fillId="11" borderId="8" applyNumberFormat="0" applyAlignment="0" applyProtection="0"/>
    <xf numFmtId="0" fontId="23" fillId="0" borderId="0" applyNumberFormat="0" applyFill="0" applyBorder="0" applyAlignment="0" applyProtection="0"/>
    <xf numFmtId="0" fontId="10" fillId="12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6" fillId="36" borderId="0" applyNumberFormat="0" applyBorder="0" applyAlignment="0" applyProtection="0"/>
    <xf numFmtId="0" fontId="33" fillId="2" borderId="0" applyNumberFormat="0">
      <alignment horizontal="left"/>
    </xf>
    <xf numFmtId="0" fontId="9" fillId="3" borderId="0" applyNumberFormat="0" applyAlignment="0">
      <alignment horizontal="left"/>
    </xf>
    <xf numFmtId="0" fontId="5" fillId="0" borderId="0" applyNumberFormat="0" applyFill="0" applyBorder="0">
      <alignment horizontal="left" vertical="center"/>
    </xf>
    <xf numFmtId="0" fontId="3" fillId="5" borderId="0" applyNumberFormat="0" applyFont="0" applyAlignment="0" applyProtection="0">
      <alignment vertical="top"/>
    </xf>
    <xf numFmtId="168" fontId="29" fillId="3" borderId="0">
      <alignment horizontal="center"/>
    </xf>
    <xf numFmtId="170" fontId="28" fillId="2" borderId="0">
      <alignment horizontal="center"/>
    </xf>
    <xf numFmtId="168" fontId="30" fillId="0" borderId="0" applyFont="0" applyFill="0" applyBorder="0" applyAlignment="0" applyProtection="0"/>
    <xf numFmtId="179" fontId="1" fillId="0" borderId="0" applyFont="0" applyFill="0" applyBorder="0" applyAlignment="0" applyProtection="0"/>
    <xf numFmtId="172" fontId="30" fillId="2" borderId="0" applyFont="0" applyFill="0" applyBorder="0" applyAlignment="0" applyProtection="0"/>
    <xf numFmtId="170" fontId="31" fillId="2" borderId="0" applyNumberFormat="0" applyFill="0" applyBorder="0" applyAlignment="0" applyProtection="0"/>
    <xf numFmtId="170" fontId="32" fillId="0" borderId="0" applyNumberFormat="0" applyFill="0" applyBorder="0" applyAlignment="0">
      <alignment vertical="top"/>
    </xf>
    <xf numFmtId="173" fontId="30" fillId="2" borderId="0" applyFont="0" applyFill="0" applyBorder="0" applyAlignment="0" applyProtection="0"/>
    <xf numFmtId="171" fontId="31" fillId="37" borderId="11" applyNumberFormat="0">
      <protection locked="0"/>
    </xf>
    <xf numFmtId="0" fontId="3" fillId="5" borderId="12" applyFont="0" applyAlignment="0" applyProtection="0">
      <alignment vertical="top"/>
    </xf>
    <xf numFmtId="170" fontId="33" fillId="3" borderId="0" applyNumberFormat="0" applyBorder="0">
      <alignment horizontal="center" vertical="top"/>
    </xf>
    <xf numFmtId="170" fontId="4" fillId="38" borderId="0" applyNumberFormat="0" applyFont="0" applyBorder="0" applyAlignment="0" applyProtection="0">
      <alignment vertical="top"/>
    </xf>
  </cellStyleXfs>
  <cellXfs count="89">
    <xf numFmtId="174" fontId="0" fillId="0" borderId="0" xfId="0"/>
    <xf numFmtId="179" fontId="0" fillId="0" borderId="0" xfId="55" applyFont="1"/>
    <xf numFmtId="174" fontId="3" fillId="5" borderId="0" xfId="0" applyFont="1" applyFill="1"/>
    <xf numFmtId="174" fontId="3" fillId="4" borderId="0" xfId="0" applyFont="1" applyFill="1"/>
    <xf numFmtId="174" fontId="3" fillId="5" borderId="0" xfId="0" applyFont="1" applyFill="1" applyAlignment="1">
      <alignment vertical="top" wrapText="1"/>
    </xf>
    <xf numFmtId="174" fontId="3" fillId="5" borderId="1" xfId="0" applyFont="1" applyFill="1" applyBorder="1" applyAlignment="1">
      <alignment vertical="top"/>
    </xf>
    <xf numFmtId="170" fontId="33" fillId="2" borderId="0" xfId="48" applyNumberFormat="1">
      <alignment horizontal="left"/>
    </xf>
    <xf numFmtId="174" fontId="26" fillId="2" borderId="0" xfId="0" applyFont="1" applyFill="1"/>
    <xf numFmtId="174" fontId="27" fillId="3" borderId="0" xfId="0" applyFont="1" applyFill="1"/>
    <xf numFmtId="174" fontId="4" fillId="5" borderId="0" xfId="0" applyFont="1" applyFill="1" applyAlignment="1">
      <alignment horizontal="center" vertical="top"/>
    </xf>
    <xf numFmtId="174" fontId="4" fillId="5" borderId="0" xfId="0" applyFont="1" applyFill="1" applyAlignment="1">
      <alignment vertical="top"/>
    </xf>
    <xf numFmtId="174" fontId="26" fillId="2" borderId="0" xfId="0" applyFont="1" applyFill="1" applyAlignment="1">
      <alignment vertical="center"/>
    </xf>
    <xf numFmtId="168" fontId="29" fillId="3" borderId="0" xfId="52">
      <alignment horizontal="center"/>
    </xf>
    <xf numFmtId="170" fontId="28" fillId="2" borderId="0" xfId="53">
      <alignment horizontal="center"/>
    </xf>
    <xf numFmtId="170" fontId="33" fillId="2" borderId="0" xfId="48" applyNumberFormat="1" applyAlignment="1"/>
    <xf numFmtId="170" fontId="9" fillId="3" borderId="0" xfId="49" applyNumberFormat="1" applyAlignment="1"/>
    <xf numFmtId="170" fontId="5" fillId="0" borderId="0" xfId="50" applyNumberFormat="1">
      <alignment horizontal="left" vertical="center"/>
    </xf>
    <xf numFmtId="174" fontId="3" fillId="5" borderId="0" xfId="0" applyFont="1" applyFill="1" applyAlignment="1">
      <alignment horizontal="left" vertical="top"/>
    </xf>
    <xf numFmtId="174" fontId="3" fillId="5" borderId="0" xfId="0" applyFont="1" applyFill="1" applyAlignment="1">
      <alignment vertical="top"/>
    </xf>
    <xf numFmtId="174" fontId="3" fillId="0" borderId="0" xfId="0" applyFont="1" applyAlignment="1">
      <alignment vertical="top" wrapText="1"/>
    </xf>
    <xf numFmtId="174" fontId="4" fillId="0" borderId="0" xfId="0" applyFont="1" applyAlignment="1">
      <alignment vertical="top"/>
    </xf>
    <xf numFmtId="174" fontId="3" fillId="0" borderId="0" xfId="0" applyFont="1" applyAlignment="1">
      <alignment horizontal="left" wrapText="1"/>
    </xf>
    <xf numFmtId="174" fontId="3" fillId="0" borderId="0" xfId="0" applyFont="1" applyAlignment="1">
      <alignment vertical="top"/>
    </xf>
    <xf numFmtId="174" fontId="3" fillId="0" borderId="0" xfId="0" applyFont="1"/>
    <xf numFmtId="174" fontId="5" fillId="0" borderId="0" xfId="0" applyFont="1" applyAlignment="1">
      <alignment vertical="center"/>
    </xf>
    <xf numFmtId="174" fontId="6" fillId="0" borderId="0" xfId="0" applyFont="1" applyAlignment="1">
      <alignment vertical="center" wrapText="1"/>
    </xf>
    <xf numFmtId="174" fontId="3" fillId="0" borderId="0" xfId="0" applyFont="1" applyAlignment="1">
      <alignment horizontal="left" vertical="top"/>
    </xf>
    <xf numFmtId="174" fontId="4" fillId="0" borderId="0" xfId="0" applyFont="1" applyAlignment="1">
      <alignment horizontal="center" vertical="top"/>
    </xf>
    <xf numFmtId="174" fontId="8" fillId="0" borderId="0" xfId="0" applyFont="1" applyAlignment="1">
      <alignment vertical="center" wrapText="1"/>
    </xf>
    <xf numFmtId="168" fontId="3" fillId="0" borderId="0" xfId="0" applyNumberFormat="1" applyFont="1" applyAlignment="1">
      <alignment horizontal="left"/>
    </xf>
    <xf numFmtId="174" fontId="3" fillId="0" borderId="0" xfId="0" applyFont="1" applyAlignment="1">
      <alignment horizontal="left"/>
    </xf>
    <xf numFmtId="169" fontId="3" fillId="0" borderId="0" xfId="0" applyNumberFormat="1" applyFont="1" applyAlignment="1">
      <alignment horizontal="left"/>
    </xf>
    <xf numFmtId="174" fontId="4" fillId="0" borderId="0" xfId="0" applyFont="1" applyAlignment="1">
      <alignment horizontal="left" vertical="top"/>
    </xf>
    <xf numFmtId="174" fontId="4" fillId="0" borderId="0" xfId="0" applyFont="1"/>
    <xf numFmtId="174" fontId="26" fillId="0" borderId="0" xfId="0" applyFont="1"/>
    <xf numFmtId="174" fontId="27" fillId="0" borderId="0" xfId="0" applyFont="1"/>
    <xf numFmtId="170" fontId="31" fillId="0" borderId="0" xfId="57" applyFill="1" applyBorder="1" applyAlignment="1">
      <alignment vertical="top"/>
    </xf>
    <xf numFmtId="170" fontId="3" fillId="5" borderId="0" xfId="51" applyNumberFormat="1" applyFont="1" applyAlignment="1">
      <alignment horizontal="left" vertical="top"/>
    </xf>
    <xf numFmtId="170" fontId="4" fillId="5" borderId="0" xfId="51" applyNumberFormat="1" applyFont="1" applyAlignment="1">
      <alignment horizontal="center" vertical="top"/>
    </xf>
    <xf numFmtId="170" fontId="3" fillId="5" borderId="0" xfId="51" applyNumberFormat="1" applyFont="1" applyAlignment="1"/>
    <xf numFmtId="170" fontId="6" fillId="5" borderId="0" xfId="51" applyNumberFormat="1" applyFont="1" applyAlignment="1">
      <alignment vertical="center" wrapText="1"/>
    </xf>
    <xf numFmtId="170" fontId="3" fillId="5" borderId="0" xfId="51" applyNumberFormat="1" applyFont="1" applyAlignment="1">
      <alignment vertical="top"/>
    </xf>
    <xf numFmtId="0" fontId="3" fillId="5" borderId="12" xfId="61" applyFont="1" applyAlignment="1">
      <alignment vertical="top"/>
    </xf>
    <xf numFmtId="0" fontId="4" fillId="5" borderId="12" xfId="61" applyFont="1" applyAlignment="1">
      <alignment horizontal="center" vertical="top"/>
    </xf>
    <xf numFmtId="0" fontId="3" fillId="5" borderId="12" xfId="61" applyFont="1" applyAlignment="1"/>
    <xf numFmtId="0" fontId="6" fillId="5" borderId="12" xfId="61" applyFont="1" applyAlignment="1">
      <alignment vertical="center" wrapText="1"/>
    </xf>
    <xf numFmtId="174" fontId="26" fillId="0" borderId="0" xfId="0" applyFont="1" applyAlignment="1">
      <alignment vertical="center"/>
    </xf>
    <xf numFmtId="170" fontId="8" fillId="5" borderId="0" xfId="51" applyNumberFormat="1" applyFont="1" applyAlignment="1">
      <alignment vertical="center" wrapText="1"/>
    </xf>
    <xf numFmtId="0" fontId="4" fillId="5" borderId="12" xfId="61" applyFont="1" applyAlignment="1"/>
    <xf numFmtId="0" fontId="3" fillId="5" borderId="12" xfId="61" applyFont="1" applyAlignment="1">
      <alignment horizontal="left"/>
    </xf>
    <xf numFmtId="0" fontId="8" fillId="5" borderId="12" xfId="61" applyFont="1" applyAlignment="1">
      <alignment horizontal="center" vertical="center" wrapText="1"/>
    </xf>
    <xf numFmtId="0" fontId="8" fillId="5" borderId="12" xfId="61" applyFont="1" applyAlignment="1">
      <alignment vertical="center" wrapText="1"/>
    </xf>
    <xf numFmtId="170" fontId="31" fillId="37" borderId="11" xfId="60" applyNumberFormat="1">
      <protection locked="0"/>
    </xf>
    <xf numFmtId="170" fontId="3" fillId="0" borderId="0" xfId="51" applyNumberFormat="1" applyFont="1" applyFill="1" applyAlignment="1"/>
    <xf numFmtId="0" fontId="3" fillId="0" borderId="0" xfId="61" applyFont="1" applyFill="1" applyBorder="1" applyAlignment="1"/>
    <xf numFmtId="174" fontId="0" fillId="5" borderId="0" xfId="51" applyNumberFormat="1" applyFont="1" applyAlignment="1"/>
    <xf numFmtId="174" fontId="3" fillId="5" borderId="0" xfId="51" applyNumberFormat="1" applyFont="1" applyAlignment="1">
      <alignment vertical="top"/>
    </xf>
    <xf numFmtId="0" fontId="0" fillId="5" borderId="12" xfId="61" applyFont="1" applyAlignment="1"/>
    <xf numFmtId="174" fontId="5" fillId="5" borderId="0" xfId="51" applyNumberFormat="1" applyFont="1" applyAlignment="1">
      <alignment vertical="center"/>
    </xf>
    <xf numFmtId="0" fontId="4" fillId="5" borderId="12" xfId="61" applyFont="1" applyAlignment="1">
      <alignment horizontal="left" vertical="top"/>
    </xf>
    <xf numFmtId="174" fontId="5" fillId="0" borderId="0" xfId="50" applyNumberFormat="1" applyFill="1">
      <alignment horizontal="left" vertical="center"/>
    </xf>
    <xf numFmtId="174" fontId="31" fillId="0" borderId="0" xfId="57" applyNumberFormat="1" applyFill="1"/>
    <xf numFmtId="172" fontId="0" fillId="0" borderId="0" xfId="56" applyFont="1" applyFill="1"/>
    <xf numFmtId="172" fontId="31" fillId="37" borderId="11" xfId="56" applyFont="1" applyFill="1" applyBorder="1" applyProtection="1">
      <protection locked="0"/>
    </xf>
    <xf numFmtId="172" fontId="31" fillId="37" borderId="11" xfId="60" applyNumberFormat="1">
      <protection locked="0"/>
    </xf>
    <xf numFmtId="174" fontId="31" fillId="37" borderId="11" xfId="60" applyNumberFormat="1">
      <protection locked="0"/>
    </xf>
    <xf numFmtId="175" fontId="31" fillId="37" borderId="11" xfId="60" applyNumberFormat="1">
      <protection locked="0"/>
    </xf>
    <xf numFmtId="174" fontId="10" fillId="0" borderId="0" xfId="0" applyFont="1"/>
    <xf numFmtId="175" fontId="31" fillId="0" borderId="0" xfId="57" applyNumberFormat="1" applyFill="1"/>
    <xf numFmtId="176" fontId="0" fillId="0" borderId="0" xfId="0" applyNumberFormat="1"/>
    <xf numFmtId="176" fontId="31" fillId="0" borderId="0" xfId="57" applyNumberFormat="1" applyFill="1"/>
    <xf numFmtId="174" fontId="0" fillId="0" borderId="0" xfId="0" applyAlignment="1">
      <alignment horizontal="center"/>
    </xf>
    <xf numFmtId="177" fontId="0" fillId="0" borderId="0" xfId="0" applyNumberFormat="1" applyAlignment="1">
      <alignment horizontal="center"/>
    </xf>
    <xf numFmtId="177" fontId="31" fillId="37" borderId="11" xfId="60" applyNumberFormat="1" applyAlignment="1">
      <alignment horizontal="left"/>
      <protection locked="0"/>
    </xf>
    <xf numFmtId="175" fontId="1" fillId="0" borderId="0" xfId="57" applyNumberFormat="1" applyFont="1" applyFill="1"/>
    <xf numFmtId="178" fontId="0" fillId="0" borderId="0" xfId="0" applyNumberFormat="1"/>
    <xf numFmtId="172" fontId="31" fillId="0" borderId="0" xfId="57" applyNumberFormat="1" applyFill="1"/>
    <xf numFmtId="170" fontId="33" fillId="2" borderId="0" xfId="48" applyNumberFormat="1" applyAlignment="1">
      <alignment horizontal="center"/>
    </xf>
    <xf numFmtId="174" fontId="6" fillId="0" borderId="0" xfId="0" applyFont="1" applyAlignment="1">
      <alignment horizontal="center" vertical="center" wrapText="1"/>
    </xf>
    <xf numFmtId="170" fontId="3" fillId="5" borderId="0" xfId="51" applyNumberFormat="1" applyFont="1" applyAlignment="1">
      <alignment horizontal="left" vertical="top"/>
    </xf>
    <xf numFmtId="170" fontId="33" fillId="3" borderId="0" xfId="49" applyNumberFormat="1" applyFont="1" applyAlignment="1">
      <alignment horizontal="center" vertical="center"/>
    </xf>
    <xf numFmtId="170" fontId="32" fillId="5" borderId="0" xfId="58" applyNumberFormat="1" applyFill="1" applyBorder="1" applyAlignment="1">
      <alignment horizontal="center" vertical="center" wrapText="1"/>
    </xf>
    <xf numFmtId="174" fontId="8" fillId="0" borderId="0" xfId="0" applyFont="1" applyAlignment="1">
      <alignment horizontal="center" vertical="center" wrapText="1"/>
    </xf>
    <xf numFmtId="174" fontId="0" fillId="5" borderId="0" xfId="51" applyNumberFormat="1" applyFont="1" applyAlignment="1">
      <alignment horizontal="left"/>
    </xf>
    <xf numFmtId="174" fontId="5" fillId="5" borderId="0" xfId="0" applyFont="1" applyFill="1" applyAlignment="1">
      <alignment horizontal="left" vertical="center"/>
    </xf>
    <xf numFmtId="174" fontId="5" fillId="5" borderId="0" xfId="50" applyNumberFormat="1" applyFill="1">
      <alignment horizontal="left" vertical="center"/>
    </xf>
    <xf numFmtId="170" fontId="3" fillId="5" borderId="0" xfId="51" applyNumberFormat="1" applyFont="1" applyAlignment="1">
      <alignment horizontal="left"/>
    </xf>
    <xf numFmtId="168" fontId="3" fillId="5" borderId="0" xfId="51" applyNumberFormat="1" applyFont="1" applyAlignment="1">
      <alignment horizontal="left"/>
    </xf>
    <xf numFmtId="0" fontId="3" fillId="5" borderId="0" xfId="51" applyNumberFormat="1" applyFont="1" applyAlignment="1">
      <alignment horizontal="left"/>
    </xf>
  </cellXfs>
  <cellStyles count="64">
    <cellStyle name="20% - Accent1" xfId="25" builtinId="30" hidden="1"/>
    <cellStyle name="20% - Accent2" xfId="29" builtinId="34" hidden="1"/>
    <cellStyle name="20% - Accent3" xfId="33" builtinId="38" hidden="1"/>
    <cellStyle name="20% - Accent4" xfId="37" builtinId="42" hidden="1"/>
    <cellStyle name="20% - Accent5" xfId="41" builtinId="46" hidden="1"/>
    <cellStyle name="20% - Accent6" xfId="45" builtinId="50" hidden="1"/>
    <cellStyle name="40% - Accent1" xfId="26" builtinId="31" hidden="1"/>
    <cellStyle name="40% - Accent2" xfId="30" builtinId="35" hidden="1"/>
    <cellStyle name="40% - Accent3" xfId="34" builtinId="39" hidden="1"/>
    <cellStyle name="40% - Accent4" xfId="38" builtinId="43" hidden="1"/>
    <cellStyle name="40% - Accent5" xfId="42" builtinId="47" hidden="1"/>
    <cellStyle name="40% - Accent6" xfId="46" builtinId="51" hidden="1"/>
    <cellStyle name="60% - Accent1" xfId="27" builtinId="32" hidden="1"/>
    <cellStyle name="60% - Accent2" xfId="31" builtinId="36" hidden="1"/>
    <cellStyle name="60% - Accent3" xfId="35" builtinId="40" hidden="1"/>
    <cellStyle name="60% - Accent4" xfId="39" builtinId="44" hidden="1"/>
    <cellStyle name="60% - Accent5" xfId="43" builtinId="48" hidden="1"/>
    <cellStyle name="60% - Accent6" xfId="47" builtinId="52" hidden="1"/>
    <cellStyle name="Accent1" xfId="24" builtinId="29" hidden="1"/>
    <cellStyle name="Accent2" xfId="28" builtinId="33" hidden="1"/>
    <cellStyle name="Accent3" xfId="32" builtinId="37" hidden="1"/>
    <cellStyle name="Accent4" xfId="36" builtinId="41" hidden="1"/>
    <cellStyle name="Accent5" xfId="40" builtinId="45" hidden="1"/>
    <cellStyle name="Accent6" xfId="44" builtinId="49" hidden="1"/>
    <cellStyle name="Background Fill" xfId="51" xr:uid="{00000000-0005-0000-0000-000019000000}"/>
    <cellStyle name="Bad" xfId="13" builtinId="27" hidden="1"/>
    <cellStyle name="BG Border" xfId="61" xr:uid="{00000000-0005-0000-0000-00001B000000}"/>
    <cellStyle name="Blank" xfId="59" xr:uid="{00000000-0005-0000-0000-00001C000000}"/>
    <cellStyle name="Calculation" xfId="17" builtinId="22" hidden="1"/>
    <cellStyle name="Check Cell" xfId="19" builtinId="23" hidden="1"/>
    <cellStyle name="Comma" xfId="2" builtinId="3" hidden="1"/>
    <cellStyle name="Comma [0]" xfId="3" builtinId="6" hidden="1"/>
    <cellStyle name="Cover Title" xfId="62" xr:uid="{00000000-0005-0000-0000-000021000000}"/>
    <cellStyle name="Currency" xfId="4" builtinId="4" hidden="1"/>
    <cellStyle name="Currency [0]" xfId="5" builtinId="7" hidden="1"/>
    <cellStyle name="Date" xfId="54" xr:uid="{00000000-0005-0000-0000-000024000000}"/>
    <cellStyle name="Date Heading" xfId="52" xr:uid="{00000000-0005-0000-0000-000025000000}"/>
    <cellStyle name="Explanatory Text" xfId="22" builtinId="53" hidden="1"/>
    <cellStyle name="Good" xfId="12" builtinId="26" hidden="1"/>
    <cellStyle name="Hard Coded Number" xfId="57" xr:uid="{00000000-0005-0000-0000-000028000000}"/>
    <cellStyle name="Heading 1" xfId="8" builtinId="16" hidden="1"/>
    <cellStyle name="Heading 2" xfId="9" builtinId="17" hidden="1"/>
    <cellStyle name="Heading 3" xfId="10" builtinId="18" hidden="1"/>
    <cellStyle name="Heading 4" xfId="11" builtinId="19" hidden="1"/>
    <cellStyle name="Highlight" xfId="63" xr:uid="{00000000-0005-0000-0000-00002D000000}"/>
    <cellStyle name="Hist Proj Title" xfId="53" xr:uid="{00000000-0005-0000-0000-00002E000000}"/>
    <cellStyle name="Hyperlink" xfId="1" builtinId="8" hidden="1" customBuiltin="1"/>
    <cellStyle name="Input" xfId="15" builtinId="20" hidden="1"/>
    <cellStyle name="Input" xfId="60" builtinId="20" customBuiltin="1"/>
    <cellStyle name="Linked Cell" xfId="18" builtinId="24" hidden="1"/>
    <cellStyle name="Multiple" xfId="55" xr:uid="{00000000-0005-0000-0000-000033000000}"/>
    <cellStyle name="Neutral" xfId="14" builtinId="28" hidden="1"/>
    <cellStyle name="Normal" xfId="0" builtinId="0" customBuiltin="1"/>
    <cellStyle name="Note" xfId="21" builtinId="10" hidden="1"/>
    <cellStyle name="Notes and Comments" xfId="58" xr:uid="{00000000-0005-0000-0000-000038000000}"/>
    <cellStyle name="Output" xfId="16" builtinId="21" hidden="1"/>
    <cellStyle name="Percent" xfId="6" builtinId="5" hidden="1"/>
    <cellStyle name="Percent" xfId="56" builtinId="5" customBuiltin="1"/>
    <cellStyle name="Primary Title" xfId="48" xr:uid="{00000000-0005-0000-0000-00003D000000}"/>
    <cellStyle name="Secondary Title" xfId="49" xr:uid="{00000000-0005-0000-0000-00003F000000}"/>
    <cellStyle name="Tertiary Title" xfId="50" xr:uid="{00000000-0005-0000-0000-000040000000}"/>
    <cellStyle name="Title" xfId="7" builtinId="15" hidden="1"/>
    <cellStyle name="Total" xfId="23" builtinId="25" hidden="1"/>
    <cellStyle name="Warning Text" xfId="20" builtinId="11" hidden="1"/>
  </cellStyles>
  <dxfs count="0"/>
  <tableStyles count="0" defaultTableStyle="TableStyleMedium2" defaultPivotStyle="PivotStyleLight16"/>
  <colors>
    <mruColors>
      <color rgb="FF163260"/>
      <color rgb="FF085393"/>
      <color rgb="FFBBDEFB"/>
      <color rgb="FFF0F8FE"/>
      <color rgb="FF0000FF"/>
      <color rgb="FFEBF1FB"/>
      <color rgb="FFD3E0F5"/>
      <color rgb="FFC9D9F3"/>
      <color rgb="FFE2F1FE"/>
      <color rgb="FFC4E3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0</xdr:row>
      <xdr:rowOff>1019175</xdr:rowOff>
    </xdr:from>
    <xdr:to>
      <xdr:col>9</xdr:col>
      <xdr:colOff>457200</xdr:colOff>
      <xdr:row>0</xdr:row>
      <xdr:rowOff>1506097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95550" y="1019175"/>
          <a:ext cx="3533775" cy="4848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1931713</xdr:colOff>
      <xdr:row>0</xdr:row>
      <xdr:rowOff>123826</xdr:rowOff>
    </xdr:from>
    <xdr:to>
      <xdr:col>16</xdr:col>
      <xdr:colOff>161637</xdr:colOff>
      <xdr:row>0</xdr:row>
      <xdr:rowOff>466937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27738" y="123826"/>
          <a:ext cx="401836" cy="342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8"/>
  <sheetViews>
    <sheetView showGridLines="0" tabSelected="1" zoomScaleNormal="100" workbookViewId="0">
      <selection sqref="A1:N1"/>
    </sheetView>
  </sheetViews>
  <sheetFormatPr defaultColWidth="9.06640625" defaultRowHeight="14.25" x14ac:dyDescent="0.45"/>
  <cols>
    <col min="1" max="1" width="9.86328125" customWidth="1"/>
    <col min="2" max="13" width="9.19921875" customWidth="1"/>
    <col min="14" max="14" width="9.86328125" customWidth="1"/>
    <col min="15" max="26" width="9.06640625" customWidth="1"/>
  </cols>
  <sheetData>
    <row r="1" spans="1:14" s="34" customFormat="1" ht="189.75" customHeight="1" x14ac:dyDescent="0.85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</row>
    <row r="2" spans="1:14" s="22" customFormat="1" ht="75" customHeight="1" x14ac:dyDescent="0.45">
      <c r="A2" s="80" t="s">
        <v>20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4" s="23" customFormat="1" ht="7.5" customHeight="1" x14ac:dyDescent="0.45">
      <c r="B3" s="24"/>
      <c r="C3" s="24"/>
      <c r="F3" s="25"/>
      <c r="G3" s="25"/>
      <c r="H3" s="25"/>
      <c r="I3" s="25"/>
      <c r="J3" s="25"/>
      <c r="K3" s="25"/>
    </row>
    <row r="4" spans="1:14" s="23" customFormat="1" ht="15" customHeight="1" x14ac:dyDescent="0.45">
      <c r="A4" s="37"/>
      <c r="B4" s="38"/>
      <c r="C4" s="79"/>
      <c r="D4" s="79"/>
      <c r="E4" s="39"/>
      <c r="F4" s="40"/>
      <c r="G4" s="40"/>
      <c r="H4" s="40"/>
      <c r="I4" s="40"/>
      <c r="J4" s="40"/>
      <c r="K4" s="40"/>
      <c r="L4" s="39"/>
      <c r="M4" s="39"/>
      <c r="N4" s="39"/>
    </row>
    <row r="5" spans="1:14" s="23" customFormat="1" ht="15" customHeight="1" x14ac:dyDescent="0.45">
      <c r="A5" s="81" t="s">
        <v>11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</row>
    <row r="6" spans="1:14" s="23" customFormat="1" ht="15" customHeight="1" x14ac:dyDescent="0.45">
      <c r="A6" s="81"/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</row>
    <row r="7" spans="1:14" s="23" customFormat="1" ht="15" customHeight="1" x14ac:dyDescent="0.45">
      <c r="A7" s="81" t="str">
        <f ca="1">"© "&amp;YEAR(TODAY())&amp;" Financial Edge Training "</f>
        <v xml:space="preserve">© 2023 Financial Edge Training 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</row>
    <row r="8" spans="1:14" s="23" customFormat="1" ht="15" customHeight="1" thickBot="1" x14ac:dyDescent="0.5">
      <c r="A8" s="42"/>
      <c r="B8" s="43"/>
      <c r="C8" s="42"/>
      <c r="D8" s="42"/>
      <c r="E8" s="44"/>
      <c r="F8" s="45"/>
      <c r="G8" s="45"/>
      <c r="H8" s="45"/>
      <c r="I8" s="45"/>
      <c r="J8" s="45"/>
      <c r="K8" s="45"/>
      <c r="L8" s="44"/>
      <c r="M8" s="44"/>
      <c r="N8" s="44"/>
    </row>
    <row r="9" spans="1:14" s="23" customFormat="1" ht="15" customHeight="1" x14ac:dyDescent="0.45">
      <c r="F9" s="28"/>
      <c r="G9" s="82"/>
      <c r="H9" s="82"/>
      <c r="I9" s="82"/>
      <c r="J9" s="82"/>
      <c r="K9" s="28"/>
    </row>
    <row r="10" spans="1:14" s="23" customFormat="1" ht="15" customHeight="1" x14ac:dyDescent="0.45">
      <c r="B10" s="24"/>
      <c r="C10" s="24"/>
      <c r="F10" s="28"/>
      <c r="G10" s="82"/>
      <c r="H10" s="82"/>
      <c r="I10" s="82"/>
      <c r="J10" s="82"/>
      <c r="K10" s="28"/>
    </row>
    <row r="11" spans="1:14" s="23" customFormat="1" ht="15" customHeight="1" x14ac:dyDescent="0.45">
      <c r="B11" s="20"/>
      <c r="C11" s="20"/>
      <c r="D11" s="21"/>
      <c r="F11" s="25"/>
      <c r="G11" s="25"/>
      <c r="H11" s="25"/>
      <c r="I11" s="25"/>
      <c r="J11" s="25"/>
      <c r="K11" s="25"/>
    </row>
    <row r="12" spans="1:14" s="23" customFormat="1" ht="15" customHeight="1" x14ac:dyDescent="0.45">
      <c r="A12" s="26"/>
      <c r="B12" s="20"/>
      <c r="C12" s="20"/>
      <c r="D12" s="29"/>
      <c r="F12" s="25"/>
      <c r="G12" s="78"/>
      <c r="H12" s="78"/>
      <c r="I12" s="78"/>
      <c r="J12" s="78"/>
      <c r="K12" s="25"/>
    </row>
    <row r="13" spans="1:14" s="23" customFormat="1" ht="15" customHeight="1" x14ac:dyDescent="0.45">
      <c r="A13" s="19"/>
      <c r="B13" s="20"/>
      <c r="C13" s="20"/>
      <c r="D13" s="30"/>
      <c r="F13" s="25"/>
      <c r="G13" s="78"/>
      <c r="H13" s="78"/>
      <c r="I13" s="78"/>
      <c r="J13" s="78"/>
      <c r="K13" s="25"/>
    </row>
    <row r="14" spans="1:14" s="23" customFormat="1" ht="15" customHeight="1" x14ac:dyDescent="0.45">
      <c r="A14" s="22"/>
      <c r="B14" s="20"/>
      <c r="C14" s="20"/>
      <c r="D14" s="30"/>
      <c r="F14" s="25"/>
      <c r="G14" s="78"/>
      <c r="H14" s="78"/>
      <c r="I14" s="78"/>
      <c r="J14" s="78"/>
      <c r="K14" s="25"/>
    </row>
    <row r="15" spans="1:14" s="23" customFormat="1" ht="15" customHeight="1" x14ac:dyDescent="0.45">
      <c r="A15" s="22"/>
      <c r="B15" s="20"/>
      <c r="C15" s="20"/>
      <c r="D15" s="30"/>
      <c r="F15" s="25"/>
      <c r="G15" s="25"/>
      <c r="H15" s="25"/>
      <c r="I15" s="25"/>
      <c r="J15" s="25"/>
      <c r="K15" s="25"/>
    </row>
    <row r="16" spans="1:14" s="23" customFormat="1" ht="15" customHeight="1" x14ac:dyDescent="0.45">
      <c r="A16" s="22"/>
      <c r="B16" s="20"/>
      <c r="C16" s="20"/>
      <c r="D16" s="31"/>
      <c r="F16" s="25"/>
      <c r="G16" s="78"/>
      <c r="H16" s="78"/>
      <c r="I16" s="78"/>
      <c r="J16" s="78"/>
      <c r="K16" s="25"/>
    </row>
    <row r="17" spans="1:11" s="23" customFormat="1" ht="15" customHeight="1" x14ac:dyDescent="0.45">
      <c r="A17" s="22"/>
      <c r="B17" s="32"/>
      <c r="C17" s="33"/>
      <c r="D17" s="31"/>
      <c r="F17" s="25"/>
      <c r="G17" s="25"/>
      <c r="H17" s="25"/>
      <c r="I17" s="25"/>
      <c r="J17" s="25"/>
      <c r="K17" s="25"/>
    </row>
    <row r="18" spans="1:11" ht="15" customHeight="1" x14ac:dyDescent="0.45"/>
  </sheetData>
  <mergeCells count="8">
    <mergeCell ref="A1:N1"/>
    <mergeCell ref="G16:J16"/>
    <mergeCell ref="G12:J14"/>
    <mergeCell ref="C4:D4"/>
    <mergeCell ref="A2:N2"/>
    <mergeCell ref="A5:N6"/>
    <mergeCell ref="A7:N7"/>
    <mergeCell ref="G9:J10"/>
  </mergeCells>
  <pageMargins left="0.7" right="0.7" top="0.75" bottom="0.75" header="0.3" footer="0.3"/>
  <pageSetup paperSize="9" orientation="landscape" verticalDpi="0" r:id="rId1"/>
  <headerFooter>
    <oddHeader xml:space="preserve">&amp;R&amp;10&amp;F 
&amp;A
</oddHeader>
    <oddFooter>&amp;L&amp;10© 2016&amp;C&amp;10Page &amp;P of &amp;N&amp;R&amp;G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0"/>
  <sheetViews>
    <sheetView showGridLines="0" zoomScaleNormal="100" workbookViewId="0"/>
  </sheetViews>
  <sheetFormatPr defaultColWidth="9.06640625" defaultRowHeight="14.25" x14ac:dyDescent="0.45"/>
  <cols>
    <col min="1" max="1" width="1.46484375" customWidth="1"/>
    <col min="2" max="2" width="2.86328125" customWidth="1"/>
    <col min="3" max="3" width="13.19921875" customWidth="1"/>
    <col min="4" max="4" width="2.86328125" customWidth="1"/>
    <col min="5" max="7" width="1.46484375" customWidth="1"/>
    <col min="8" max="8" width="2.86328125" customWidth="1"/>
    <col min="9" max="9" width="42.796875" customWidth="1"/>
    <col min="10" max="11" width="1.46484375" customWidth="1"/>
    <col min="12" max="12" width="15.53125" customWidth="1"/>
    <col min="13" max="14" width="1.46484375" customWidth="1"/>
    <col min="15" max="15" width="2.86328125" customWidth="1"/>
    <col min="16" max="16" width="32.53125" customWidth="1"/>
    <col min="17" max="17" width="2.86328125" customWidth="1"/>
    <col min="18" max="18" width="1.46484375" customWidth="1"/>
    <col min="23" max="23" width="17.796875" bestFit="1" customWidth="1"/>
  </cols>
  <sheetData>
    <row r="1" spans="1:18" s="34" customFormat="1" ht="45" customHeight="1" x14ac:dyDescent="0.85">
      <c r="A1" s="14" t="str">
        <f>Welcome!A2</f>
        <v>Modeling</v>
      </c>
      <c r="B1" s="14"/>
      <c r="C1" s="14"/>
      <c r="D1" s="14"/>
      <c r="E1" s="14"/>
      <c r="F1" s="14"/>
      <c r="G1" s="14"/>
      <c r="H1" s="14"/>
      <c r="I1" s="14"/>
      <c r="J1" s="7"/>
      <c r="K1" s="7"/>
      <c r="L1" s="7"/>
      <c r="M1" s="7"/>
      <c r="N1" s="7"/>
      <c r="O1" s="7"/>
      <c r="P1" s="7"/>
      <c r="Q1" s="7"/>
      <c r="R1" s="7"/>
    </row>
    <row r="2" spans="1:18" s="35" customFormat="1" ht="30" customHeight="1" x14ac:dyDescent="0.65">
      <c r="A2" s="15" t="s">
        <v>18</v>
      </c>
      <c r="B2" s="15"/>
      <c r="C2" s="15"/>
      <c r="D2" s="15"/>
      <c r="E2" s="15"/>
      <c r="F2" s="15"/>
      <c r="G2" s="15"/>
      <c r="H2" s="15"/>
      <c r="I2" s="15"/>
      <c r="J2" s="8"/>
      <c r="K2" s="8"/>
      <c r="L2" s="8"/>
      <c r="M2" s="8"/>
      <c r="N2" s="8"/>
      <c r="O2" s="8"/>
      <c r="P2" s="8"/>
      <c r="Q2" s="8"/>
      <c r="R2" s="8"/>
    </row>
    <row r="3" spans="1:18" s="3" customFormat="1" ht="7.5" customHeight="1" x14ac:dyDescent="0.45"/>
    <row r="4" spans="1:18" s="3" customFormat="1" ht="22.5" customHeight="1" x14ac:dyDescent="0.45">
      <c r="A4" s="2"/>
      <c r="B4" s="84" t="s">
        <v>0</v>
      </c>
      <c r="C4" s="84"/>
      <c r="D4" s="84"/>
      <c r="E4" s="84"/>
      <c r="F4" s="84"/>
      <c r="G4" s="84"/>
      <c r="H4" s="84"/>
      <c r="I4" s="84"/>
      <c r="K4" s="2"/>
      <c r="L4" s="84" t="s">
        <v>2</v>
      </c>
      <c r="M4" s="84"/>
      <c r="N4" s="84"/>
      <c r="O4" s="84"/>
      <c r="P4" s="84"/>
      <c r="Q4" s="40"/>
      <c r="R4" s="40"/>
    </row>
    <row r="5" spans="1:18" s="3" customFormat="1" ht="15" customHeight="1" x14ac:dyDescent="0.45">
      <c r="A5" s="17"/>
      <c r="B5" s="9" t="s">
        <v>1</v>
      </c>
      <c r="C5" s="55" t="s">
        <v>21</v>
      </c>
      <c r="D5" s="18"/>
      <c r="E5" s="18"/>
      <c r="F5" s="18"/>
      <c r="G5" s="18"/>
      <c r="H5" s="18"/>
      <c r="I5" s="18"/>
      <c r="K5" s="2"/>
      <c r="L5" s="10" t="s">
        <v>3</v>
      </c>
      <c r="M5" s="10"/>
      <c r="N5" s="86"/>
      <c r="O5" s="86"/>
      <c r="P5" s="86"/>
      <c r="Q5" s="86"/>
      <c r="R5" s="40"/>
    </row>
    <row r="6" spans="1:18" s="3" customFormat="1" ht="15" customHeight="1" x14ac:dyDescent="0.45">
      <c r="A6" s="4"/>
      <c r="B6" s="9" t="s">
        <v>1</v>
      </c>
      <c r="C6" s="55" t="s">
        <v>22</v>
      </c>
      <c r="D6" s="18"/>
      <c r="E6" s="18"/>
      <c r="F6" s="18"/>
      <c r="G6" s="18"/>
      <c r="H6" s="18"/>
      <c r="I6" s="18"/>
      <c r="K6" s="17"/>
      <c r="L6" s="10" t="s">
        <v>4</v>
      </c>
      <c r="M6" s="10"/>
      <c r="N6" s="87">
        <v>56979</v>
      </c>
      <c r="O6" s="87"/>
      <c r="P6" s="87"/>
      <c r="Q6" s="87"/>
      <c r="R6" s="40"/>
    </row>
    <row r="7" spans="1:18" s="3" customFormat="1" ht="15" customHeight="1" x14ac:dyDescent="0.45">
      <c r="A7" s="18"/>
      <c r="B7" s="9" t="s">
        <v>1</v>
      </c>
      <c r="C7" s="55" t="s">
        <v>23</v>
      </c>
      <c r="D7" s="18"/>
      <c r="E7" s="18"/>
      <c r="F7" s="18"/>
      <c r="G7" s="18"/>
      <c r="H7" s="18"/>
      <c r="I7" s="18"/>
      <c r="K7" s="4"/>
      <c r="L7" s="10" t="s">
        <v>5</v>
      </c>
      <c r="M7" s="10"/>
      <c r="N7" s="86" t="s">
        <v>9</v>
      </c>
      <c r="O7" s="86"/>
      <c r="P7" s="86"/>
      <c r="Q7" s="86"/>
      <c r="R7" s="40"/>
    </row>
    <row r="8" spans="1:18" s="3" customFormat="1" ht="15" customHeight="1" x14ac:dyDescent="0.45">
      <c r="A8" s="18"/>
      <c r="B8" s="9" t="s">
        <v>1</v>
      </c>
      <c r="C8" s="55" t="s">
        <v>93</v>
      </c>
      <c r="D8" s="18"/>
      <c r="E8" s="18"/>
      <c r="F8" s="18"/>
      <c r="G8" s="18"/>
      <c r="H8" s="18"/>
      <c r="I8" s="18"/>
      <c r="K8" s="18"/>
      <c r="L8" s="10" t="s">
        <v>6</v>
      </c>
      <c r="M8" s="10"/>
      <c r="N8" s="86" t="s">
        <v>96</v>
      </c>
      <c r="O8" s="86"/>
      <c r="P8" s="86"/>
      <c r="Q8" s="86"/>
      <c r="R8" s="40"/>
    </row>
    <row r="9" spans="1:18" s="3" customFormat="1" ht="15" customHeight="1" x14ac:dyDescent="0.45">
      <c r="A9" s="41"/>
      <c r="B9" s="9"/>
      <c r="C9" s="18"/>
      <c r="D9" s="41"/>
      <c r="E9" s="41"/>
      <c r="F9" s="41"/>
      <c r="G9" s="41"/>
      <c r="H9" s="41"/>
      <c r="I9" s="41"/>
      <c r="K9" s="18"/>
      <c r="L9" s="10" t="s">
        <v>7</v>
      </c>
      <c r="M9" s="10"/>
      <c r="N9" s="86" t="s">
        <v>10</v>
      </c>
      <c r="O9" s="86"/>
      <c r="P9" s="86"/>
      <c r="Q9" s="86"/>
      <c r="R9" s="40"/>
    </row>
    <row r="10" spans="1:18" s="3" customFormat="1" ht="15" customHeight="1" x14ac:dyDescent="0.45">
      <c r="A10" s="39"/>
      <c r="B10" s="39"/>
      <c r="C10" s="39"/>
      <c r="D10" s="39"/>
      <c r="E10" s="39"/>
      <c r="F10" s="39"/>
      <c r="G10" s="39"/>
      <c r="H10" s="39"/>
      <c r="I10" s="39"/>
      <c r="K10" s="18"/>
      <c r="L10" s="10" t="s">
        <v>8</v>
      </c>
      <c r="M10" s="10"/>
      <c r="N10" s="88">
        <v>0</v>
      </c>
      <c r="O10" s="88"/>
      <c r="P10" s="88"/>
      <c r="Q10" s="88"/>
      <c r="R10" s="47"/>
    </row>
    <row r="11" spans="1:18" s="3" customFormat="1" ht="15" customHeight="1" thickBot="1" x14ac:dyDescent="0.5">
      <c r="A11" s="44"/>
      <c r="B11" s="44"/>
      <c r="C11" s="44"/>
      <c r="D11" s="44"/>
      <c r="E11" s="44"/>
      <c r="F11" s="44"/>
      <c r="G11" s="44"/>
      <c r="H11" s="44"/>
      <c r="I11" s="44"/>
      <c r="K11" s="5"/>
      <c r="L11" s="59"/>
      <c r="M11" s="59"/>
      <c r="N11" s="48"/>
      <c r="O11" s="49"/>
      <c r="P11" s="49"/>
      <c r="Q11" s="50"/>
      <c r="R11" s="51"/>
    </row>
    <row r="12" spans="1:18" s="3" customFormat="1" ht="7.5" customHeight="1" x14ac:dyDescent="0.45">
      <c r="K12" s="25"/>
      <c r="L12" s="25"/>
      <c r="M12" s="25"/>
      <c r="N12" s="25"/>
      <c r="O12" s="25"/>
      <c r="P12" s="25"/>
      <c r="Q12" s="25"/>
      <c r="R12" s="25"/>
    </row>
    <row r="13" spans="1:18" s="3" customFormat="1" ht="22.5" customHeight="1" x14ac:dyDescent="0.45">
      <c r="A13" s="55"/>
      <c r="B13" s="85" t="s">
        <v>19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N13" s="2"/>
      <c r="O13" s="84" t="s">
        <v>14</v>
      </c>
      <c r="P13" s="84"/>
      <c r="Q13" s="84"/>
      <c r="R13" s="58"/>
    </row>
    <row r="14" spans="1:18" s="3" customFormat="1" ht="15" customHeight="1" x14ac:dyDescent="0.45">
      <c r="A14" s="56"/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  <c r="N14" s="17"/>
      <c r="O14" s="27"/>
      <c r="P14" s="22"/>
      <c r="Q14" s="22"/>
      <c r="R14" s="56"/>
    </row>
    <row r="15" spans="1:18" s="3" customFormat="1" ht="15" customHeight="1" x14ac:dyDescent="0.45">
      <c r="A15" s="56"/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N15" s="4"/>
      <c r="O15" s="27"/>
      <c r="P15" s="52" t="s">
        <v>15</v>
      </c>
      <c r="Q15" s="22"/>
      <c r="R15" s="56"/>
    </row>
    <row r="16" spans="1:18" s="3" customFormat="1" ht="15" customHeight="1" x14ac:dyDescent="0.45">
      <c r="A16" s="56"/>
      <c r="B16" s="83"/>
      <c r="C16" s="83"/>
      <c r="D16" s="83"/>
      <c r="E16" s="83"/>
      <c r="F16" s="83"/>
      <c r="G16" s="83"/>
      <c r="H16" s="83"/>
      <c r="I16" s="83"/>
      <c r="J16" s="83"/>
      <c r="K16" s="83"/>
      <c r="L16" s="83"/>
      <c r="N16" s="18"/>
      <c r="O16" s="27"/>
      <c r="P16" s="36" t="s">
        <v>16</v>
      </c>
      <c r="Q16" s="22"/>
      <c r="R16" s="56"/>
    </row>
    <row r="17" spans="1:18" s="3" customFormat="1" ht="15" customHeight="1" x14ac:dyDescent="0.45">
      <c r="A17" s="56"/>
      <c r="B17" s="83"/>
      <c r="C17" s="83"/>
      <c r="D17" s="83"/>
      <c r="E17" s="83"/>
      <c r="F17" s="83"/>
      <c r="G17" s="83"/>
      <c r="H17" s="83"/>
      <c r="I17" s="83"/>
      <c r="J17" s="83"/>
      <c r="K17" s="83"/>
      <c r="L17" s="83"/>
      <c r="N17" s="18"/>
      <c r="O17" s="27"/>
      <c r="P17" t="s">
        <v>17</v>
      </c>
      <c r="Q17" s="22"/>
      <c r="R17" s="56"/>
    </row>
    <row r="18" spans="1:18" s="3" customFormat="1" ht="15" customHeight="1" x14ac:dyDescent="0.45">
      <c r="A18" s="39"/>
      <c r="B18" s="83"/>
      <c r="C18" s="83"/>
      <c r="D18" s="83"/>
      <c r="E18" s="83"/>
      <c r="F18" s="83"/>
      <c r="G18" s="83"/>
      <c r="H18" s="83"/>
      <c r="I18" s="83"/>
      <c r="J18" s="83"/>
      <c r="K18" s="83"/>
      <c r="L18" s="83"/>
      <c r="N18" s="39"/>
      <c r="O18" s="53"/>
      <c r="P18" s="53"/>
      <c r="Q18" s="53"/>
      <c r="R18" s="39"/>
    </row>
    <row r="19" spans="1:18" ht="14.65" thickBot="1" x14ac:dyDescent="0.5">
      <c r="A19" s="44"/>
      <c r="B19" s="44"/>
      <c r="C19" s="44"/>
      <c r="D19" s="57"/>
      <c r="E19" s="57"/>
      <c r="F19" s="57"/>
      <c r="G19" s="57"/>
      <c r="H19" s="57"/>
      <c r="I19" s="57"/>
      <c r="J19" s="57"/>
      <c r="K19" s="57"/>
      <c r="L19" s="57"/>
      <c r="N19" s="44"/>
      <c r="O19" s="44"/>
      <c r="P19" s="44"/>
      <c r="Q19" s="44"/>
      <c r="R19" s="44"/>
    </row>
    <row r="20" spans="1:18" x14ac:dyDescent="0.45">
      <c r="Q20" s="54"/>
    </row>
  </sheetData>
  <mergeCells count="20">
    <mergeCell ref="L4:P4"/>
    <mergeCell ref="B4:I4"/>
    <mergeCell ref="B13:L13"/>
    <mergeCell ref="B18:C18"/>
    <mergeCell ref="D16:L16"/>
    <mergeCell ref="D17:L17"/>
    <mergeCell ref="D18:L18"/>
    <mergeCell ref="N5:Q5"/>
    <mergeCell ref="N6:Q6"/>
    <mergeCell ref="N7:Q7"/>
    <mergeCell ref="N8:Q8"/>
    <mergeCell ref="N9:Q9"/>
    <mergeCell ref="N10:Q10"/>
    <mergeCell ref="O13:Q13"/>
    <mergeCell ref="D14:L14"/>
    <mergeCell ref="D15:L15"/>
    <mergeCell ref="B14:C14"/>
    <mergeCell ref="B15:C15"/>
    <mergeCell ref="B16:C16"/>
    <mergeCell ref="B17:C17"/>
  </mergeCells>
  <pageMargins left="0.7" right="0.7" top="0.75" bottom="0.75" header="0.3" footer="0.3"/>
  <pageSetup paperSize="9" scale="99" orientation="landscape" verticalDpi="0" r:id="rId1"/>
  <headerFooter>
    <oddHeader xml:space="preserve">&amp;R&amp;10&amp;F 
&amp;A
</oddHeader>
    <oddFooter>&amp;L&amp;10© 2016&amp;C&amp;10Page &amp;P of &amp;N&amp;R&amp;G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C0ABB-08C5-4F77-B8C8-9DF5DD74FA2E}">
  <dimension ref="A1:O48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/>
    </sheetView>
  </sheetViews>
  <sheetFormatPr defaultColWidth="9.06640625" defaultRowHeight="15" customHeight="1" x14ac:dyDescent="0.45"/>
  <cols>
    <col min="1" max="1" width="1.46484375" style="16" customWidth="1"/>
    <col min="2" max="2" width="47.1328125" customWidth="1"/>
    <col min="3" max="10" width="11" customWidth="1"/>
    <col min="11" max="15" width="10.796875" customWidth="1"/>
  </cols>
  <sheetData>
    <row r="1" spans="1:15" s="46" customFormat="1" ht="45" customHeight="1" x14ac:dyDescent="0.85">
      <c r="A1" s="6" t="s">
        <v>20</v>
      </c>
      <c r="B1" s="11"/>
      <c r="C1" s="13" t="s">
        <v>12</v>
      </c>
      <c r="D1" s="13" t="s">
        <v>12</v>
      </c>
      <c r="E1" s="13" t="s">
        <v>12</v>
      </c>
      <c r="F1" s="13" t="s">
        <v>13</v>
      </c>
      <c r="G1" s="13" t="s">
        <v>13</v>
      </c>
      <c r="H1" s="13" t="s">
        <v>13</v>
      </c>
      <c r="I1" s="13" t="s">
        <v>13</v>
      </c>
      <c r="J1" s="13" t="s">
        <v>13</v>
      </c>
      <c r="K1" s="13" t="s">
        <v>13</v>
      </c>
      <c r="L1" s="13" t="s">
        <v>13</v>
      </c>
      <c r="M1" s="13" t="s">
        <v>13</v>
      </c>
      <c r="N1" s="13" t="s">
        <v>13</v>
      </c>
      <c r="O1" s="13" t="s">
        <v>13</v>
      </c>
    </row>
    <row r="2" spans="1:15" s="35" customFormat="1" ht="30" customHeight="1" x14ac:dyDescent="0.65">
      <c r="A2" s="15">
        <f>Info!N5</f>
        <v>0</v>
      </c>
      <c r="B2" s="8"/>
      <c r="C2" s="12">
        <f>DATE(YEAR(D2)-1,MONTH(D2),DAY(D2))</f>
        <v>56249</v>
      </c>
      <c r="D2" s="12">
        <f>DATE(YEAR(E2)-1,MONTH(E2),DAY(E2))</f>
        <v>56614</v>
      </c>
      <c r="E2" s="12">
        <f>Info!N6</f>
        <v>56979</v>
      </c>
      <c r="F2" s="12">
        <f>DATE(YEAR(E2)+1,MONTH(E2),DAY(E2))</f>
        <v>57345</v>
      </c>
      <c r="G2" s="12">
        <f>DATE(YEAR(F2)+1,MONTH(F2),DAY(F2))</f>
        <v>57710</v>
      </c>
      <c r="H2" s="12">
        <f>DATE(YEAR(G2)+1,MONTH(G2),DAY(G2))</f>
        <v>58075</v>
      </c>
      <c r="I2" s="12">
        <f>DATE(YEAR(H2)+1,MONTH(H2),DAY(H2))</f>
        <v>58440</v>
      </c>
      <c r="J2" s="12">
        <f>DATE(YEAR(I2)+1,MONTH(I2),DAY(I2))</f>
        <v>58806</v>
      </c>
      <c r="K2" s="12">
        <f t="shared" ref="K2:O2" si="0">DATE(YEAR(J2)+1,MONTH(J2),DAY(J2))</f>
        <v>59171</v>
      </c>
      <c r="L2" s="12">
        <f t="shared" si="0"/>
        <v>59536</v>
      </c>
      <c r="M2" s="12">
        <f t="shared" si="0"/>
        <v>59901</v>
      </c>
      <c r="N2" s="12">
        <f t="shared" si="0"/>
        <v>60267</v>
      </c>
      <c r="O2" s="12">
        <f t="shared" si="0"/>
        <v>60632</v>
      </c>
    </row>
    <row r="4" spans="1:15" ht="15" customHeight="1" x14ac:dyDescent="0.45">
      <c r="B4" s="73">
        <v>1</v>
      </c>
      <c r="C4" s="72">
        <v>1</v>
      </c>
      <c r="D4" s="72">
        <f>+C4+1</f>
        <v>2</v>
      </c>
      <c r="E4" s="72">
        <f>+D4+1</f>
        <v>3</v>
      </c>
    </row>
    <row r="5" spans="1:15" ht="15" customHeight="1" x14ac:dyDescent="0.45">
      <c r="B5" t="str" cm="1">
        <f t="array" ref="B5">INDEX(C5:E5,1,B4)</f>
        <v>Base</v>
      </c>
      <c r="C5" s="71" t="s">
        <v>121</v>
      </c>
      <c r="D5" s="71" t="s">
        <v>120</v>
      </c>
      <c r="E5" s="71" t="s">
        <v>126</v>
      </c>
    </row>
    <row r="7" spans="1:15" ht="15" customHeight="1" x14ac:dyDescent="0.45">
      <c r="A7" s="16" t="s">
        <v>34</v>
      </c>
    </row>
    <row r="8" spans="1:15" ht="15" customHeight="1" x14ac:dyDescent="0.45">
      <c r="B8" t="s">
        <v>122</v>
      </c>
      <c r="C8">
        <f>'Model 1'!C5</f>
        <v>467.43799999999999</v>
      </c>
      <c r="D8">
        <f>'Model 1'!D5</f>
        <v>527.19399999999996</v>
      </c>
      <c r="E8">
        <f>'Model 1'!E5</f>
        <v>547.65499999999997</v>
      </c>
      <c r="F8" s="65">
        <v>576.9</v>
      </c>
      <c r="G8" s="65">
        <v>618.9</v>
      </c>
      <c r="H8" s="65">
        <v>664.7</v>
      </c>
    </row>
    <row r="9" spans="1:15" ht="15" customHeight="1" x14ac:dyDescent="0.45">
      <c r="B9" t="s">
        <v>123</v>
      </c>
      <c r="F9" s="62">
        <f>+F8/E8-1</f>
        <v>5.3400407190658417E-2</v>
      </c>
      <c r="G9" s="62">
        <f t="shared" ref="G9:H9" si="1">+G8/F8-1</f>
        <v>7.2802912116484597E-2</v>
      </c>
      <c r="H9" s="62">
        <f t="shared" si="1"/>
        <v>7.4002262077880188E-2</v>
      </c>
      <c r="I9" s="64">
        <v>0.06</v>
      </c>
      <c r="J9" s="64">
        <v>0.05</v>
      </c>
      <c r="K9" s="64">
        <v>0.04</v>
      </c>
      <c r="L9" s="64">
        <v>0.03</v>
      </c>
      <c r="M9" s="64">
        <v>2.5000000000000001E-2</v>
      </c>
      <c r="N9" s="64">
        <v>2.5000000000000001E-2</v>
      </c>
      <c r="O9" s="64">
        <v>2.5000000000000001E-2</v>
      </c>
    </row>
    <row r="10" spans="1:15" ht="15" customHeight="1" x14ac:dyDescent="0.45">
      <c r="B10" t="s">
        <v>124</v>
      </c>
      <c r="F10" s="64">
        <f>+F9+1%</f>
        <v>6.3400407190658412E-2</v>
      </c>
      <c r="G10" s="64">
        <f t="shared" ref="G10:H10" si="2">+G9+1%</f>
        <v>8.2802912116484592E-2</v>
      </c>
      <c r="H10" s="64">
        <f t="shared" si="2"/>
        <v>8.4002262077880183E-2</v>
      </c>
      <c r="I10" s="64">
        <f t="shared" ref="I10" si="3">+I9+1%</f>
        <v>6.9999999999999993E-2</v>
      </c>
      <c r="J10" s="64">
        <f t="shared" ref="J10" si="4">+J9+1%</f>
        <v>6.0000000000000005E-2</v>
      </c>
      <c r="K10" s="64">
        <f t="shared" ref="K10" si="5">+K9+1%</f>
        <v>0.05</v>
      </c>
      <c r="L10" s="64">
        <f t="shared" ref="L10" si="6">+L9+1%</f>
        <v>0.04</v>
      </c>
      <c r="M10" s="64">
        <f t="shared" ref="M10" si="7">+M9+1%</f>
        <v>3.5000000000000003E-2</v>
      </c>
      <c r="N10" s="64">
        <f t="shared" ref="N10" si="8">+N9+1%</f>
        <v>3.5000000000000003E-2</v>
      </c>
      <c r="O10" s="64">
        <f t="shared" ref="O10" si="9">+O9+1%</f>
        <v>3.5000000000000003E-2</v>
      </c>
    </row>
    <row r="11" spans="1:15" ht="15" customHeight="1" x14ac:dyDescent="0.45">
      <c r="B11" t="s">
        <v>125</v>
      </c>
      <c r="F11" s="64">
        <f>+F9-1%</f>
        <v>4.3400407190658415E-2</v>
      </c>
      <c r="G11" s="64">
        <f t="shared" ref="G11:H11" si="10">+G9-1%</f>
        <v>6.2802912116484602E-2</v>
      </c>
      <c r="H11" s="64">
        <f t="shared" si="10"/>
        <v>6.4002262077880193E-2</v>
      </c>
      <c r="I11" s="64">
        <f t="shared" ref="I11:O11" si="11">+I9-1%</f>
        <v>4.9999999999999996E-2</v>
      </c>
      <c r="J11" s="64">
        <f t="shared" si="11"/>
        <v>0.04</v>
      </c>
      <c r="K11" s="64">
        <f t="shared" si="11"/>
        <v>0.03</v>
      </c>
      <c r="L11" s="64">
        <f t="shared" si="11"/>
        <v>1.9999999999999997E-2</v>
      </c>
      <c r="M11" s="64">
        <f t="shared" si="11"/>
        <v>1.5000000000000001E-2</v>
      </c>
      <c r="N11" s="64">
        <f t="shared" si="11"/>
        <v>1.5000000000000001E-2</v>
      </c>
      <c r="O11" s="64">
        <f t="shared" si="11"/>
        <v>1.5000000000000001E-2</v>
      </c>
    </row>
    <row r="12" spans="1:15" ht="15" customHeight="1" x14ac:dyDescent="0.45">
      <c r="B12" t="s">
        <v>127</v>
      </c>
      <c r="F12" s="62" cm="1">
        <f t="array" ref="F12">INDEX(F9:F11,$B$4)</f>
        <v>5.3400407190658417E-2</v>
      </c>
      <c r="G12" s="62" cm="1">
        <f t="array" ref="G12">INDEX(G9:G11,$B$4)</f>
        <v>7.2802912116484597E-2</v>
      </c>
      <c r="H12" s="62" cm="1">
        <f t="array" ref="H12">INDEX(H9:H11,$B$4)</f>
        <v>7.4002262077880188E-2</v>
      </c>
      <c r="I12" s="62" cm="1">
        <f t="array" ref="I12">INDEX(I9:I11,$B$4)</f>
        <v>0.06</v>
      </c>
      <c r="J12" s="62" cm="1">
        <f t="array" ref="J12">INDEX(J9:J11,$B$4)</f>
        <v>0.05</v>
      </c>
      <c r="K12" s="62" cm="1">
        <f t="array" ref="K12">INDEX(K9:K11,$B$4)</f>
        <v>0.04</v>
      </c>
      <c r="L12" s="62" cm="1">
        <f t="array" ref="L12">INDEX(L9:L11,$B$4)</f>
        <v>0.03</v>
      </c>
      <c r="M12" s="62" cm="1">
        <f t="array" ref="M12">INDEX(M9:M11,$B$4)</f>
        <v>2.5000000000000001E-2</v>
      </c>
      <c r="N12" s="62" cm="1">
        <f t="array" ref="N12">INDEX(N9:N11,$B$4)</f>
        <v>2.5000000000000001E-2</v>
      </c>
      <c r="O12" s="62" cm="1">
        <f t="array" ref="O12">INDEX(O9:O11,$B$4)</f>
        <v>2.5000000000000001E-2</v>
      </c>
    </row>
    <row r="14" spans="1:15" ht="15" customHeight="1" x14ac:dyDescent="0.45">
      <c r="B14" t="s">
        <v>128</v>
      </c>
      <c r="C14">
        <f>+'Model 1'!C7</f>
        <v>100.387</v>
      </c>
      <c r="D14">
        <f>+'Model 1'!D7</f>
        <v>111.42299999999994</v>
      </c>
      <c r="E14">
        <f>+'Model 1'!E7</f>
        <v>123.03499999999997</v>
      </c>
      <c r="F14" s="65">
        <v>116.5</v>
      </c>
      <c r="G14" s="65">
        <v>124.9</v>
      </c>
      <c r="H14" s="65">
        <v>147.1</v>
      </c>
    </row>
    <row r="15" spans="1:15" ht="15" customHeight="1" x14ac:dyDescent="0.45">
      <c r="B15" t="s">
        <v>129</v>
      </c>
      <c r="F15" s="62">
        <f>+F14/F8</f>
        <v>0.20194141098977295</v>
      </c>
      <c r="G15" s="62">
        <f>+G14/G8</f>
        <v>0.20180966230408792</v>
      </c>
      <c r="H15" s="62">
        <f>+H14/H8</f>
        <v>0.22130284338799455</v>
      </c>
      <c r="I15" s="64">
        <v>0.22500000000000001</v>
      </c>
      <c r="J15" s="64">
        <v>0.22500000000000001</v>
      </c>
      <c r="K15" s="64">
        <v>0.22500000000000001</v>
      </c>
      <c r="L15" s="64">
        <v>0.22500000000000001</v>
      </c>
      <c r="M15" s="64">
        <v>0.22500000000000001</v>
      </c>
      <c r="N15" s="64">
        <v>0.22500000000000001</v>
      </c>
      <c r="O15" s="64">
        <v>0.22500000000000001</v>
      </c>
    </row>
    <row r="16" spans="1:15" ht="15" customHeight="1" x14ac:dyDescent="0.45">
      <c r="B16" t="s">
        <v>130</v>
      </c>
      <c r="F16" s="64">
        <f>+F15+1%</f>
        <v>0.21194141098977295</v>
      </c>
      <c r="G16" s="64">
        <f t="shared" ref="G16:H16" si="12">+G15+1%</f>
        <v>0.21180966230408793</v>
      </c>
      <c r="H16" s="64">
        <f t="shared" si="12"/>
        <v>0.23130284338799456</v>
      </c>
      <c r="I16" s="64">
        <f t="shared" ref="I16" si="13">+I15+1%</f>
        <v>0.23500000000000001</v>
      </c>
      <c r="J16" s="64">
        <f t="shared" ref="J16" si="14">+J15+1%</f>
        <v>0.23500000000000001</v>
      </c>
      <c r="K16" s="64">
        <f t="shared" ref="K16" si="15">+K15+1%</f>
        <v>0.23500000000000001</v>
      </c>
      <c r="L16" s="64">
        <f t="shared" ref="L16" si="16">+L15+1%</f>
        <v>0.23500000000000001</v>
      </c>
      <c r="M16" s="64">
        <f t="shared" ref="M16" si="17">+M15+1%</f>
        <v>0.23500000000000001</v>
      </c>
      <c r="N16" s="64">
        <f t="shared" ref="N16" si="18">+N15+1%</f>
        <v>0.23500000000000001</v>
      </c>
      <c r="O16" s="64">
        <f t="shared" ref="O16" si="19">+O15+1%</f>
        <v>0.23500000000000001</v>
      </c>
    </row>
    <row r="17" spans="1:15" ht="15" customHeight="1" x14ac:dyDescent="0.45">
      <c r="B17" t="s">
        <v>131</v>
      </c>
      <c r="F17" s="64">
        <f>+F15-1%</f>
        <v>0.19194141098977294</v>
      </c>
      <c r="G17" s="64">
        <f t="shared" ref="G17:H17" si="20">+G15-1%</f>
        <v>0.19180966230408791</v>
      </c>
      <c r="H17" s="64">
        <f t="shared" si="20"/>
        <v>0.21130284338799454</v>
      </c>
      <c r="I17" s="64">
        <f t="shared" ref="I17:O17" si="21">+I15-1%</f>
        <v>0.215</v>
      </c>
      <c r="J17" s="64">
        <f t="shared" si="21"/>
        <v>0.215</v>
      </c>
      <c r="K17" s="64">
        <f t="shared" si="21"/>
        <v>0.215</v>
      </c>
      <c r="L17" s="64">
        <f t="shared" si="21"/>
        <v>0.215</v>
      </c>
      <c r="M17" s="64">
        <f t="shared" si="21"/>
        <v>0.215</v>
      </c>
      <c r="N17" s="64">
        <f t="shared" si="21"/>
        <v>0.215</v>
      </c>
      <c r="O17" s="64">
        <f t="shared" si="21"/>
        <v>0.215</v>
      </c>
    </row>
    <row r="18" spans="1:15" ht="15" customHeight="1" x14ac:dyDescent="0.45">
      <c r="B18" t="s">
        <v>132</v>
      </c>
      <c r="C18" s="62">
        <f>+C14/C8</f>
        <v>0.21476003234653582</v>
      </c>
      <c r="D18" s="62">
        <f>+D14/D8</f>
        <v>0.21135103965523119</v>
      </c>
      <c r="E18" s="62">
        <f>+E14/E8</f>
        <v>0.22465785941879463</v>
      </c>
      <c r="F18" s="62" cm="1">
        <f t="array" ref="F18">INDEX(F15:F17,$B$4)</f>
        <v>0.20194141098977295</v>
      </c>
      <c r="G18" s="62" cm="1">
        <f t="array" ref="G18">INDEX(G15:G17,$B$4)</f>
        <v>0.20180966230408792</v>
      </c>
      <c r="H18" s="62" cm="1">
        <f t="array" ref="H18">INDEX(H15:H17,$B$4)</f>
        <v>0.22130284338799455</v>
      </c>
      <c r="I18" s="62" cm="1">
        <f t="array" ref="I18">INDEX(I15:I17,$B$4)</f>
        <v>0.22500000000000001</v>
      </c>
      <c r="J18" s="62" cm="1">
        <f t="array" ref="J18">INDEX(J15:J17,$B$4)</f>
        <v>0.22500000000000001</v>
      </c>
      <c r="K18" s="62" cm="1">
        <f t="array" ref="K18">INDEX(K15:K17,$B$4)</f>
        <v>0.22500000000000001</v>
      </c>
      <c r="L18" s="62" cm="1">
        <f t="array" ref="L18">INDEX(L15:L17,$B$4)</f>
        <v>0.22500000000000001</v>
      </c>
      <c r="M18" s="62" cm="1">
        <f t="array" ref="M18">INDEX(M15:M17,$B$4)</f>
        <v>0.22500000000000001</v>
      </c>
      <c r="N18" s="62" cm="1">
        <f t="array" ref="N18">INDEX(N15:N17,$B$4)</f>
        <v>0.22500000000000001</v>
      </c>
      <c r="O18" s="62" cm="1">
        <f t="array" ref="O18">INDEX(O15:O17,$B$4)</f>
        <v>0.22500000000000001</v>
      </c>
    </row>
    <row r="20" spans="1:15" ht="15" customHeight="1" x14ac:dyDescent="0.45">
      <c r="B20" t="s">
        <v>56</v>
      </c>
      <c r="E20">
        <f>'Model 1'!E9/'Model 1'!D31*-1</f>
        <v>0.27166833192102902</v>
      </c>
      <c r="F20" s="64">
        <v>0.27</v>
      </c>
      <c r="G20" s="64">
        <v>0.26</v>
      </c>
      <c r="H20" s="64">
        <v>0.25</v>
      </c>
      <c r="I20" s="64">
        <v>0.25</v>
      </c>
      <c r="J20" s="64">
        <v>0.25</v>
      </c>
      <c r="K20" s="64">
        <v>0.25</v>
      </c>
      <c r="L20" s="64">
        <v>0.25</v>
      </c>
      <c r="M20" s="64">
        <v>0.25</v>
      </c>
      <c r="N20" s="64">
        <v>0.25</v>
      </c>
      <c r="O20" s="64">
        <v>0.25</v>
      </c>
    </row>
    <row r="21" spans="1:15" ht="15" customHeight="1" x14ac:dyDescent="0.45">
      <c r="B21" t="s">
        <v>149</v>
      </c>
      <c r="C21">
        <f>+'Model 1'!C10</f>
        <v>-0.11</v>
      </c>
      <c r="D21">
        <f>+'Model 1'!D10</f>
        <v>-9.6000000000000002E-2</v>
      </c>
      <c r="E21">
        <f>+'Model 1'!E10</f>
        <v>-1.4E-2</v>
      </c>
      <c r="F21" s="66">
        <v>0</v>
      </c>
      <c r="G21" s="66">
        <v>0</v>
      </c>
      <c r="H21" s="66">
        <v>0</v>
      </c>
      <c r="I21" s="66">
        <v>0</v>
      </c>
      <c r="J21" s="66">
        <v>0</v>
      </c>
      <c r="K21" s="66">
        <v>0</v>
      </c>
      <c r="L21" s="66">
        <v>0</v>
      </c>
      <c r="M21" s="66">
        <v>0</v>
      </c>
      <c r="N21" s="66">
        <v>0</v>
      </c>
      <c r="O21" s="66">
        <v>0</v>
      </c>
    </row>
    <row r="22" spans="1:15" ht="15" customHeight="1" x14ac:dyDescent="0.45">
      <c r="B22" t="s">
        <v>113</v>
      </c>
      <c r="C22">
        <f>'Model 1'!C14</f>
        <v>0.47799999999999998</v>
      </c>
      <c r="D22">
        <f>'Model 1'!D14</f>
        <v>0.88600000000000001</v>
      </c>
      <c r="E22">
        <f>'Model 1'!E14</f>
        <v>0.91200000000000003</v>
      </c>
      <c r="F22" s="66">
        <f>E22</f>
        <v>0.91200000000000003</v>
      </c>
      <c r="G22" s="66">
        <f t="shared" ref="G22:O22" si="22">F22</f>
        <v>0.91200000000000003</v>
      </c>
      <c r="H22" s="66">
        <f t="shared" si="22"/>
        <v>0.91200000000000003</v>
      </c>
      <c r="I22" s="66">
        <f t="shared" si="22"/>
        <v>0.91200000000000003</v>
      </c>
      <c r="J22" s="66">
        <f t="shared" si="22"/>
        <v>0.91200000000000003</v>
      </c>
      <c r="K22" s="66">
        <f t="shared" si="22"/>
        <v>0.91200000000000003</v>
      </c>
      <c r="L22" s="66">
        <f t="shared" si="22"/>
        <v>0.91200000000000003</v>
      </c>
      <c r="M22" s="66">
        <f t="shared" si="22"/>
        <v>0.91200000000000003</v>
      </c>
      <c r="N22" s="66">
        <f t="shared" si="22"/>
        <v>0.91200000000000003</v>
      </c>
      <c r="O22" s="66">
        <f t="shared" si="22"/>
        <v>0.91200000000000003</v>
      </c>
    </row>
    <row r="23" spans="1:15" ht="15" customHeight="1" x14ac:dyDescent="0.45">
      <c r="B23" t="s">
        <v>148</v>
      </c>
      <c r="C23">
        <f>'Model 1'!C15</f>
        <v>0</v>
      </c>
      <c r="D23">
        <f>'Model 1'!D15</f>
        <v>0</v>
      </c>
      <c r="E23">
        <f>'Model 1'!E15</f>
        <v>-4.6530000000000005</v>
      </c>
      <c r="F23" s="66">
        <v>0</v>
      </c>
      <c r="G23" s="66">
        <v>0</v>
      </c>
      <c r="H23" s="66">
        <v>0</v>
      </c>
      <c r="I23" s="66">
        <v>0</v>
      </c>
      <c r="J23" s="66">
        <v>0</v>
      </c>
      <c r="K23" s="66">
        <v>0</v>
      </c>
      <c r="L23" s="66">
        <v>0</v>
      </c>
      <c r="M23" s="66">
        <v>0</v>
      </c>
      <c r="N23" s="66">
        <v>0</v>
      </c>
      <c r="O23" s="66">
        <v>0</v>
      </c>
    </row>
    <row r="24" spans="1:15" ht="15" customHeight="1" x14ac:dyDescent="0.45">
      <c r="B24" t="s">
        <v>57</v>
      </c>
      <c r="C24" s="62">
        <f>-'Model 1'!C18/'Model 1'!C16</f>
        <v>0.36638872114089288</v>
      </c>
      <c r="D24" s="62">
        <f>-'Model 1'!D18/'Model 1'!D16</f>
        <v>0.3818241882373003</v>
      </c>
      <c r="E24" s="62">
        <f>-'Model 1'!E18/'Model 1'!E16</f>
        <v>0.35340112669697193</v>
      </c>
      <c r="F24" s="64">
        <v>0.36</v>
      </c>
      <c r="G24" s="64">
        <v>0.36</v>
      </c>
      <c r="H24" s="64">
        <v>0.36</v>
      </c>
      <c r="I24" s="64">
        <v>0.36</v>
      </c>
      <c r="J24" s="64">
        <v>0.36</v>
      </c>
      <c r="K24" s="64">
        <v>0.36</v>
      </c>
      <c r="L24" s="64">
        <v>0.36</v>
      </c>
      <c r="M24" s="64">
        <v>0.36</v>
      </c>
      <c r="N24" s="64">
        <v>0.36</v>
      </c>
      <c r="O24" s="64">
        <v>0.36</v>
      </c>
    </row>
    <row r="25" spans="1:15" ht="15" customHeight="1" x14ac:dyDescent="0.45">
      <c r="B25" t="s">
        <v>58</v>
      </c>
      <c r="C25" s="76">
        <v>0.37</v>
      </c>
      <c r="D25" s="76">
        <v>0.37</v>
      </c>
      <c r="E25" s="76">
        <v>0.37</v>
      </c>
      <c r="F25" s="64">
        <v>0.37</v>
      </c>
      <c r="G25" s="64">
        <v>0.37</v>
      </c>
      <c r="H25" s="64">
        <v>0.37</v>
      </c>
      <c r="I25" s="64">
        <v>0.37</v>
      </c>
      <c r="J25" s="64">
        <v>0.37</v>
      </c>
      <c r="K25" s="64">
        <v>0.37</v>
      </c>
      <c r="L25" s="64">
        <v>0.37</v>
      </c>
      <c r="M25" s="64">
        <v>0.37</v>
      </c>
      <c r="N25" s="64">
        <v>0.37</v>
      </c>
      <c r="O25" s="64">
        <v>0.37</v>
      </c>
    </row>
    <row r="26" spans="1:15" ht="15" customHeight="1" x14ac:dyDescent="0.45">
      <c r="B26" t="s">
        <v>111</v>
      </c>
      <c r="D26" s="62">
        <f>'Model 1'!D23/'Model 1'!C23-1</f>
        <v>9.9999999999999867E-2</v>
      </c>
      <c r="E26" s="62">
        <f>'Model 1'!E23/'Model 1'!D23-1</f>
        <v>0.13636363636363646</v>
      </c>
      <c r="F26" s="63">
        <v>0.1</v>
      </c>
      <c r="G26" s="63">
        <v>0.1</v>
      </c>
      <c r="H26" s="63">
        <v>0.1</v>
      </c>
      <c r="I26" s="63">
        <v>0.1</v>
      </c>
      <c r="J26" s="63">
        <v>0.1</v>
      </c>
      <c r="K26" s="63">
        <v>0.1</v>
      </c>
      <c r="L26" s="63">
        <v>0.1</v>
      </c>
      <c r="M26" s="63">
        <v>0.1</v>
      </c>
      <c r="N26" s="63">
        <v>0.1</v>
      </c>
      <c r="O26" s="63">
        <v>0.1</v>
      </c>
    </row>
    <row r="27" spans="1:15" ht="15" customHeight="1" x14ac:dyDescent="0.45">
      <c r="B27" t="s">
        <v>141</v>
      </c>
      <c r="C27">
        <f>'Model 1'!C24</f>
        <v>67.866667000000007</v>
      </c>
      <c r="D27">
        <f>'Model 1'!D24</f>
        <v>67.867529000000005</v>
      </c>
      <c r="E27">
        <f>'Model 1'!E24</f>
        <v>67.852534000000006</v>
      </c>
      <c r="F27" s="66">
        <v>67.394756000000001</v>
      </c>
      <c r="G27" s="66">
        <f>F27</f>
        <v>67.394756000000001</v>
      </c>
      <c r="H27" s="66">
        <f t="shared" ref="H27:O27" si="23">G27</f>
        <v>67.394756000000001</v>
      </c>
      <c r="I27" s="66">
        <f t="shared" si="23"/>
        <v>67.394756000000001</v>
      </c>
      <c r="J27" s="66">
        <f t="shared" si="23"/>
        <v>67.394756000000001</v>
      </c>
      <c r="K27" s="66">
        <f t="shared" si="23"/>
        <v>67.394756000000001</v>
      </c>
      <c r="L27" s="66">
        <f t="shared" si="23"/>
        <v>67.394756000000001</v>
      </c>
      <c r="M27" s="66">
        <f t="shared" si="23"/>
        <v>67.394756000000001</v>
      </c>
      <c r="N27" s="66">
        <f t="shared" si="23"/>
        <v>67.394756000000001</v>
      </c>
      <c r="O27" s="66">
        <f t="shared" si="23"/>
        <v>67.394756000000001</v>
      </c>
    </row>
    <row r="28" spans="1:15" ht="15" customHeight="1" x14ac:dyDescent="0.45">
      <c r="B28" t="s">
        <v>142</v>
      </c>
      <c r="C28">
        <f>'Model 1'!C25</f>
        <v>67.870688000000001</v>
      </c>
      <c r="D28">
        <f>'Model 1'!D25</f>
        <v>67.878339999999994</v>
      </c>
      <c r="E28">
        <f>'Model 1'!E25</f>
        <v>67.876772000000003</v>
      </c>
      <c r="F28">
        <f>E28/E27*F27</f>
        <v>67.418830474446708</v>
      </c>
      <c r="G28">
        <f t="shared" ref="G28:O28" si="24">F28/F27*G27</f>
        <v>67.418830474446708</v>
      </c>
      <c r="H28">
        <f t="shared" si="24"/>
        <v>67.418830474446708</v>
      </c>
      <c r="I28">
        <f t="shared" si="24"/>
        <v>67.418830474446708</v>
      </c>
      <c r="J28">
        <f t="shared" si="24"/>
        <v>67.418830474446708</v>
      </c>
      <c r="K28">
        <f t="shared" si="24"/>
        <v>67.418830474446708</v>
      </c>
      <c r="L28">
        <f t="shared" si="24"/>
        <v>67.418830474446708</v>
      </c>
      <c r="M28">
        <f t="shared" si="24"/>
        <v>67.418830474446708</v>
      </c>
      <c r="N28">
        <f t="shared" si="24"/>
        <v>67.418830474446708</v>
      </c>
      <c r="O28">
        <f t="shared" si="24"/>
        <v>67.418830474446708</v>
      </c>
    </row>
    <row r="29" spans="1:15" ht="15" customHeight="1" x14ac:dyDescent="0.45">
      <c r="A29" s="60"/>
    </row>
    <row r="30" spans="1:15" ht="15" customHeight="1" x14ac:dyDescent="0.45">
      <c r="A30" s="16" t="s">
        <v>35</v>
      </c>
    </row>
    <row r="31" spans="1:15" ht="15" customHeight="1" x14ac:dyDescent="0.45">
      <c r="B31" t="s">
        <v>103</v>
      </c>
      <c r="D31">
        <f>'Model 1'!D64/'Model 1'!D5*365</f>
        <v>22.078874190525692</v>
      </c>
      <c r="E31">
        <f>'Model 1'!E64/'Model 1'!E5*365</f>
        <v>21.616546913659146</v>
      </c>
      <c r="F31" s="66">
        <v>22</v>
      </c>
      <c r="G31" s="66">
        <v>22</v>
      </c>
      <c r="H31" s="66">
        <v>22</v>
      </c>
      <c r="I31" s="66">
        <v>22</v>
      </c>
      <c r="J31" s="66">
        <v>22</v>
      </c>
      <c r="K31" s="66">
        <v>22</v>
      </c>
      <c r="L31" s="66">
        <v>22</v>
      </c>
      <c r="M31" s="66">
        <v>22</v>
      </c>
      <c r="N31" s="66">
        <v>22</v>
      </c>
      <c r="O31" s="66">
        <v>22</v>
      </c>
    </row>
    <row r="32" spans="1:15" ht="15" customHeight="1" x14ac:dyDescent="0.45">
      <c r="B32" t="s">
        <v>104</v>
      </c>
      <c r="C32" s="62"/>
      <c r="D32">
        <f>'Model 1'!D65/'Model 1'!D6*365*-1</f>
        <v>78.334744366490199</v>
      </c>
      <c r="E32">
        <f>'Model 1'!E65/'Model 1'!E6*365*-1</f>
        <v>85.691017851255239</v>
      </c>
      <c r="F32" s="66">
        <v>83</v>
      </c>
      <c r="G32" s="66">
        <v>83</v>
      </c>
      <c r="H32" s="66">
        <v>83</v>
      </c>
      <c r="I32" s="66">
        <v>83</v>
      </c>
      <c r="J32" s="66">
        <v>83</v>
      </c>
      <c r="K32" s="66">
        <v>83</v>
      </c>
      <c r="L32" s="66">
        <v>83</v>
      </c>
      <c r="M32" s="66">
        <v>83</v>
      </c>
      <c r="N32" s="66">
        <v>83</v>
      </c>
      <c r="O32" s="66">
        <v>83</v>
      </c>
    </row>
    <row r="33" spans="1:15" ht="15" customHeight="1" x14ac:dyDescent="0.45">
      <c r="B33" t="s">
        <v>105</v>
      </c>
      <c r="C33" s="62"/>
      <c r="D33" s="62">
        <f>'Model 1'!D66/'Model 1'!D5</f>
        <v>2.1468377864694972E-2</v>
      </c>
      <c r="E33" s="62">
        <f>'Model 1'!E66/'Model 1'!E5</f>
        <v>3.0374962339429018E-2</v>
      </c>
      <c r="F33" s="64">
        <v>2.5000000000000001E-2</v>
      </c>
      <c r="G33" s="64">
        <v>2.5000000000000001E-2</v>
      </c>
      <c r="H33" s="64">
        <v>2.5000000000000001E-2</v>
      </c>
      <c r="I33" s="64">
        <v>2.5000000000000001E-2</v>
      </c>
      <c r="J33" s="64">
        <v>2.5000000000000001E-2</v>
      </c>
      <c r="K33" s="64">
        <v>2.5000000000000001E-2</v>
      </c>
      <c r="L33" s="64">
        <v>2.5000000000000001E-2</v>
      </c>
      <c r="M33" s="64">
        <v>2.5000000000000001E-2</v>
      </c>
      <c r="N33" s="64">
        <v>2.5000000000000001E-2</v>
      </c>
      <c r="O33" s="64">
        <v>2.5000000000000001E-2</v>
      </c>
    </row>
    <row r="34" spans="1:15" ht="15" customHeight="1" x14ac:dyDescent="0.45">
      <c r="B34" t="s">
        <v>145</v>
      </c>
      <c r="C34" s="62">
        <f>'Model 1'!C29/'Model 1'!C5</f>
        <v>5.4424330071581692E-2</v>
      </c>
      <c r="D34" s="62">
        <f>'Model 1'!D29/'Model 1'!D5</f>
        <v>6.9378634809956111E-2</v>
      </c>
      <c r="E34" s="62">
        <f>'Model 1'!E29/'Model 1'!E5</f>
        <v>5.6265349535747876E-2</v>
      </c>
      <c r="F34" s="64">
        <v>6.5000000000000002E-2</v>
      </c>
      <c r="G34" s="64">
        <v>6.5000000000000002E-2</v>
      </c>
      <c r="H34" s="64">
        <v>6.5000000000000002E-2</v>
      </c>
      <c r="I34" s="64">
        <v>6.5000000000000002E-2</v>
      </c>
      <c r="J34" s="64">
        <v>6.5000000000000002E-2</v>
      </c>
      <c r="K34" s="64">
        <v>6.5000000000000002E-2</v>
      </c>
      <c r="L34" s="64">
        <v>6.5000000000000002E-2</v>
      </c>
      <c r="M34" s="64">
        <v>6.5000000000000002E-2</v>
      </c>
      <c r="N34" s="64">
        <v>6.5000000000000002E-2</v>
      </c>
      <c r="O34" s="64">
        <v>6.5000000000000002E-2</v>
      </c>
    </row>
    <row r="35" spans="1:15" ht="15" customHeight="1" x14ac:dyDescent="0.45">
      <c r="B35" t="s">
        <v>109</v>
      </c>
      <c r="C35" s="62"/>
      <c r="D35">
        <f>'Model 1'!D70</f>
        <v>2.1560000000000001</v>
      </c>
      <c r="E35">
        <f>'Model 1'!E70</f>
        <v>1.84</v>
      </c>
      <c r="F35" s="65">
        <f>E35</f>
        <v>1.84</v>
      </c>
      <c r="G35" s="65">
        <f t="shared" ref="G35:O35" si="25">F35</f>
        <v>1.84</v>
      </c>
      <c r="H35" s="65">
        <f t="shared" si="25"/>
        <v>1.84</v>
      </c>
      <c r="I35" s="65">
        <f t="shared" si="25"/>
        <v>1.84</v>
      </c>
      <c r="J35" s="65">
        <f t="shared" si="25"/>
        <v>1.84</v>
      </c>
      <c r="K35" s="65">
        <f t="shared" si="25"/>
        <v>1.84</v>
      </c>
      <c r="L35" s="65">
        <f t="shared" si="25"/>
        <v>1.84</v>
      </c>
      <c r="M35" s="65">
        <f t="shared" si="25"/>
        <v>1.84</v>
      </c>
      <c r="N35" s="65">
        <f t="shared" si="25"/>
        <v>1.84</v>
      </c>
      <c r="O35" s="65">
        <f t="shared" si="25"/>
        <v>1.84</v>
      </c>
    </row>
    <row r="36" spans="1:15" ht="15" customHeight="1" x14ac:dyDescent="0.45">
      <c r="B36" t="s">
        <v>110</v>
      </c>
      <c r="C36" s="62"/>
      <c r="D36" s="62">
        <f>'Model 1'!D73/'Model 1'!D5</f>
        <v>2.2126579589297299E-2</v>
      </c>
      <c r="E36" s="62">
        <f>'Model 1'!E73/'Model 1'!E5</f>
        <v>1.8334535428326228E-2</v>
      </c>
      <c r="F36" s="64">
        <v>0.02</v>
      </c>
      <c r="G36" s="64">
        <v>0.02</v>
      </c>
      <c r="H36" s="64">
        <v>0.02</v>
      </c>
      <c r="I36" s="64">
        <v>0.02</v>
      </c>
      <c r="J36" s="64">
        <v>0.02</v>
      </c>
      <c r="K36" s="64">
        <v>0.02</v>
      </c>
      <c r="L36" s="64">
        <v>0.02</v>
      </c>
      <c r="M36" s="64">
        <v>0.02</v>
      </c>
      <c r="N36" s="64">
        <v>0.02</v>
      </c>
      <c r="O36" s="64">
        <v>0.02</v>
      </c>
    </row>
    <row r="37" spans="1:15" ht="15" customHeight="1" x14ac:dyDescent="0.45">
      <c r="B37" t="s">
        <v>106</v>
      </c>
      <c r="D37">
        <f>'Model 1'!D77/'Model 1'!D6*365*-1</f>
        <v>29.758617123368396</v>
      </c>
      <c r="E37">
        <f>'Model 1'!E77/'Model 1'!E6*365*-1</f>
        <v>30.811219443266925</v>
      </c>
      <c r="F37" s="66">
        <v>30</v>
      </c>
      <c r="G37" s="66">
        <v>30</v>
      </c>
      <c r="H37" s="66">
        <v>30</v>
      </c>
      <c r="I37" s="66">
        <v>30</v>
      </c>
      <c r="J37" s="66">
        <v>30</v>
      </c>
      <c r="K37" s="66">
        <v>30</v>
      </c>
      <c r="L37" s="66">
        <v>30</v>
      </c>
      <c r="M37" s="66">
        <v>30</v>
      </c>
      <c r="N37" s="66">
        <v>30</v>
      </c>
      <c r="O37" s="66">
        <v>30</v>
      </c>
    </row>
    <row r="38" spans="1:15" ht="15" customHeight="1" x14ac:dyDescent="0.45">
      <c r="B38" t="s">
        <v>107</v>
      </c>
      <c r="D38" s="62">
        <f>'Model 1'!D78/'Model 1'!D5</f>
        <v>6.5983300265177527E-2</v>
      </c>
      <c r="E38" s="62">
        <f>'Model 1'!E78/'Model 1'!E5</f>
        <v>7.1450091754845665E-2</v>
      </c>
      <c r="F38" s="63">
        <v>7.0000000000000007E-2</v>
      </c>
      <c r="G38" s="63">
        <v>7.0000000000000007E-2</v>
      </c>
      <c r="H38" s="63">
        <v>7.0000000000000007E-2</v>
      </c>
      <c r="I38" s="63">
        <v>7.0000000000000007E-2</v>
      </c>
      <c r="J38" s="63">
        <v>7.0000000000000007E-2</v>
      </c>
      <c r="K38" s="63">
        <v>7.0000000000000007E-2</v>
      </c>
      <c r="L38" s="63">
        <v>7.0000000000000007E-2</v>
      </c>
      <c r="M38" s="63">
        <v>7.0000000000000007E-2</v>
      </c>
      <c r="N38" s="63">
        <v>7.0000000000000007E-2</v>
      </c>
      <c r="O38" s="63">
        <v>7.0000000000000007E-2</v>
      </c>
    </row>
    <row r="39" spans="1:15" ht="15" customHeight="1" x14ac:dyDescent="0.45">
      <c r="B39" t="s">
        <v>108</v>
      </c>
      <c r="D39" s="62">
        <f>'Model 1'!D79/'Model 1'!D18*-1</f>
        <v>6.5140943343566848E-2</v>
      </c>
      <c r="E39" s="62">
        <f>'Model 1'!E79/'Model 1'!E18*-1</f>
        <v>1.785714285714286E-2</v>
      </c>
      <c r="F39" s="63">
        <v>0.04</v>
      </c>
      <c r="G39" s="63">
        <v>0.04</v>
      </c>
      <c r="H39" s="63">
        <v>0.04</v>
      </c>
      <c r="I39" s="63">
        <v>0.04</v>
      </c>
      <c r="J39" s="63">
        <v>0.04</v>
      </c>
      <c r="K39" s="63">
        <v>0.04</v>
      </c>
      <c r="L39" s="63">
        <v>0.04</v>
      </c>
      <c r="M39" s="63">
        <v>0.04</v>
      </c>
      <c r="N39" s="63">
        <v>0.04</v>
      </c>
      <c r="O39" s="63">
        <v>0.04</v>
      </c>
    </row>
    <row r="40" spans="1:15" ht="15" customHeight="1" x14ac:dyDescent="0.45">
      <c r="B40" t="s">
        <v>63</v>
      </c>
      <c r="D40" s="62">
        <f>'Model 1'!D83/'Model 1'!D5</f>
        <v>0.10130805737546332</v>
      </c>
      <c r="E40" s="62">
        <f>'Model 1'!E83/'Model 1'!E5</f>
        <v>0.10135760652235441</v>
      </c>
      <c r="F40" s="63">
        <v>0.10100000000000001</v>
      </c>
      <c r="G40" s="63">
        <v>0.10100000000000001</v>
      </c>
      <c r="H40" s="63">
        <v>0.10100000000000001</v>
      </c>
      <c r="I40" s="63">
        <v>0.10100000000000001</v>
      </c>
      <c r="J40" s="63">
        <v>0.10100000000000001</v>
      </c>
      <c r="K40" s="63">
        <v>0.10100000000000001</v>
      </c>
      <c r="L40" s="63">
        <v>0.10100000000000001</v>
      </c>
      <c r="M40" s="63">
        <v>0.10100000000000001</v>
      </c>
      <c r="N40" s="63">
        <v>0.10100000000000001</v>
      </c>
      <c r="O40" s="63">
        <v>0.10100000000000001</v>
      </c>
    </row>
    <row r="41" spans="1:15" ht="15" customHeight="1" x14ac:dyDescent="0.45">
      <c r="A41" s="60"/>
    </row>
    <row r="42" spans="1:15" ht="15" customHeight="1" x14ac:dyDescent="0.45">
      <c r="A42" s="16" t="s">
        <v>42</v>
      </c>
    </row>
    <row r="43" spans="1:15" ht="15" customHeight="1" x14ac:dyDescent="0.45">
      <c r="B43" t="s">
        <v>45</v>
      </c>
      <c r="F43" s="66">
        <v>-5</v>
      </c>
      <c r="G43" s="66">
        <v>-10</v>
      </c>
      <c r="H43" s="66">
        <v>-10</v>
      </c>
      <c r="I43" s="66">
        <v>0</v>
      </c>
      <c r="J43" s="66">
        <v>0</v>
      </c>
      <c r="K43" s="66">
        <v>0</v>
      </c>
      <c r="L43" s="66">
        <v>0</v>
      </c>
      <c r="M43" s="66">
        <v>0</v>
      </c>
      <c r="N43" s="66">
        <v>0</v>
      </c>
      <c r="O43" s="66">
        <v>0</v>
      </c>
    </row>
    <row r="44" spans="1:15" ht="15" customHeight="1" x14ac:dyDescent="0.45">
      <c r="B44" t="s">
        <v>79</v>
      </c>
      <c r="D44" s="62"/>
      <c r="E44" s="62"/>
      <c r="F44" s="64">
        <v>1.4999999999999999E-2</v>
      </c>
      <c r="G44" s="64">
        <v>1.4999999999999999E-2</v>
      </c>
      <c r="H44" s="64">
        <v>1.4999999999999999E-2</v>
      </c>
      <c r="I44" s="64">
        <v>1.4999999999999999E-2</v>
      </c>
      <c r="J44" s="64">
        <v>1.4999999999999999E-2</v>
      </c>
      <c r="K44" s="64">
        <v>1.4999999999999999E-2</v>
      </c>
      <c r="L44" s="64">
        <v>1.4999999999999999E-2</v>
      </c>
      <c r="M44" s="64">
        <v>1.4999999999999999E-2</v>
      </c>
      <c r="N44" s="64">
        <v>1.4999999999999999E-2</v>
      </c>
      <c r="O44" s="64">
        <v>1.4999999999999999E-2</v>
      </c>
    </row>
    <row r="45" spans="1:15" ht="15" customHeight="1" x14ac:dyDescent="0.45">
      <c r="B45" t="s">
        <v>50</v>
      </c>
      <c r="D45" s="62"/>
      <c r="E45" s="62"/>
      <c r="F45" s="64">
        <v>5.5E-2</v>
      </c>
      <c r="G45" s="64">
        <v>5.5E-2</v>
      </c>
      <c r="H45" s="64">
        <v>5.5E-2</v>
      </c>
      <c r="I45" s="64">
        <v>5.5E-2</v>
      </c>
      <c r="J45" s="64">
        <v>5.5E-2</v>
      </c>
      <c r="K45" s="64">
        <v>5.5E-2</v>
      </c>
      <c r="L45" s="64">
        <v>5.5E-2</v>
      </c>
      <c r="M45" s="64">
        <v>5.5E-2</v>
      </c>
      <c r="N45" s="64">
        <v>5.5E-2</v>
      </c>
      <c r="O45" s="64">
        <v>5.5E-2</v>
      </c>
    </row>
    <row r="46" spans="1:15" ht="15" customHeight="1" x14ac:dyDescent="0.45">
      <c r="B46" t="s">
        <v>49</v>
      </c>
      <c r="F46" s="64">
        <v>1E-3</v>
      </c>
      <c r="G46" s="64">
        <v>1E-3</v>
      </c>
      <c r="H46" s="64">
        <v>1E-3</v>
      </c>
      <c r="I46" s="64">
        <v>1E-3</v>
      </c>
      <c r="J46" s="64">
        <v>1E-3</v>
      </c>
      <c r="K46" s="64">
        <v>1E-3</v>
      </c>
      <c r="L46" s="64">
        <v>1E-3</v>
      </c>
      <c r="M46" s="64">
        <v>1E-3</v>
      </c>
      <c r="N46" s="64">
        <v>1E-3</v>
      </c>
      <c r="O46" s="64">
        <v>1E-3</v>
      </c>
    </row>
    <row r="47" spans="1:15" ht="15" customHeight="1" x14ac:dyDescent="0.45">
      <c r="A47" s="60"/>
    </row>
    <row r="48" spans="1:15" ht="15" customHeight="1" x14ac:dyDescent="0.45">
      <c r="A48" s="16" t="s">
        <v>112</v>
      </c>
    </row>
  </sheetData>
  <dataValidations disablePrompts="1" count="1">
    <dataValidation type="list" allowBlank="1" showInputMessage="1" showErrorMessage="1" sqref="B4" xr:uid="{00D3F48C-941E-4957-A440-F04E3AC5306F}">
      <formula1>$C$4:$E$4</formula1>
    </dataValidation>
  </dataValidations>
  <printOptions headings="1" gridLines="1"/>
  <pageMargins left="0.7" right="0.7" top="0.75" bottom="0.75" header="0.3" footer="0.3"/>
  <pageSetup paperSize="9" scale="60" orientation="landscape" r:id="rId1"/>
  <headerFooter>
    <oddHeader xml:space="preserve">&amp;R&amp;10&amp;F 
&amp;A
</oddHeader>
    <oddFooter>&amp;L&amp;10© 2016&amp;C&amp;10Page &amp;P of &amp;N&amp;R&amp;G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35"/>
  <sheetViews>
    <sheetView zoomScaleNormal="100" workbookViewId="0">
      <pane xSplit="2" ySplit="2" topLeftCell="C3" activePane="bottomRight" state="frozen"/>
      <selection activeCell="B33" sqref="B33"/>
      <selection pane="topRight" activeCell="B33" sqref="B33"/>
      <selection pane="bottomLeft" activeCell="B33" sqref="B33"/>
      <selection pane="bottomRight"/>
    </sheetView>
  </sheetViews>
  <sheetFormatPr defaultColWidth="9.06640625" defaultRowHeight="15" customHeight="1" x14ac:dyDescent="0.45"/>
  <cols>
    <col min="1" max="1" width="1.46484375" style="16" customWidth="1"/>
    <col min="2" max="2" width="47.1328125" bestFit="1" customWidth="1"/>
    <col min="3" max="10" width="11" customWidth="1"/>
    <col min="11" max="15" width="10.796875" customWidth="1"/>
  </cols>
  <sheetData>
    <row r="1" spans="1:15" s="46" customFormat="1" ht="45" customHeight="1" x14ac:dyDescent="0.85">
      <c r="A1" s="6" t="s">
        <v>20</v>
      </c>
      <c r="B1" s="11"/>
      <c r="C1" s="13" t="s">
        <v>12</v>
      </c>
      <c r="D1" s="13" t="s">
        <v>12</v>
      </c>
      <c r="E1" s="13" t="s">
        <v>12</v>
      </c>
      <c r="F1" s="13" t="s">
        <v>13</v>
      </c>
      <c r="G1" s="13" t="s">
        <v>13</v>
      </c>
      <c r="H1" s="13" t="s">
        <v>13</v>
      </c>
      <c r="I1" s="13" t="s">
        <v>13</v>
      </c>
      <c r="J1" s="13" t="s">
        <v>13</v>
      </c>
      <c r="K1" s="13" t="s">
        <v>13</v>
      </c>
      <c r="L1" s="13" t="s">
        <v>13</v>
      </c>
      <c r="M1" s="13" t="s">
        <v>13</v>
      </c>
      <c r="N1" s="13" t="s">
        <v>13</v>
      </c>
      <c r="O1" s="13" t="s">
        <v>13</v>
      </c>
    </row>
    <row r="2" spans="1:15" s="35" customFormat="1" ht="30" customHeight="1" x14ac:dyDescent="0.65">
      <c r="A2" s="15">
        <f>Info!N5</f>
        <v>0</v>
      </c>
      <c r="B2" s="8"/>
      <c r="C2" s="12">
        <f>DATE(YEAR(D2)-1,MONTH(D2),DAY(D2))</f>
        <v>56249</v>
      </c>
      <c r="D2" s="12">
        <f>DATE(YEAR(E2)-1,MONTH(E2),DAY(E2))</f>
        <v>56614</v>
      </c>
      <c r="E2" s="12">
        <f>Info!N6</f>
        <v>56979</v>
      </c>
      <c r="F2" s="12">
        <f>DATE(YEAR(E2)+1,MONTH(E2),DAY(E2))</f>
        <v>57345</v>
      </c>
      <c r="G2" s="12">
        <f>DATE(YEAR(F2)+1,MONTH(F2),DAY(F2))</f>
        <v>57710</v>
      </c>
      <c r="H2" s="12">
        <f>DATE(YEAR(G2)+1,MONTH(G2),DAY(G2))</f>
        <v>58075</v>
      </c>
      <c r="I2" s="12">
        <f>DATE(YEAR(H2)+1,MONTH(H2),DAY(H2))</f>
        <v>58440</v>
      </c>
      <c r="J2" s="12">
        <f>DATE(YEAR(I2)+1,MONTH(I2),DAY(I2))</f>
        <v>58806</v>
      </c>
      <c r="K2" s="12">
        <f t="shared" ref="K2:O2" si="0">DATE(YEAR(J2)+1,MONTH(J2),DAY(J2))</f>
        <v>59171</v>
      </c>
      <c r="L2" s="12">
        <f t="shared" si="0"/>
        <v>59536</v>
      </c>
      <c r="M2" s="12">
        <f t="shared" si="0"/>
        <v>59901</v>
      </c>
      <c r="N2" s="12">
        <f t="shared" si="0"/>
        <v>60267</v>
      </c>
      <c r="O2" s="12">
        <f t="shared" si="0"/>
        <v>60632</v>
      </c>
    </row>
    <row r="4" spans="1:15" ht="15" customHeight="1" x14ac:dyDescent="0.45">
      <c r="A4" s="16" t="s">
        <v>24</v>
      </c>
    </row>
    <row r="5" spans="1:15" ht="15" customHeight="1" x14ac:dyDescent="0.45">
      <c r="B5" t="s">
        <v>25</v>
      </c>
      <c r="C5" s="68">
        <v>467.43799999999999</v>
      </c>
      <c r="D5" s="68">
        <v>527.19399999999996</v>
      </c>
      <c r="E5" s="68">
        <v>547.65499999999997</v>
      </c>
      <c r="F5" s="74">
        <f>(1+'Model 1 Assumptions'!F12)*'Model 1'!E5</f>
        <v>576.9</v>
      </c>
      <c r="G5" s="74">
        <f>(1+'Model 1 Assumptions'!G12)*'Model 1'!F5</f>
        <v>618.9</v>
      </c>
      <c r="H5" s="74">
        <f>(1+'Model 1 Assumptions'!H12)*'Model 1'!G5</f>
        <v>664.7</v>
      </c>
      <c r="I5" s="74">
        <f>(1+'Model 1 Assumptions'!I12)*'Model 1'!H5</f>
        <v>704.58200000000011</v>
      </c>
      <c r="J5" s="74">
        <f>(1+'Model 1 Assumptions'!J12)*'Model 1'!I5</f>
        <v>739.81110000000012</v>
      </c>
      <c r="K5" s="74">
        <f>(1+'Model 1 Assumptions'!K12)*'Model 1'!J5</f>
        <v>769.40354400000012</v>
      </c>
      <c r="L5" s="74">
        <f>(1+'Model 1 Assumptions'!L12)*'Model 1'!K5</f>
        <v>792.4856503200001</v>
      </c>
      <c r="M5" s="74">
        <f>(1+'Model 1 Assumptions'!M12)*'Model 1'!L5</f>
        <v>812.29779157799999</v>
      </c>
      <c r="N5" s="74">
        <f>(1+'Model 1 Assumptions'!N12)*'Model 1'!M5</f>
        <v>832.60523636744995</v>
      </c>
      <c r="O5" s="74">
        <f>(1+'Model 1 Assumptions'!O12)*'Model 1'!N5</f>
        <v>853.42036727663617</v>
      </c>
    </row>
    <row r="6" spans="1:15" ht="15" customHeight="1" x14ac:dyDescent="0.45">
      <c r="B6" t="s">
        <v>26</v>
      </c>
      <c r="C6" s="68">
        <f>(198593-13914+(28875+17373+98720+37514-110))/1000*-1</f>
        <v>-367.05099999999999</v>
      </c>
      <c r="D6" s="68">
        <f>(221227-17897+(36447+17539+114752+43799-96))/1000*-1</f>
        <v>-415.77100000000002</v>
      </c>
      <c r="E6" s="68">
        <f>(220755-21480+(33946+18565+127848+49653-14-753-2500-1400))/1000*-1</f>
        <v>-424.62</v>
      </c>
      <c r="F6">
        <f>+F7-F5</f>
        <v>-460.4</v>
      </c>
      <c r="G6">
        <f t="shared" ref="G6:O6" si="1">+G7-G5</f>
        <v>-494</v>
      </c>
      <c r="H6">
        <f t="shared" si="1"/>
        <v>-517.6</v>
      </c>
      <c r="I6">
        <f t="shared" si="1"/>
        <v>-546.05105000000003</v>
      </c>
      <c r="J6">
        <f t="shared" si="1"/>
        <v>-573.35360250000008</v>
      </c>
      <c r="K6">
        <f t="shared" si="1"/>
        <v>-596.2877466000001</v>
      </c>
      <c r="L6">
        <f t="shared" si="1"/>
        <v>-614.17637899800002</v>
      </c>
      <c r="M6">
        <f t="shared" si="1"/>
        <v>-629.53078847295001</v>
      </c>
      <c r="N6">
        <f t="shared" si="1"/>
        <v>-645.26905818477371</v>
      </c>
      <c r="O6">
        <f t="shared" si="1"/>
        <v>-661.40078463939301</v>
      </c>
    </row>
    <row r="7" spans="1:15" ht="15" customHeight="1" x14ac:dyDescent="0.45">
      <c r="B7" t="s">
        <v>36</v>
      </c>
      <c r="C7" s="67">
        <f>SUM(C5:C6)</f>
        <v>100.387</v>
      </c>
      <c r="D7" s="67">
        <f t="shared" ref="D7:E7" si="2">SUM(D5:D6)</f>
        <v>111.42299999999994</v>
      </c>
      <c r="E7" s="67">
        <f t="shared" si="2"/>
        <v>123.03499999999997</v>
      </c>
      <c r="F7">
        <f>'Model 1 Assumptions'!F18*'Model 1'!F5</f>
        <v>116.50000000000001</v>
      </c>
      <c r="G7">
        <f>'Model 1 Assumptions'!G18*'Model 1'!G5</f>
        <v>124.9</v>
      </c>
      <c r="H7">
        <f>'Model 1 Assumptions'!H18*'Model 1'!H5</f>
        <v>147.1</v>
      </c>
      <c r="I7">
        <f>'Model 1 Assumptions'!I18*'Model 1'!I5</f>
        <v>158.53095000000002</v>
      </c>
      <c r="J7">
        <f>'Model 1 Assumptions'!J18*'Model 1'!J5</f>
        <v>166.45749750000004</v>
      </c>
      <c r="K7">
        <f>'Model 1 Assumptions'!K18*'Model 1'!K5</f>
        <v>173.11579740000002</v>
      </c>
      <c r="L7">
        <f>'Model 1 Assumptions'!L18*'Model 1'!L5</f>
        <v>178.30927132200003</v>
      </c>
      <c r="M7">
        <f>'Model 1 Assumptions'!M18*'Model 1'!M5</f>
        <v>182.76700310505001</v>
      </c>
      <c r="N7">
        <f>'Model 1 Assumptions'!N18*'Model 1'!N5</f>
        <v>187.33617818267624</v>
      </c>
      <c r="O7">
        <f>'Model 1 Assumptions'!O18*'Model 1'!O5</f>
        <v>192.01958263724313</v>
      </c>
    </row>
    <row r="9" spans="1:15" ht="15" customHeight="1" x14ac:dyDescent="0.45">
      <c r="B9" t="s">
        <v>60</v>
      </c>
      <c r="C9" s="68">
        <f>13.914*-1</f>
        <v>-13.914</v>
      </c>
      <c r="D9" s="68">
        <f>17.897*-1</f>
        <v>-17.896999999999998</v>
      </c>
      <c r="E9" s="61">
        <f>21.48*-1</f>
        <v>-21.48</v>
      </c>
      <c r="F9">
        <f>+F30</f>
        <v>-22.545270000000002</v>
      </c>
      <c r="G9">
        <f t="shared" ref="G9:O9" si="3">+G30</f>
        <v>-25.598099800000004</v>
      </c>
      <c r="H9">
        <f t="shared" si="3"/>
        <v>-28.271157549999998</v>
      </c>
      <c r="I9">
        <f t="shared" si="3"/>
        <v>-32.004743162499999</v>
      </c>
      <c r="J9">
        <f t="shared" si="3"/>
        <v>-35.453014871874998</v>
      </c>
      <c r="K9">
        <f t="shared" si="3"/>
        <v>-38.611691528906249</v>
      </c>
      <c r="L9">
        <f t="shared" si="3"/>
        <v>-41.46157623667969</v>
      </c>
      <c r="M9">
        <f t="shared" si="3"/>
        <v>-43.974073995209771</v>
      </c>
      <c r="N9">
        <f t="shared" si="3"/>
        <v>-46.180394609549829</v>
      </c>
      <c r="O9">
        <f t="shared" si="3"/>
        <v>-48.165131048133432</v>
      </c>
    </row>
    <row r="10" spans="1:15" ht="15" customHeight="1" x14ac:dyDescent="0.45">
      <c r="B10" t="s">
        <v>61</v>
      </c>
      <c r="C10" s="68">
        <f>0.11*-1</f>
        <v>-0.11</v>
      </c>
      <c r="D10" s="68">
        <f>0.096*-1</f>
        <v>-9.6000000000000002E-2</v>
      </c>
      <c r="E10" s="68">
        <f>0.014*-1</f>
        <v>-1.4E-2</v>
      </c>
      <c r="F10">
        <f>'Model 1 Assumptions'!F21</f>
        <v>0</v>
      </c>
      <c r="G10">
        <f>'Model 1 Assumptions'!G21</f>
        <v>0</v>
      </c>
      <c r="H10">
        <f>'Model 1 Assumptions'!H21</f>
        <v>0</v>
      </c>
      <c r="I10">
        <f>'Model 1 Assumptions'!I21</f>
        <v>0</v>
      </c>
      <c r="J10">
        <f>'Model 1 Assumptions'!J21</f>
        <v>0</v>
      </c>
      <c r="K10">
        <f>'Model 1 Assumptions'!K21</f>
        <v>0</v>
      </c>
      <c r="L10">
        <f>'Model 1 Assumptions'!L21</f>
        <v>0</v>
      </c>
      <c r="M10">
        <f>'Model 1 Assumptions'!M21</f>
        <v>0</v>
      </c>
      <c r="N10">
        <f>'Model 1 Assumptions'!N21</f>
        <v>0</v>
      </c>
      <c r="O10">
        <f>'Model 1 Assumptions'!O21</f>
        <v>0</v>
      </c>
    </row>
    <row r="11" spans="1:15" ht="15" customHeight="1" x14ac:dyDescent="0.45">
      <c r="B11" t="s">
        <v>37</v>
      </c>
      <c r="C11" s="67">
        <f>SUM(C7,C9:C10)</f>
        <v>86.363</v>
      </c>
      <c r="D11" s="67">
        <f t="shared" ref="D11:F11" si="4">SUM(D7,D9:D10)</f>
        <v>93.42999999999995</v>
      </c>
      <c r="E11" s="67">
        <f t="shared" si="4"/>
        <v>101.54099999999997</v>
      </c>
      <c r="F11" s="67">
        <f t="shared" si="4"/>
        <v>93.954730000000012</v>
      </c>
      <c r="G11" s="67">
        <f t="shared" ref="G11:O11" si="5">SUM(G7,G9:G10)</f>
        <v>99.301900200000006</v>
      </c>
      <c r="H11" s="67">
        <f t="shared" si="5"/>
        <v>118.82884245</v>
      </c>
      <c r="I11" s="67">
        <f t="shared" si="5"/>
        <v>126.52620683750001</v>
      </c>
      <c r="J11" s="67">
        <f t="shared" si="5"/>
        <v>131.00448262812506</v>
      </c>
      <c r="K11" s="67">
        <f t="shared" si="5"/>
        <v>134.50410587109377</v>
      </c>
      <c r="L11" s="67">
        <f t="shared" si="5"/>
        <v>136.84769508532034</v>
      </c>
      <c r="M11" s="67">
        <f t="shared" si="5"/>
        <v>138.79292910984023</v>
      </c>
      <c r="N11" s="67">
        <f t="shared" si="5"/>
        <v>141.1557835731264</v>
      </c>
      <c r="O11" s="67">
        <f t="shared" si="5"/>
        <v>143.85445158910971</v>
      </c>
    </row>
    <row r="13" spans="1:15" ht="15" customHeight="1" x14ac:dyDescent="0.45">
      <c r="B13" t="s">
        <v>95</v>
      </c>
      <c r="C13" s="68">
        <f>0.733*-1</f>
        <v>-0.73299999999999998</v>
      </c>
      <c r="D13" s="68">
        <f>0.477*-1</f>
        <v>-0.47699999999999998</v>
      </c>
      <c r="E13" s="68">
        <f>0.347*-1</f>
        <v>-0.34699999999999998</v>
      </c>
    </row>
    <row r="14" spans="1:15" ht="15" customHeight="1" x14ac:dyDescent="0.45">
      <c r="B14" t="s">
        <v>113</v>
      </c>
      <c r="C14" s="68">
        <f>(184+388-94)/1000</f>
        <v>0.47799999999999998</v>
      </c>
      <c r="D14" s="68">
        <f>(279+475+132)/1000</f>
        <v>0.88600000000000001</v>
      </c>
      <c r="E14" s="68">
        <f>(411+427+74)/1000</f>
        <v>0.91200000000000003</v>
      </c>
      <c r="F14">
        <f>'Model 1 Assumptions'!F22</f>
        <v>0.91200000000000003</v>
      </c>
      <c r="G14">
        <f>'Model 1 Assumptions'!G22</f>
        <v>0.91200000000000003</v>
      </c>
      <c r="H14">
        <f>'Model 1 Assumptions'!H22</f>
        <v>0.91200000000000003</v>
      </c>
      <c r="I14">
        <f>'Model 1 Assumptions'!I22</f>
        <v>0.91200000000000003</v>
      </c>
      <c r="J14">
        <f>'Model 1 Assumptions'!J22</f>
        <v>0.91200000000000003</v>
      </c>
      <c r="K14">
        <f>'Model 1 Assumptions'!K22</f>
        <v>0.91200000000000003</v>
      </c>
      <c r="L14">
        <f>'Model 1 Assumptions'!L22</f>
        <v>0.91200000000000003</v>
      </c>
      <c r="M14">
        <f>'Model 1 Assumptions'!M22</f>
        <v>0.91200000000000003</v>
      </c>
      <c r="N14">
        <f>'Model 1 Assumptions'!N22</f>
        <v>0.91200000000000003</v>
      </c>
      <c r="O14">
        <f>'Model 1 Assumptions'!O22</f>
        <v>0.91200000000000003</v>
      </c>
    </row>
    <row r="15" spans="1:15" ht="15" customHeight="1" x14ac:dyDescent="0.45">
      <c r="B15" t="s">
        <v>114</v>
      </c>
      <c r="C15" s="68">
        <v>0</v>
      </c>
      <c r="D15" s="68">
        <v>0</v>
      </c>
      <c r="E15" s="68">
        <f>(0.753+2.5+1.4)*-1</f>
        <v>-4.6530000000000005</v>
      </c>
      <c r="F15">
        <f>'Model 1 Assumptions'!F23</f>
        <v>0</v>
      </c>
      <c r="G15">
        <f>'Model 1 Assumptions'!G23</f>
        <v>0</v>
      </c>
      <c r="H15">
        <f>'Model 1 Assumptions'!H23</f>
        <v>0</v>
      </c>
      <c r="I15">
        <f>'Model 1 Assumptions'!I23</f>
        <v>0</v>
      </c>
      <c r="J15">
        <f>'Model 1 Assumptions'!J23</f>
        <v>0</v>
      </c>
      <c r="K15">
        <f>'Model 1 Assumptions'!K23</f>
        <v>0</v>
      </c>
      <c r="L15">
        <f>'Model 1 Assumptions'!L23</f>
        <v>0</v>
      </c>
      <c r="M15">
        <f>'Model 1 Assumptions'!M23</f>
        <v>0</v>
      </c>
      <c r="N15">
        <f>'Model 1 Assumptions'!N23</f>
        <v>0</v>
      </c>
      <c r="O15">
        <f>'Model 1 Assumptions'!O23</f>
        <v>0</v>
      </c>
    </row>
    <row r="16" spans="1:15" ht="15" customHeight="1" x14ac:dyDescent="0.45">
      <c r="B16" t="s">
        <v>40</v>
      </c>
      <c r="C16" s="67">
        <f>SUM(C11,C13:C15)</f>
        <v>86.10799999999999</v>
      </c>
      <c r="D16" s="67">
        <f t="shared" ref="D16:F16" si="6">SUM(D11,D13:D15)</f>
        <v>93.838999999999942</v>
      </c>
      <c r="E16" s="67">
        <f t="shared" si="6"/>
        <v>97.452999999999975</v>
      </c>
      <c r="F16" s="67">
        <f t="shared" si="6"/>
        <v>94.866730000000018</v>
      </c>
      <c r="G16" s="67">
        <f t="shared" ref="G16:O16" si="7">SUM(G11,G13:G15)</f>
        <v>100.21390020000001</v>
      </c>
      <c r="H16" s="67">
        <f t="shared" si="7"/>
        <v>119.74084245</v>
      </c>
      <c r="I16" s="67">
        <f t="shared" si="7"/>
        <v>127.43820683750002</v>
      </c>
      <c r="J16" s="67">
        <f t="shared" si="7"/>
        <v>131.91648262812507</v>
      </c>
      <c r="K16" s="67">
        <f t="shared" si="7"/>
        <v>135.41610587109378</v>
      </c>
      <c r="L16" s="67">
        <f t="shared" si="7"/>
        <v>137.75969508532035</v>
      </c>
      <c r="M16" s="67">
        <f t="shared" si="7"/>
        <v>139.70492910984024</v>
      </c>
      <c r="N16" s="67">
        <f t="shared" si="7"/>
        <v>142.06778357312641</v>
      </c>
      <c r="O16" s="67">
        <f t="shared" si="7"/>
        <v>144.76645158910972</v>
      </c>
    </row>
    <row r="18" spans="1:17" ht="15" customHeight="1" x14ac:dyDescent="0.45">
      <c r="B18" t="s">
        <v>62</v>
      </c>
      <c r="C18" s="68">
        <f>31.549*-1</f>
        <v>-31.548999999999999</v>
      </c>
      <c r="D18" s="68">
        <f>35.83*-1</f>
        <v>-35.83</v>
      </c>
      <c r="E18" s="61">
        <f>34.44*-1</f>
        <v>-34.44</v>
      </c>
      <c r="F18">
        <f>'Model 1 Assumptions'!F24*'Model 1'!F16*-1</f>
        <v>-34.152022800000005</v>
      </c>
      <c r="G18">
        <f>'Model 1 Assumptions'!G24*'Model 1'!G16*-1</f>
        <v>-36.077004072000001</v>
      </c>
      <c r="H18">
        <f>'Model 1 Assumptions'!H24*'Model 1'!H16*-1</f>
        <v>-43.106703281999998</v>
      </c>
      <c r="I18">
        <f>'Model 1 Assumptions'!I24*'Model 1'!I16*-1</f>
        <v>-45.877754461500004</v>
      </c>
      <c r="J18">
        <f>'Model 1 Assumptions'!J24*'Model 1'!J16*-1</f>
        <v>-47.489933746125025</v>
      </c>
      <c r="K18">
        <f>'Model 1 Assumptions'!K24*'Model 1'!K16*-1</f>
        <v>-48.749798113593755</v>
      </c>
      <c r="L18">
        <f>'Model 1 Assumptions'!L24*'Model 1'!L16*-1</f>
        <v>-49.593490230715325</v>
      </c>
      <c r="M18">
        <f>'Model 1 Assumptions'!M24*'Model 1'!M16*-1</f>
        <v>-50.293774479542485</v>
      </c>
      <c r="N18">
        <f>'Model 1 Assumptions'!N24*'Model 1'!N16*-1</f>
        <v>-51.144402086325506</v>
      </c>
      <c r="O18">
        <f>'Model 1 Assumptions'!O24*'Model 1'!O16*-1</f>
        <v>-52.115922572079498</v>
      </c>
    </row>
    <row r="19" spans="1:17" ht="15" customHeight="1" x14ac:dyDescent="0.45">
      <c r="B19" t="s">
        <v>27</v>
      </c>
      <c r="C19">
        <f>SUM(C16,C18)</f>
        <v>54.55899999999999</v>
      </c>
      <c r="D19">
        <f t="shared" ref="D19:F19" si="8">SUM(D16,D18)</f>
        <v>58.008999999999943</v>
      </c>
      <c r="E19">
        <f t="shared" si="8"/>
        <v>63.012999999999977</v>
      </c>
      <c r="F19">
        <f t="shared" si="8"/>
        <v>60.714707200000014</v>
      </c>
      <c r="G19">
        <f t="shared" ref="G19:O19" si="9">SUM(G16,G18)</f>
        <v>64.136896128000018</v>
      </c>
      <c r="H19">
        <f t="shared" si="9"/>
        <v>76.634139168000004</v>
      </c>
      <c r="I19">
        <f t="shared" si="9"/>
        <v>81.560452376000015</v>
      </c>
      <c r="J19">
        <f t="shared" si="9"/>
        <v>84.426548882000048</v>
      </c>
      <c r="K19">
        <f t="shared" si="9"/>
        <v>86.666307757500022</v>
      </c>
      <c r="L19">
        <f t="shared" si="9"/>
        <v>88.166204854605013</v>
      </c>
      <c r="M19">
        <f t="shared" si="9"/>
        <v>89.411154630297744</v>
      </c>
      <c r="N19">
        <f t="shared" si="9"/>
        <v>90.923381486800906</v>
      </c>
      <c r="O19">
        <f t="shared" si="9"/>
        <v>92.650529017030223</v>
      </c>
    </row>
    <row r="20" spans="1:17" ht="15" customHeight="1" x14ac:dyDescent="0.45">
      <c r="B20" t="s">
        <v>133</v>
      </c>
      <c r="C20">
        <f>C19-C15*(1-'Model 1 Assumptions'!C25)</f>
        <v>54.55899999999999</v>
      </c>
      <c r="D20">
        <f>D19-D15*(1-'Model 1 Assumptions'!D25)</f>
        <v>58.008999999999943</v>
      </c>
      <c r="E20">
        <f>E19-E15*(1-'Model 1 Assumptions'!E25)</f>
        <v>65.94438999999997</v>
      </c>
      <c r="F20">
        <f>F19-F15*(1-'Model 1 Assumptions'!F25)</f>
        <v>60.714707200000014</v>
      </c>
      <c r="G20">
        <f>G19-G15*(1-'Model 1 Assumptions'!G25)</f>
        <v>64.136896128000018</v>
      </c>
      <c r="H20">
        <f>H19-H15*(1-'Model 1 Assumptions'!H25)</f>
        <v>76.634139168000004</v>
      </c>
      <c r="I20">
        <f>I19-I15*(1-'Model 1 Assumptions'!I25)</f>
        <v>81.560452376000015</v>
      </c>
      <c r="J20">
        <f>J19-J15*(1-'Model 1 Assumptions'!J25)</f>
        <v>84.426548882000048</v>
      </c>
      <c r="K20">
        <f>K19-K15*(1-'Model 1 Assumptions'!K25)</f>
        <v>86.666307757500022</v>
      </c>
      <c r="L20">
        <f>L19-L15*(1-'Model 1 Assumptions'!L25)</f>
        <v>88.166204854605013</v>
      </c>
      <c r="M20">
        <f>M19-M15*(1-'Model 1 Assumptions'!M25)</f>
        <v>89.411154630297744</v>
      </c>
      <c r="N20">
        <f>N19-N15*(1-'Model 1 Assumptions'!N25)</f>
        <v>90.923381486800906</v>
      </c>
      <c r="O20">
        <f>O19-O15*(1-'Model 1 Assumptions'!O25)</f>
        <v>92.650529017030223</v>
      </c>
    </row>
    <row r="21" spans="1:17" ht="15" customHeight="1" x14ac:dyDescent="0.45">
      <c r="C21" s="75"/>
      <c r="D21" s="75"/>
      <c r="E21" s="75"/>
    </row>
    <row r="22" spans="1:17" ht="15" customHeight="1" x14ac:dyDescent="0.45">
      <c r="B22" t="s">
        <v>134</v>
      </c>
      <c r="C22" s="70">
        <v>0.8</v>
      </c>
      <c r="D22" s="70">
        <v>0.85</v>
      </c>
      <c r="E22" s="70">
        <v>0.97</v>
      </c>
      <c r="F22" s="69">
        <f>F20/F25</f>
        <v>0.90056007754409639</v>
      </c>
      <c r="G22" s="69">
        <f t="shared" ref="G22:O22" si="10">G20/G25</f>
        <v>0.9513202124191309</v>
      </c>
      <c r="H22" s="69">
        <f t="shared" si="10"/>
        <v>1.136687459997487</v>
      </c>
      <c r="I22" s="69">
        <f t="shared" si="10"/>
        <v>1.2097577457519573</v>
      </c>
      <c r="J22" s="69">
        <f t="shared" si="10"/>
        <v>1.2522695556696086</v>
      </c>
      <c r="K22" s="69">
        <f t="shared" si="10"/>
        <v>1.2854911179503263</v>
      </c>
      <c r="L22" s="69">
        <f t="shared" si="10"/>
        <v>1.3077385685001173</v>
      </c>
      <c r="M22" s="69">
        <f t="shared" si="10"/>
        <v>1.3262044743446957</v>
      </c>
      <c r="N22" s="69">
        <f t="shared" si="10"/>
        <v>1.3486348079156159</v>
      </c>
      <c r="O22" s="69">
        <f t="shared" si="10"/>
        <v>1.3742529848859795</v>
      </c>
    </row>
    <row r="23" spans="1:17" ht="15" customHeight="1" x14ac:dyDescent="0.45">
      <c r="B23" t="s">
        <v>59</v>
      </c>
      <c r="C23" s="70">
        <v>0.2</v>
      </c>
      <c r="D23" s="70">
        <v>0.22</v>
      </c>
      <c r="E23" s="70">
        <v>0.25</v>
      </c>
      <c r="F23" s="69">
        <f>(1+'Model 1 Assumptions'!F26)*'Model 1'!E23</f>
        <v>0.27500000000000002</v>
      </c>
      <c r="G23" s="69">
        <f>(1+'Model 1 Assumptions'!G26)*'Model 1'!F23</f>
        <v>0.30250000000000005</v>
      </c>
      <c r="H23" s="69">
        <f>(1+'Model 1 Assumptions'!H26)*'Model 1'!G23</f>
        <v>0.3327500000000001</v>
      </c>
      <c r="I23" s="69">
        <f>(1+'Model 1 Assumptions'!I26)*'Model 1'!H23</f>
        <v>0.36602500000000016</v>
      </c>
      <c r="J23" s="69">
        <f>(1+'Model 1 Assumptions'!J26)*'Model 1'!I23</f>
        <v>0.40262750000000019</v>
      </c>
      <c r="K23" s="69">
        <f>(1+'Model 1 Assumptions'!K26)*'Model 1'!J23</f>
        <v>0.44289025000000026</v>
      </c>
      <c r="L23" s="69">
        <f>(1+'Model 1 Assumptions'!L26)*'Model 1'!K23</f>
        <v>0.48717927500000036</v>
      </c>
      <c r="M23" s="69">
        <f>(1+'Model 1 Assumptions'!M26)*'Model 1'!L23</f>
        <v>0.53589720250000039</v>
      </c>
      <c r="N23" s="69">
        <f>(1+'Model 1 Assumptions'!N26)*'Model 1'!M23</f>
        <v>0.58948692275000047</v>
      </c>
      <c r="O23" s="69">
        <f>(1+'Model 1 Assumptions'!O26)*'Model 1'!N23</f>
        <v>0.64843561502500058</v>
      </c>
    </row>
    <row r="24" spans="1:17" ht="15" customHeight="1" x14ac:dyDescent="0.45">
      <c r="B24" t="s">
        <v>141</v>
      </c>
      <c r="C24" s="68">
        <v>67.866667000000007</v>
      </c>
      <c r="D24" s="68">
        <v>67.867529000000005</v>
      </c>
      <c r="E24" s="68">
        <v>67.852534000000006</v>
      </c>
      <c r="F24">
        <f>'Model 1 Assumptions'!F27</f>
        <v>67.394756000000001</v>
      </c>
      <c r="G24">
        <f>'Model 1 Assumptions'!G27</f>
        <v>67.394756000000001</v>
      </c>
      <c r="H24">
        <f>'Model 1 Assumptions'!H27</f>
        <v>67.394756000000001</v>
      </c>
      <c r="I24">
        <f>'Model 1 Assumptions'!I27</f>
        <v>67.394756000000001</v>
      </c>
      <c r="J24">
        <f>'Model 1 Assumptions'!J27</f>
        <v>67.394756000000001</v>
      </c>
      <c r="K24">
        <f>'Model 1 Assumptions'!K27</f>
        <v>67.394756000000001</v>
      </c>
      <c r="L24">
        <f>'Model 1 Assumptions'!L27</f>
        <v>67.394756000000001</v>
      </c>
      <c r="M24">
        <f>'Model 1 Assumptions'!M27</f>
        <v>67.394756000000001</v>
      </c>
      <c r="N24">
        <f>'Model 1 Assumptions'!N27</f>
        <v>67.394756000000001</v>
      </c>
      <c r="O24">
        <f>'Model 1 Assumptions'!O27</f>
        <v>67.394756000000001</v>
      </c>
      <c r="P24" s="62"/>
      <c r="Q24" s="62"/>
    </row>
    <row r="25" spans="1:17" ht="15" customHeight="1" x14ac:dyDescent="0.45">
      <c r="B25" t="s">
        <v>142</v>
      </c>
      <c r="C25" s="68">
        <v>67.870688000000001</v>
      </c>
      <c r="D25" s="68">
        <v>67.878339999999994</v>
      </c>
      <c r="E25" s="68">
        <v>67.876772000000003</v>
      </c>
      <c r="F25">
        <f>'Model 1 Assumptions'!F28</f>
        <v>67.418830474446708</v>
      </c>
      <c r="G25">
        <f>'Model 1 Assumptions'!G28</f>
        <v>67.418830474446708</v>
      </c>
      <c r="H25">
        <f>'Model 1 Assumptions'!H28</f>
        <v>67.418830474446708</v>
      </c>
      <c r="I25">
        <f>'Model 1 Assumptions'!I28</f>
        <v>67.418830474446708</v>
      </c>
      <c r="J25">
        <f>'Model 1 Assumptions'!J28</f>
        <v>67.418830474446708</v>
      </c>
      <c r="K25">
        <f>'Model 1 Assumptions'!K28</f>
        <v>67.418830474446708</v>
      </c>
      <c r="L25">
        <f>'Model 1 Assumptions'!L28</f>
        <v>67.418830474446708</v>
      </c>
      <c r="M25">
        <f>'Model 1 Assumptions'!M28</f>
        <v>67.418830474446708</v>
      </c>
      <c r="N25">
        <f>'Model 1 Assumptions'!N28</f>
        <v>67.418830474446708</v>
      </c>
      <c r="O25">
        <f>'Model 1 Assumptions'!O28</f>
        <v>67.418830474446708</v>
      </c>
    </row>
    <row r="26" spans="1:17" ht="15" customHeight="1" x14ac:dyDescent="0.45">
      <c r="A26" s="60"/>
    </row>
    <row r="27" spans="1:17" ht="15" customHeight="1" x14ac:dyDescent="0.45">
      <c r="A27" s="16" t="s">
        <v>115</v>
      </c>
    </row>
    <row r="28" spans="1:17" ht="15" customHeight="1" x14ac:dyDescent="0.45">
      <c r="B28" t="s">
        <v>64</v>
      </c>
      <c r="F28">
        <f>E31</f>
        <v>83.501000000000005</v>
      </c>
      <c r="G28">
        <f t="shared" ref="G28:O28" si="11">F31</f>
        <v>98.45423000000001</v>
      </c>
      <c r="H28">
        <f t="shared" si="11"/>
        <v>113.08463019999999</v>
      </c>
      <c r="I28">
        <f t="shared" si="11"/>
        <v>128.01897264999999</v>
      </c>
      <c r="J28">
        <f t="shared" si="11"/>
        <v>141.81205948749999</v>
      </c>
      <c r="K28">
        <f t="shared" si="11"/>
        <v>154.446766115625</v>
      </c>
      <c r="L28">
        <f t="shared" si="11"/>
        <v>165.84630494671876</v>
      </c>
      <c r="M28">
        <f t="shared" si="11"/>
        <v>175.89629598083908</v>
      </c>
      <c r="N28">
        <f t="shared" si="11"/>
        <v>184.72157843819932</v>
      </c>
      <c r="O28">
        <f t="shared" si="11"/>
        <v>192.66052419253373</v>
      </c>
    </row>
    <row r="29" spans="1:17" ht="15" customHeight="1" x14ac:dyDescent="0.45">
      <c r="B29" t="s">
        <v>138</v>
      </c>
      <c r="C29" s="61">
        <v>25.44</v>
      </c>
      <c r="D29" s="61">
        <v>36.576000000000001</v>
      </c>
      <c r="E29" s="61">
        <v>30.814</v>
      </c>
      <c r="F29">
        <f>'Model 1 Assumptions'!F34*'Model 1'!F5</f>
        <v>37.4985</v>
      </c>
      <c r="G29">
        <f>'Model 1 Assumptions'!G34*'Model 1'!G5</f>
        <v>40.228499999999997</v>
      </c>
      <c r="H29">
        <f>'Model 1 Assumptions'!H34*'Model 1'!H5</f>
        <v>43.205500000000008</v>
      </c>
      <c r="I29">
        <f>'Model 1 Assumptions'!I34*'Model 1'!I5</f>
        <v>45.797830000000012</v>
      </c>
      <c r="J29">
        <f>'Model 1 Assumptions'!J34*'Model 1'!J5</f>
        <v>48.087721500000008</v>
      </c>
      <c r="K29">
        <f>'Model 1 Assumptions'!K34*'Model 1'!K5</f>
        <v>50.011230360000013</v>
      </c>
      <c r="L29">
        <f>'Model 1 Assumptions'!L34*'Model 1'!L5</f>
        <v>51.511567270800008</v>
      </c>
      <c r="M29">
        <f>'Model 1 Assumptions'!M34*'Model 1'!M5</f>
        <v>52.799356452570002</v>
      </c>
      <c r="N29">
        <f>'Model 1 Assumptions'!N34*'Model 1'!N5</f>
        <v>54.119340363884248</v>
      </c>
      <c r="O29">
        <f>'Model 1 Assumptions'!O34*'Model 1'!O5</f>
        <v>55.472323872981356</v>
      </c>
    </row>
    <row r="30" spans="1:17" ht="15" customHeight="1" x14ac:dyDescent="0.45">
      <c r="B30" t="s">
        <v>60</v>
      </c>
      <c r="F30">
        <f>'Model 1 Assumptions'!F20*'Model 1'!F28*-1</f>
        <v>-22.545270000000002</v>
      </c>
      <c r="G30">
        <f>'Model 1 Assumptions'!G20*'Model 1'!G28*-1</f>
        <v>-25.598099800000004</v>
      </c>
      <c r="H30">
        <f>'Model 1 Assumptions'!H20*'Model 1'!H28*-1</f>
        <v>-28.271157549999998</v>
      </c>
      <c r="I30">
        <f>'Model 1 Assumptions'!I20*'Model 1'!I28*-1</f>
        <v>-32.004743162499999</v>
      </c>
      <c r="J30">
        <f>'Model 1 Assumptions'!J20*'Model 1'!J28*-1</f>
        <v>-35.453014871874998</v>
      </c>
      <c r="K30">
        <f>'Model 1 Assumptions'!K20*'Model 1'!K28*-1</f>
        <v>-38.611691528906249</v>
      </c>
      <c r="L30">
        <f>'Model 1 Assumptions'!L20*'Model 1'!L28*-1</f>
        <v>-41.46157623667969</v>
      </c>
      <c r="M30">
        <f>'Model 1 Assumptions'!M20*'Model 1'!M28*-1</f>
        <v>-43.974073995209771</v>
      </c>
      <c r="N30">
        <f>'Model 1 Assumptions'!N20*'Model 1'!N28*-1</f>
        <v>-46.180394609549829</v>
      </c>
      <c r="O30">
        <f>'Model 1 Assumptions'!O20*'Model 1'!O28*-1</f>
        <v>-48.165131048133432</v>
      </c>
    </row>
    <row r="31" spans="1:17" ht="15" customHeight="1" x14ac:dyDescent="0.45">
      <c r="B31" t="s">
        <v>66</v>
      </c>
      <c r="D31">
        <f>D69</f>
        <v>79.066999999999993</v>
      </c>
      <c r="E31">
        <f>E69</f>
        <v>83.501000000000005</v>
      </c>
      <c r="F31">
        <f>SUM(F28:F30)</f>
        <v>98.45423000000001</v>
      </c>
      <c r="G31">
        <f t="shared" ref="G31:O31" si="12">SUM(G28:G30)</f>
        <v>113.08463019999999</v>
      </c>
      <c r="H31">
        <f t="shared" si="12"/>
        <v>128.01897264999999</v>
      </c>
      <c r="I31">
        <f t="shared" si="12"/>
        <v>141.81205948749999</v>
      </c>
      <c r="J31">
        <f t="shared" si="12"/>
        <v>154.446766115625</v>
      </c>
      <c r="K31">
        <f t="shared" si="12"/>
        <v>165.84630494671876</v>
      </c>
      <c r="L31">
        <f t="shared" si="12"/>
        <v>175.89629598083908</v>
      </c>
      <c r="M31">
        <f t="shared" si="12"/>
        <v>184.72157843819932</v>
      </c>
      <c r="N31">
        <f t="shared" si="12"/>
        <v>192.66052419253373</v>
      </c>
      <c r="O31">
        <f t="shared" si="12"/>
        <v>199.96771701738163</v>
      </c>
    </row>
    <row r="33" spans="2:15" ht="15" customHeight="1" x14ac:dyDescent="0.45">
      <c r="B33" t="s">
        <v>118</v>
      </c>
      <c r="F33">
        <f>E35</f>
        <v>130.4</v>
      </c>
      <c r="G33">
        <f t="shared" ref="G33:O33" si="13">F35</f>
        <v>130.4</v>
      </c>
      <c r="H33">
        <f t="shared" si="13"/>
        <v>130.4</v>
      </c>
      <c r="I33">
        <f t="shared" si="13"/>
        <v>130.4</v>
      </c>
      <c r="J33">
        <f t="shared" si="13"/>
        <v>130.4</v>
      </c>
      <c r="K33">
        <f t="shared" si="13"/>
        <v>130.4</v>
      </c>
      <c r="L33">
        <f t="shared" si="13"/>
        <v>130.4</v>
      </c>
      <c r="M33">
        <f t="shared" si="13"/>
        <v>130.4</v>
      </c>
      <c r="N33">
        <f t="shared" si="13"/>
        <v>130.4</v>
      </c>
      <c r="O33">
        <f t="shared" si="13"/>
        <v>130.4</v>
      </c>
    </row>
    <row r="34" spans="2:15" ht="15" customHeight="1" x14ac:dyDescent="0.45">
      <c r="B34" t="s">
        <v>61</v>
      </c>
      <c r="F34">
        <f>F10</f>
        <v>0</v>
      </c>
      <c r="G34">
        <f t="shared" ref="G34:O34" si="14">G10</f>
        <v>0</v>
      </c>
      <c r="H34">
        <f t="shared" si="14"/>
        <v>0</v>
      </c>
      <c r="I34">
        <f t="shared" si="14"/>
        <v>0</v>
      </c>
      <c r="J34">
        <f t="shared" si="14"/>
        <v>0</v>
      </c>
      <c r="K34">
        <f t="shared" si="14"/>
        <v>0</v>
      </c>
      <c r="L34">
        <f t="shared" si="14"/>
        <v>0</v>
      </c>
      <c r="M34">
        <f t="shared" si="14"/>
        <v>0</v>
      </c>
      <c r="N34">
        <f t="shared" si="14"/>
        <v>0</v>
      </c>
      <c r="O34">
        <f t="shared" si="14"/>
        <v>0</v>
      </c>
    </row>
    <row r="35" spans="2:15" ht="15" customHeight="1" x14ac:dyDescent="0.45">
      <c r="B35" t="s">
        <v>119</v>
      </c>
      <c r="D35">
        <f>D72</f>
        <v>130.41399999999999</v>
      </c>
      <c r="E35">
        <f>E72</f>
        <v>130.4</v>
      </c>
      <c r="F35">
        <f>SUM(F33:F34)</f>
        <v>130.4</v>
      </c>
      <c r="G35">
        <f t="shared" ref="G35:O35" si="15">SUM(G33:G34)</f>
        <v>130.4</v>
      </c>
      <c r="H35">
        <f t="shared" si="15"/>
        <v>130.4</v>
      </c>
      <c r="I35">
        <f t="shared" si="15"/>
        <v>130.4</v>
      </c>
      <c r="J35">
        <f t="shared" si="15"/>
        <v>130.4</v>
      </c>
      <c r="K35">
        <f t="shared" si="15"/>
        <v>130.4</v>
      </c>
      <c r="L35">
        <f t="shared" si="15"/>
        <v>130.4</v>
      </c>
      <c r="M35">
        <f t="shared" si="15"/>
        <v>130.4</v>
      </c>
      <c r="N35">
        <f t="shared" si="15"/>
        <v>130.4</v>
      </c>
      <c r="O35">
        <f t="shared" si="15"/>
        <v>130.4</v>
      </c>
    </row>
    <row r="37" spans="2:15" ht="15" customHeight="1" x14ac:dyDescent="0.45">
      <c r="B37" t="s">
        <v>46</v>
      </c>
      <c r="F37">
        <f>E40</f>
        <v>455.846</v>
      </c>
      <c r="G37">
        <f t="shared" ref="G37:O37" si="16">F40</f>
        <v>498.02714930000002</v>
      </c>
      <c r="H37">
        <f t="shared" si="16"/>
        <v>541.77713173799998</v>
      </c>
      <c r="I37">
        <f t="shared" si="16"/>
        <v>595.98566584700006</v>
      </c>
      <c r="J37">
        <f t="shared" si="16"/>
        <v>652.87795265810007</v>
      </c>
      <c r="K37">
        <f t="shared" si="16"/>
        <v>710.16951941871002</v>
      </c>
      <c r="L37">
        <f t="shared" si="16"/>
        <v>766.98734684268106</v>
      </c>
      <c r="M37">
        <f t="shared" si="16"/>
        <v>822.32022333040413</v>
      </c>
      <c r="N37">
        <f t="shared" si="16"/>
        <v>875.61471675713165</v>
      </c>
      <c r="O37">
        <f t="shared" si="16"/>
        <v>926.80977092000546</v>
      </c>
    </row>
    <row r="38" spans="2:15" ht="15" customHeight="1" x14ac:dyDescent="0.45">
      <c r="B38" t="s">
        <v>27</v>
      </c>
      <c r="F38">
        <f t="shared" ref="F38" si="17">F19</f>
        <v>60.714707200000014</v>
      </c>
      <c r="G38">
        <f t="shared" ref="G38:O38" si="18">G19</f>
        <v>64.136896128000018</v>
      </c>
      <c r="H38">
        <f t="shared" si="18"/>
        <v>76.634139168000004</v>
      </c>
      <c r="I38">
        <f t="shared" si="18"/>
        <v>81.560452376000015</v>
      </c>
      <c r="J38">
        <f t="shared" si="18"/>
        <v>84.426548882000048</v>
      </c>
      <c r="K38">
        <f t="shared" si="18"/>
        <v>86.666307757500022</v>
      </c>
      <c r="L38">
        <f t="shared" si="18"/>
        <v>88.166204854605013</v>
      </c>
      <c r="M38">
        <f t="shared" si="18"/>
        <v>89.411154630297744</v>
      </c>
      <c r="N38">
        <f t="shared" si="18"/>
        <v>90.923381486800906</v>
      </c>
      <c r="O38">
        <f t="shared" si="18"/>
        <v>92.650529017030223</v>
      </c>
    </row>
    <row r="39" spans="2:15" ht="15" customHeight="1" x14ac:dyDescent="0.45">
      <c r="B39" t="s">
        <v>47</v>
      </c>
      <c r="F39">
        <f>F23*F24*-1</f>
        <v>-18.533557900000002</v>
      </c>
      <c r="G39">
        <f t="shared" ref="G39:O39" si="19">G23*G24*-1</f>
        <v>-20.386913690000004</v>
      </c>
      <c r="H39">
        <f t="shared" si="19"/>
        <v>-22.425605059000006</v>
      </c>
      <c r="I39">
        <f t="shared" si="19"/>
        <v>-24.668165564900011</v>
      </c>
      <c r="J39">
        <f t="shared" si="19"/>
        <v>-27.134982121390014</v>
      </c>
      <c r="K39">
        <f t="shared" si="19"/>
        <v>-29.848480333529018</v>
      </c>
      <c r="L39">
        <f t="shared" si="19"/>
        <v>-32.833328366881922</v>
      </c>
      <c r="M39">
        <f t="shared" si="19"/>
        <v>-36.116661203570118</v>
      </c>
      <c r="N39">
        <f t="shared" si="19"/>
        <v>-39.728327323927132</v>
      </c>
      <c r="O39">
        <f t="shared" si="19"/>
        <v>-43.70116005631985</v>
      </c>
    </row>
    <row r="40" spans="2:15" ht="15" customHeight="1" x14ac:dyDescent="0.45">
      <c r="B40" t="s">
        <v>48</v>
      </c>
      <c r="D40">
        <f>D86</f>
        <v>386.88299999999998</v>
      </c>
      <c r="E40">
        <f>E86</f>
        <v>455.846</v>
      </c>
      <c r="F40">
        <f>SUM(F37:F39)</f>
        <v>498.02714930000002</v>
      </c>
      <c r="G40">
        <f t="shared" ref="G40:O40" si="20">SUM(G37:G39)</f>
        <v>541.77713173799998</v>
      </c>
      <c r="H40">
        <f t="shared" si="20"/>
        <v>595.98566584700006</v>
      </c>
      <c r="I40">
        <f t="shared" si="20"/>
        <v>652.87795265810007</v>
      </c>
      <c r="J40">
        <f t="shared" si="20"/>
        <v>710.16951941871002</v>
      </c>
      <c r="K40">
        <f t="shared" si="20"/>
        <v>766.98734684268106</v>
      </c>
      <c r="L40">
        <f t="shared" si="20"/>
        <v>822.32022333040413</v>
      </c>
      <c r="M40">
        <f t="shared" si="20"/>
        <v>875.61471675713165</v>
      </c>
      <c r="N40">
        <f t="shared" si="20"/>
        <v>926.80977092000546</v>
      </c>
      <c r="O40">
        <f t="shared" si="20"/>
        <v>975.75913988071579</v>
      </c>
    </row>
    <row r="42" spans="2:15" ht="15" customHeight="1" x14ac:dyDescent="0.45">
      <c r="B42" t="str">
        <f>B64</f>
        <v>Receivables</v>
      </c>
    </row>
    <row r="43" spans="2:15" ht="15" customHeight="1" x14ac:dyDescent="0.45">
      <c r="B43" t="str">
        <f>B65</f>
        <v>Inventories</v>
      </c>
    </row>
    <row r="44" spans="2:15" ht="15" customHeight="1" x14ac:dyDescent="0.45">
      <c r="B44" t="str">
        <f>B66</f>
        <v>Prepaids and other current assets</v>
      </c>
    </row>
    <row r="45" spans="2:15" ht="15" customHeight="1" x14ac:dyDescent="0.45">
      <c r="B45" t="str">
        <f>B77</f>
        <v>Payables</v>
      </c>
    </row>
    <row r="46" spans="2:15" ht="15" customHeight="1" x14ac:dyDescent="0.45">
      <c r="B46" t="str">
        <f>B78</f>
        <v>Accrued expenses</v>
      </c>
    </row>
    <row r="47" spans="2:15" ht="15" customHeight="1" x14ac:dyDescent="0.45">
      <c r="B47" t="str">
        <f>B79</f>
        <v>Income taxes payable</v>
      </c>
    </row>
    <row r="48" spans="2:15" ht="15" customHeight="1" x14ac:dyDescent="0.45">
      <c r="B48" t="s">
        <v>144</v>
      </c>
    </row>
    <row r="50" spans="1:15" ht="15" customHeight="1" x14ac:dyDescent="0.45">
      <c r="B50" t="s">
        <v>94</v>
      </c>
    </row>
    <row r="51" spans="1:15" ht="15" customHeight="1" x14ac:dyDescent="0.45">
      <c r="B51" t="s">
        <v>83</v>
      </c>
      <c r="F51" s="62"/>
      <c r="G51" s="62"/>
      <c r="H51" s="62"/>
      <c r="I51" s="62"/>
      <c r="J51" s="62"/>
      <c r="K51" s="62"/>
      <c r="L51" s="62"/>
      <c r="M51" s="62"/>
      <c r="N51" s="62"/>
      <c r="O51" s="62"/>
    </row>
    <row r="52" spans="1:15" ht="15" customHeight="1" x14ac:dyDescent="0.45">
      <c r="B52" t="s">
        <v>39</v>
      </c>
    </row>
    <row r="54" spans="1:15" ht="15" customHeight="1" x14ac:dyDescent="0.45">
      <c r="B54" t="s">
        <v>51</v>
      </c>
    </row>
    <row r="55" spans="1:15" ht="15" customHeight="1" x14ac:dyDescent="0.45">
      <c r="B55" t="s">
        <v>83</v>
      </c>
      <c r="F55" s="62"/>
      <c r="G55" s="62"/>
      <c r="H55" s="62"/>
      <c r="I55" s="62"/>
      <c r="J55" s="62"/>
      <c r="K55" s="62"/>
      <c r="L55" s="62"/>
      <c r="M55" s="62"/>
      <c r="N55" s="62"/>
      <c r="O55" s="62"/>
    </row>
    <row r="56" spans="1:15" ht="15" customHeight="1" x14ac:dyDescent="0.45">
      <c r="B56" t="s">
        <v>39</v>
      </c>
    </row>
    <row r="58" spans="1:15" ht="15" customHeight="1" x14ac:dyDescent="0.45">
      <c r="B58" t="s">
        <v>33</v>
      </c>
    </row>
    <row r="59" spans="1:15" ht="15" customHeight="1" x14ac:dyDescent="0.45">
      <c r="B59" t="s">
        <v>83</v>
      </c>
      <c r="F59" s="62"/>
      <c r="G59" s="62"/>
      <c r="H59" s="62"/>
      <c r="I59" s="62"/>
      <c r="J59" s="62"/>
      <c r="K59" s="62"/>
      <c r="L59" s="62"/>
      <c r="M59" s="62"/>
      <c r="N59" s="62"/>
      <c r="O59" s="62"/>
    </row>
    <row r="60" spans="1:15" ht="15" customHeight="1" x14ac:dyDescent="0.45">
      <c r="B60" t="s">
        <v>38</v>
      </c>
    </row>
    <row r="62" spans="1:15" ht="15" customHeight="1" x14ac:dyDescent="0.45">
      <c r="A62" s="16" t="s">
        <v>28</v>
      </c>
    </row>
    <row r="63" spans="1:15" ht="15" customHeight="1" x14ac:dyDescent="0.45">
      <c r="B63" t="s">
        <v>67</v>
      </c>
      <c r="C63" s="68"/>
      <c r="D63" s="68">
        <v>52.795999999999999</v>
      </c>
      <c r="E63" s="68">
        <v>94.632000000000005</v>
      </c>
    </row>
    <row r="64" spans="1:15" ht="15" customHeight="1" x14ac:dyDescent="0.45">
      <c r="B64" t="s">
        <v>97</v>
      </c>
      <c r="C64" s="68"/>
      <c r="D64" s="68">
        <v>31.89</v>
      </c>
      <c r="E64" s="68">
        <v>32.433999999999997</v>
      </c>
      <c r="F64">
        <f>'Model 1 Assumptions'!F31*'Model 1'!F5/365</f>
        <v>34.772054794520542</v>
      </c>
      <c r="G64">
        <f>'Model 1 Assumptions'!G31*'Model 1'!G5/365</f>
        <v>37.303561643835614</v>
      </c>
      <c r="H64">
        <f>'Model 1 Assumptions'!H31*'Model 1'!H5/365</f>
        <v>40.064109589041102</v>
      </c>
      <c r="I64">
        <f>'Model 1 Assumptions'!I31*'Model 1'!I5/365</f>
        <v>42.467956164383565</v>
      </c>
      <c r="J64">
        <f>'Model 1 Assumptions'!J31*'Model 1'!J5/365</f>
        <v>44.591353972602747</v>
      </c>
      <c r="K64">
        <f>'Model 1 Assumptions'!K31*'Model 1'!K5/365</f>
        <v>46.37500813150686</v>
      </c>
      <c r="L64">
        <f>'Model 1 Assumptions'!L31*'Model 1'!L5/365</f>
        <v>47.766258375452061</v>
      </c>
      <c r="M64">
        <f>'Model 1 Assumptions'!M31*'Model 1'!M5/365</f>
        <v>48.960414834838353</v>
      </c>
      <c r="N64">
        <f>'Model 1 Assumptions'!N31*'Model 1'!N5/365</f>
        <v>50.184425205709317</v>
      </c>
      <c r="O64">
        <f>'Model 1 Assumptions'!O31*'Model 1'!O5/365</f>
        <v>51.439035835852046</v>
      </c>
    </row>
    <row r="65" spans="2:15" ht="15" customHeight="1" x14ac:dyDescent="0.45">
      <c r="B65" t="s">
        <v>98</v>
      </c>
      <c r="C65" s="68"/>
      <c r="D65" s="68">
        <v>89.230999999999995</v>
      </c>
      <c r="E65" s="68">
        <v>99.688000000000002</v>
      </c>
      <c r="F65">
        <f>'Model 1 Assumptions'!F32*'Model 1'!F6/365*-1</f>
        <v>104.69369863013698</v>
      </c>
      <c r="G65">
        <f>'Model 1 Assumptions'!G32*'Model 1'!G6/365*-1</f>
        <v>112.33424657534246</v>
      </c>
      <c r="H65">
        <f>'Model 1 Assumptions'!H32*'Model 1'!H6/365*-1</f>
        <v>117.70082191780823</v>
      </c>
      <c r="I65">
        <f>'Model 1 Assumptions'!I32*'Model 1'!I6/365*-1</f>
        <v>124.17051273972604</v>
      </c>
      <c r="J65">
        <f>'Model 1 Assumptions'!J32*'Model 1'!J6/365*-1</f>
        <v>130.37903837671234</v>
      </c>
      <c r="K65">
        <f>'Model 1 Assumptions'!K32*'Model 1'!K6/365*-1</f>
        <v>135.59419991178086</v>
      </c>
      <c r="L65">
        <f>'Model 1 Assumptions'!L32*'Model 1'!L6/365*-1</f>
        <v>139.66202590913426</v>
      </c>
      <c r="M65">
        <f>'Model 1 Assumptions'!M32*'Model 1'!M6/365*-1</f>
        <v>143.15357655686262</v>
      </c>
      <c r="N65">
        <f>'Model 1 Assumptions'!N32*'Model 1'!N6/365*-1</f>
        <v>146.73241597078416</v>
      </c>
      <c r="O65">
        <f>'Model 1 Assumptions'!O32*'Model 1'!O6/365*-1</f>
        <v>150.40072637005375</v>
      </c>
    </row>
    <row r="66" spans="2:15" ht="15" customHeight="1" x14ac:dyDescent="0.45">
      <c r="B66" t="s">
        <v>99</v>
      </c>
      <c r="C66" s="68"/>
      <c r="D66" s="68">
        <f>3.003+8.315</f>
        <v>11.318</v>
      </c>
      <c r="E66" s="68">
        <f>3.543+0.996+12.096</f>
        <v>16.634999999999998</v>
      </c>
      <c r="F66">
        <f>'Model 1 Assumptions'!F33*'Model 1'!F5</f>
        <v>14.422499999999999</v>
      </c>
      <c r="G66">
        <f>'Model 1 Assumptions'!G33*'Model 1'!G5</f>
        <v>15.4725</v>
      </c>
      <c r="H66">
        <f>'Model 1 Assumptions'!H33*'Model 1'!H5</f>
        <v>16.617500000000003</v>
      </c>
      <c r="I66">
        <f>'Model 1 Assumptions'!I33*'Model 1'!I5</f>
        <v>17.614550000000005</v>
      </c>
      <c r="J66">
        <f>'Model 1 Assumptions'!J33*'Model 1'!J5</f>
        <v>18.495277500000004</v>
      </c>
      <c r="K66">
        <f>'Model 1 Assumptions'!K33*'Model 1'!K5</f>
        <v>19.235088600000005</v>
      </c>
      <c r="L66">
        <f>'Model 1 Assumptions'!L33*'Model 1'!L5</f>
        <v>19.812141258000004</v>
      </c>
      <c r="M66">
        <f>'Model 1 Assumptions'!M33*'Model 1'!M5</f>
        <v>20.307444789450003</v>
      </c>
      <c r="N66">
        <f>'Model 1 Assumptions'!N33*'Model 1'!N5</f>
        <v>20.815130909186252</v>
      </c>
      <c r="O66">
        <f>'Model 1 Assumptions'!O33*'Model 1'!O5</f>
        <v>21.335509181915906</v>
      </c>
    </row>
    <row r="67" spans="2:15" ht="15" customHeight="1" x14ac:dyDescent="0.45">
      <c r="B67" t="s">
        <v>73</v>
      </c>
      <c r="C67" s="67"/>
      <c r="D67" s="67">
        <f>SUM(D63:D66)</f>
        <v>185.23500000000001</v>
      </c>
      <c r="E67" s="67">
        <f>SUM(E63:E66)</f>
        <v>243.38900000000001</v>
      </c>
      <c r="F67" s="67">
        <f t="shared" ref="F67:O67" si="21">SUM(F63:F66)</f>
        <v>153.88825342465753</v>
      </c>
      <c r="G67" s="67">
        <f t="shared" si="21"/>
        <v>165.11030821917808</v>
      </c>
      <c r="H67" s="67">
        <f t="shared" si="21"/>
        <v>174.38243150684934</v>
      </c>
      <c r="I67" s="67">
        <f t="shared" si="21"/>
        <v>184.25301890410961</v>
      </c>
      <c r="J67" s="67">
        <f t="shared" si="21"/>
        <v>193.46566984931511</v>
      </c>
      <c r="K67" s="67">
        <f t="shared" si="21"/>
        <v>201.20429664328773</v>
      </c>
      <c r="L67" s="67">
        <f t="shared" si="21"/>
        <v>207.24042554258631</v>
      </c>
      <c r="M67" s="67">
        <f t="shared" si="21"/>
        <v>212.42143618115097</v>
      </c>
      <c r="N67" s="67">
        <f t="shared" si="21"/>
        <v>217.73197208567973</v>
      </c>
      <c r="O67" s="67">
        <f t="shared" si="21"/>
        <v>223.17527138782171</v>
      </c>
    </row>
    <row r="69" spans="2:15" ht="15" customHeight="1" x14ac:dyDescent="0.45">
      <c r="B69" t="s">
        <v>68</v>
      </c>
      <c r="C69" s="68"/>
      <c r="D69" s="68">
        <v>79.066999999999993</v>
      </c>
      <c r="E69" s="68">
        <v>83.501000000000005</v>
      </c>
      <c r="F69">
        <f t="shared" ref="F69:O69" si="22">F31</f>
        <v>98.45423000000001</v>
      </c>
      <c r="G69">
        <f t="shared" si="22"/>
        <v>113.08463019999999</v>
      </c>
      <c r="H69">
        <f t="shared" si="22"/>
        <v>128.01897264999999</v>
      </c>
      <c r="I69">
        <f t="shared" si="22"/>
        <v>141.81205948749999</v>
      </c>
      <c r="J69">
        <f t="shared" si="22"/>
        <v>154.446766115625</v>
      </c>
      <c r="K69">
        <f t="shared" si="22"/>
        <v>165.84630494671876</v>
      </c>
      <c r="L69">
        <f t="shared" si="22"/>
        <v>175.89629598083908</v>
      </c>
      <c r="M69">
        <f t="shared" si="22"/>
        <v>184.72157843819932</v>
      </c>
      <c r="N69">
        <f t="shared" si="22"/>
        <v>192.66052419253373</v>
      </c>
      <c r="O69">
        <f t="shared" si="22"/>
        <v>199.96771701738163</v>
      </c>
    </row>
    <row r="70" spans="2:15" ht="15" customHeight="1" x14ac:dyDescent="0.45">
      <c r="B70" t="s">
        <v>74</v>
      </c>
      <c r="C70" s="68"/>
      <c r="D70" s="68">
        <v>2.1560000000000001</v>
      </c>
      <c r="E70" s="68">
        <v>1.84</v>
      </c>
      <c r="F70">
        <f>'Model 1 Assumptions'!F35</f>
        <v>1.84</v>
      </c>
      <c r="G70">
        <f>'Model 1 Assumptions'!G35</f>
        <v>1.84</v>
      </c>
      <c r="H70">
        <f>'Model 1 Assumptions'!H35</f>
        <v>1.84</v>
      </c>
      <c r="I70">
        <f>'Model 1 Assumptions'!I35</f>
        <v>1.84</v>
      </c>
      <c r="J70">
        <f>'Model 1 Assumptions'!J35</f>
        <v>1.84</v>
      </c>
      <c r="K70">
        <f>'Model 1 Assumptions'!K35</f>
        <v>1.84</v>
      </c>
      <c r="L70">
        <f>'Model 1 Assumptions'!L35</f>
        <v>1.84</v>
      </c>
      <c r="M70">
        <f>'Model 1 Assumptions'!M35</f>
        <v>1.84</v>
      </c>
      <c r="N70">
        <f>'Model 1 Assumptions'!N35</f>
        <v>1.84</v>
      </c>
      <c r="O70">
        <f>'Model 1 Assumptions'!O35</f>
        <v>1.84</v>
      </c>
    </row>
    <row r="71" spans="2:15" ht="15" customHeight="1" x14ac:dyDescent="0.45">
      <c r="B71" t="s">
        <v>69</v>
      </c>
      <c r="C71" s="68"/>
      <c r="D71" s="68">
        <v>142.773</v>
      </c>
      <c r="E71" s="68">
        <v>142.773</v>
      </c>
      <c r="F71">
        <f>E71</f>
        <v>142.773</v>
      </c>
      <c r="G71">
        <f t="shared" ref="G71:O71" si="23">F71</f>
        <v>142.773</v>
      </c>
      <c r="H71">
        <f t="shared" si="23"/>
        <v>142.773</v>
      </c>
      <c r="I71">
        <f t="shared" si="23"/>
        <v>142.773</v>
      </c>
      <c r="J71">
        <f t="shared" si="23"/>
        <v>142.773</v>
      </c>
      <c r="K71">
        <f t="shared" si="23"/>
        <v>142.773</v>
      </c>
      <c r="L71">
        <f t="shared" si="23"/>
        <v>142.773</v>
      </c>
      <c r="M71">
        <f t="shared" si="23"/>
        <v>142.773</v>
      </c>
      <c r="N71">
        <f t="shared" si="23"/>
        <v>142.773</v>
      </c>
      <c r="O71">
        <f t="shared" si="23"/>
        <v>142.773</v>
      </c>
    </row>
    <row r="72" spans="2:15" ht="15" customHeight="1" x14ac:dyDescent="0.45">
      <c r="B72" t="s">
        <v>70</v>
      </c>
      <c r="C72" s="68"/>
      <c r="D72" s="68">
        <v>130.41399999999999</v>
      </c>
      <c r="E72" s="68">
        <v>130.4</v>
      </c>
      <c r="F72">
        <f t="shared" ref="F72:O72" si="24">F35</f>
        <v>130.4</v>
      </c>
      <c r="G72">
        <f t="shared" si="24"/>
        <v>130.4</v>
      </c>
      <c r="H72">
        <f t="shared" si="24"/>
        <v>130.4</v>
      </c>
      <c r="I72">
        <f t="shared" si="24"/>
        <v>130.4</v>
      </c>
      <c r="J72">
        <f t="shared" si="24"/>
        <v>130.4</v>
      </c>
      <c r="K72">
        <f t="shared" si="24"/>
        <v>130.4</v>
      </c>
      <c r="L72">
        <f t="shared" si="24"/>
        <v>130.4</v>
      </c>
      <c r="M72">
        <f t="shared" si="24"/>
        <v>130.4</v>
      </c>
      <c r="N72">
        <f t="shared" si="24"/>
        <v>130.4</v>
      </c>
      <c r="O72">
        <f t="shared" si="24"/>
        <v>130.4</v>
      </c>
    </row>
    <row r="73" spans="2:15" ht="15" customHeight="1" x14ac:dyDescent="0.45">
      <c r="B73" t="s">
        <v>75</v>
      </c>
      <c r="C73" s="68"/>
      <c r="D73" s="68">
        <f>0.386+11.279</f>
        <v>11.664999999999999</v>
      </c>
      <c r="E73" s="68">
        <f>0.771+9.27</f>
        <v>10.041</v>
      </c>
      <c r="F73">
        <f>'Model 1 Assumptions'!F36*'Model 1'!F5</f>
        <v>11.538</v>
      </c>
      <c r="G73">
        <f>'Model 1 Assumptions'!G36*'Model 1'!G5</f>
        <v>12.378</v>
      </c>
      <c r="H73">
        <f>'Model 1 Assumptions'!H36*'Model 1'!H5</f>
        <v>13.294</v>
      </c>
      <c r="I73">
        <f>'Model 1 Assumptions'!I36*'Model 1'!I5</f>
        <v>14.091640000000002</v>
      </c>
      <c r="J73">
        <f>'Model 1 Assumptions'!J36*'Model 1'!J5</f>
        <v>14.796222000000002</v>
      </c>
      <c r="K73">
        <f>'Model 1 Assumptions'!K36*'Model 1'!K5</f>
        <v>15.388070880000003</v>
      </c>
      <c r="L73">
        <f>'Model 1 Assumptions'!L36*'Model 1'!L5</f>
        <v>15.849713006400002</v>
      </c>
      <c r="M73">
        <f>'Model 1 Assumptions'!M36*'Model 1'!M5</f>
        <v>16.24595583156</v>
      </c>
      <c r="N73">
        <f>'Model 1 Assumptions'!N36*'Model 1'!N5</f>
        <v>16.652104727348998</v>
      </c>
      <c r="O73">
        <f>'Model 1 Assumptions'!O36*'Model 1'!O5</f>
        <v>17.068407345532723</v>
      </c>
    </row>
    <row r="74" spans="2:15" ht="15" customHeight="1" x14ac:dyDescent="0.45">
      <c r="B74" t="s">
        <v>29</v>
      </c>
      <c r="C74" s="67"/>
      <c r="D74" s="67">
        <f>SUM(D67,D69:D73)</f>
        <v>551.30999999999995</v>
      </c>
      <c r="E74" s="67">
        <f>SUM(E67,E69:E73)</f>
        <v>611.94399999999996</v>
      </c>
      <c r="F74" s="67">
        <f t="shared" ref="F74:O74" si="25">SUM(F67,F69:F73)</f>
        <v>538.89348342465757</v>
      </c>
      <c r="G74" s="67">
        <f t="shared" si="25"/>
        <v>565.58593841917809</v>
      </c>
      <c r="H74" s="67">
        <f t="shared" si="25"/>
        <v>590.70840415684927</v>
      </c>
      <c r="I74" s="67">
        <f t="shared" si="25"/>
        <v>615.16971839160954</v>
      </c>
      <c r="J74" s="67">
        <f t="shared" si="25"/>
        <v>637.72165796494005</v>
      </c>
      <c r="K74" s="67">
        <f t="shared" si="25"/>
        <v>657.45167247000643</v>
      </c>
      <c r="L74" s="67">
        <f t="shared" si="25"/>
        <v>673.99943452982529</v>
      </c>
      <c r="M74" s="67">
        <f t="shared" si="25"/>
        <v>688.4019704509102</v>
      </c>
      <c r="N74" s="67">
        <f t="shared" si="25"/>
        <v>702.05760100556233</v>
      </c>
      <c r="O74" s="67">
        <f t="shared" si="25"/>
        <v>715.22439575073599</v>
      </c>
    </row>
    <row r="76" spans="2:15" ht="15" customHeight="1" x14ac:dyDescent="0.45">
      <c r="B76" t="s">
        <v>76</v>
      </c>
      <c r="C76" s="68"/>
      <c r="D76" s="68">
        <v>0</v>
      </c>
      <c r="E76" s="68">
        <v>0</v>
      </c>
    </row>
    <row r="77" spans="2:15" ht="15" customHeight="1" x14ac:dyDescent="0.45">
      <c r="B77" t="s">
        <v>100</v>
      </c>
      <c r="C77" s="68"/>
      <c r="D77" s="68">
        <v>33.898000000000003</v>
      </c>
      <c r="E77" s="68">
        <v>35.844000000000001</v>
      </c>
      <c r="F77">
        <f>'Model 1 Assumptions'!F37*'Model 1'!F6/365*-1</f>
        <v>37.841095890410962</v>
      </c>
      <c r="G77">
        <f>'Model 1 Assumptions'!G37*'Model 1'!G6/365*-1</f>
        <v>40.602739726027394</v>
      </c>
      <c r="H77">
        <f>'Model 1 Assumptions'!H37*'Model 1'!H6/365*-1</f>
        <v>42.542465753424658</v>
      </c>
      <c r="I77">
        <f>'Model 1 Assumptions'!I37*'Model 1'!I6/365*-1</f>
        <v>44.880908219178082</v>
      </c>
      <c r="J77">
        <f>'Model 1 Assumptions'!J37*'Model 1'!J6/365*-1</f>
        <v>47.124953630137</v>
      </c>
      <c r="K77">
        <f>'Model 1 Assumptions'!K37*'Model 1'!K6/365*-1</f>
        <v>49.009951775342472</v>
      </c>
      <c r="L77">
        <f>'Model 1 Assumptions'!L37*'Model 1'!L6/365*-1</f>
        <v>50.480250328602743</v>
      </c>
      <c r="M77">
        <f>'Model 1 Assumptions'!M37*'Model 1'!M6/365*-1</f>
        <v>51.74225658681781</v>
      </c>
      <c r="N77">
        <f>'Model 1 Assumptions'!N37*'Model 1'!N6/365*-1</f>
        <v>53.035813001488243</v>
      </c>
      <c r="O77">
        <f>'Model 1 Assumptions'!O37*'Model 1'!O6/365*-1</f>
        <v>54.361708326525459</v>
      </c>
    </row>
    <row r="78" spans="2:15" ht="15" customHeight="1" x14ac:dyDescent="0.45">
      <c r="B78" t="s">
        <v>101</v>
      </c>
      <c r="C78" s="68"/>
      <c r="D78" s="68">
        <v>34.786000000000001</v>
      </c>
      <c r="E78" s="68">
        <v>39.130000000000003</v>
      </c>
      <c r="F78">
        <f>'Model 1 Assumptions'!F38*'Model 1'!F5</f>
        <v>40.383000000000003</v>
      </c>
      <c r="G78">
        <f>'Model 1 Assumptions'!G38*'Model 1'!G5</f>
        <v>43.323</v>
      </c>
      <c r="H78">
        <f>'Model 1 Assumptions'!H38*'Model 1'!H5</f>
        <v>46.529000000000011</v>
      </c>
      <c r="I78">
        <f>'Model 1 Assumptions'!I38*'Model 1'!I5</f>
        <v>49.320740000000015</v>
      </c>
      <c r="J78">
        <f>'Model 1 Assumptions'!J38*'Model 1'!J5</f>
        <v>51.786777000000015</v>
      </c>
      <c r="K78">
        <f>'Model 1 Assumptions'!K38*'Model 1'!K5</f>
        <v>53.858248080000017</v>
      </c>
      <c r="L78">
        <f>'Model 1 Assumptions'!L38*'Model 1'!L5</f>
        <v>55.47399552240001</v>
      </c>
      <c r="M78">
        <f>'Model 1 Assumptions'!M38*'Model 1'!M5</f>
        <v>56.860845410460001</v>
      </c>
      <c r="N78">
        <f>'Model 1 Assumptions'!N38*'Model 1'!N5</f>
        <v>58.282366545721501</v>
      </c>
      <c r="O78">
        <f>'Model 1 Assumptions'!O38*'Model 1'!O5</f>
        <v>59.739425709364539</v>
      </c>
    </row>
    <row r="79" spans="2:15" ht="15" customHeight="1" x14ac:dyDescent="0.45">
      <c r="B79" t="s">
        <v>102</v>
      </c>
      <c r="C79" s="68"/>
      <c r="D79" s="68">
        <v>2.3340000000000001</v>
      </c>
      <c r="E79" s="68">
        <v>0.61499999999999999</v>
      </c>
      <c r="F79">
        <f>'Model 1 Assumptions'!F39*'Model 1'!F18*-1</f>
        <v>1.3660809120000001</v>
      </c>
      <c r="G79">
        <f>'Model 1 Assumptions'!G39*'Model 1'!G18*-1</f>
        <v>1.4430801628800001</v>
      </c>
      <c r="H79">
        <f>'Model 1 Assumptions'!H39*'Model 1'!H18*-1</f>
        <v>1.7242681312799999</v>
      </c>
      <c r="I79">
        <f>'Model 1 Assumptions'!I39*'Model 1'!I18*-1</f>
        <v>1.8351101784600001</v>
      </c>
      <c r="J79">
        <f>'Model 1 Assumptions'!J39*'Model 1'!J18*-1</f>
        <v>1.8995973498450009</v>
      </c>
      <c r="K79">
        <f>'Model 1 Assumptions'!K39*'Model 1'!K18*-1</f>
        <v>1.9499919245437503</v>
      </c>
      <c r="L79">
        <f>'Model 1 Assumptions'!L39*'Model 1'!L18*-1</f>
        <v>1.983739609228613</v>
      </c>
      <c r="M79">
        <f>'Model 1 Assumptions'!M39*'Model 1'!M18*-1</f>
        <v>2.0117509791816994</v>
      </c>
      <c r="N79">
        <f>'Model 1 Assumptions'!N39*'Model 1'!N18*-1</f>
        <v>2.0457760834530201</v>
      </c>
      <c r="O79">
        <f>'Model 1 Assumptions'!O39*'Model 1'!O18*-1</f>
        <v>2.0846369028831799</v>
      </c>
    </row>
    <row r="80" spans="2:15" ht="15" customHeight="1" x14ac:dyDescent="0.45">
      <c r="B80" t="s">
        <v>77</v>
      </c>
      <c r="C80" s="67"/>
      <c r="D80" s="67">
        <f>SUM(D76:D79)</f>
        <v>71.018000000000001</v>
      </c>
      <c r="E80" s="67">
        <f>SUM(E76:E79)</f>
        <v>75.588999999999999</v>
      </c>
      <c r="F80" s="67">
        <f t="shared" ref="F80:O80" si="26">SUM(F76:F79)</f>
        <v>79.590176802410966</v>
      </c>
      <c r="G80" s="67">
        <f t="shared" si="26"/>
        <v>85.368819888907382</v>
      </c>
      <c r="H80" s="67">
        <f t="shared" si="26"/>
        <v>90.79573388470466</v>
      </c>
      <c r="I80" s="67">
        <f t="shared" si="26"/>
        <v>96.036758397638096</v>
      </c>
      <c r="J80" s="67">
        <f t="shared" si="26"/>
        <v>100.81132797998201</v>
      </c>
      <c r="K80" s="67">
        <f t="shared" si="26"/>
        <v>104.81819177988623</v>
      </c>
      <c r="L80" s="67">
        <f t="shared" si="26"/>
        <v>107.93798546023136</v>
      </c>
      <c r="M80" s="67">
        <f t="shared" si="26"/>
        <v>110.6148529764595</v>
      </c>
      <c r="N80" s="67">
        <f t="shared" si="26"/>
        <v>113.36395563066277</v>
      </c>
      <c r="O80" s="67">
        <f t="shared" si="26"/>
        <v>116.18577093877317</v>
      </c>
    </row>
    <row r="82" spans="1:15" ht="15" customHeight="1" x14ac:dyDescent="0.45">
      <c r="B82" t="s">
        <v>41</v>
      </c>
      <c r="C82" s="68"/>
      <c r="D82" s="68">
        <v>40</v>
      </c>
      <c r="E82" s="68">
        <v>25</v>
      </c>
      <c r="F82">
        <f>'Model 1 Assumptions'!F43+'Model 1'!E82</f>
        <v>20</v>
      </c>
      <c r="G82">
        <f>'Model 1 Assumptions'!G43+'Model 1'!F82</f>
        <v>10</v>
      </c>
      <c r="H82">
        <f>'Model 1 Assumptions'!H43+'Model 1'!G82</f>
        <v>0</v>
      </c>
      <c r="I82">
        <f>'Model 1 Assumptions'!I43+'Model 1'!H82</f>
        <v>0</v>
      </c>
      <c r="J82">
        <f>'Model 1 Assumptions'!J43+'Model 1'!I82</f>
        <v>0</v>
      </c>
      <c r="K82">
        <f>'Model 1 Assumptions'!K43+'Model 1'!J82</f>
        <v>0</v>
      </c>
      <c r="L82">
        <f>'Model 1 Assumptions'!L43+'Model 1'!K82</f>
        <v>0</v>
      </c>
      <c r="M82">
        <f>'Model 1 Assumptions'!M43+'Model 1'!L82</f>
        <v>0</v>
      </c>
      <c r="N82">
        <f>'Model 1 Assumptions'!N43+'Model 1'!M82</f>
        <v>0</v>
      </c>
      <c r="O82">
        <f>'Model 1 Assumptions'!O43+'Model 1'!N82</f>
        <v>0</v>
      </c>
    </row>
    <row r="83" spans="1:15" ht="15" customHeight="1" x14ac:dyDescent="0.45">
      <c r="B83" t="s">
        <v>78</v>
      </c>
      <c r="C83" s="68"/>
      <c r="D83" s="68">
        <f>11.407+42.002</f>
        <v>53.409000000000006</v>
      </c>
      <c r="E83" s="68">
        <f>12.775+42.734</f>
        <v>55.509</v>
      </c>
      <c r="F83">
        <f>'Model 1 Assumptions'!F40*'Model 1'!F5</f>
        <v>58.2669</v>
      </c>
      <c r="G83">
        <f>'Model 1 Assumptions'!G40*'Model 1'!G5</f>
        <v>62.508900000000004</v>
      </c>
      <c r="H83">
        <f>'Model 1 Assumptions'!H40*'Model 1'!H5</f>
        <v>67.134700000000009</v>
      </c>
      <c r="I83">
        <f>'Model 1 Assumptions'!I40*'Model 1'!I5</f>
        <v>71.162782000000021</v>
      </c>
      <c r="J83">
        <f>'Model 1 Assumptions'!J40*'Model 1'!J5</f>
        <v>74.720921100000012</v>
      </c>
      <c r="K83">
        <f>'Model 1 Assumptions'!K40*'Model 1'!K5</f>
        <v>77.709757944000017</v>
      </c>
      <c r="L83">
        <f>'Model 1 Assumptions'!L40*'Model 1'!L5</f>
        <v>80.041050682320019</v>
      </c>
      <c r="M83">
        <f>'Model 1 Assumptions'!M40*'Model 1'!M5</f>
        <v>82.042076949378</v>
      </c>
      <c r="N83">
        <f>'Model 1 Assumptions'!N40*'Model 1'!N5</f>
        <v>84.093128873112448</v>
      </c>
      <c r="O83">
        <f>'Model 1 Assumptions'!O40*'Model 1'!O5</f>
        <v>86.195457094940252</v>
      </c>
    </row>
    <row r="84" spans="1:15" ht="15" customHeight="1" x14ac:dyDescent="0.45">
      <c r="B84" t="s">
        <v>30</v>
      </c>
      <c r="C84" s="67"/>
      <c r="D84" s="67">
        <f>SUM(D80,D82:D83)</f>
        <v>164.42700000000002</v>
      </c>
      <c r="E84" s="67">
        <f>SUM(E80,E82:E83)</f>
        <v>156.09800000000001</v>
      </c>
      <c r="F84" s="67">
        <f t="shared" ref="F84:O84" si="27">SUM(F80,F82:F83)</f>
        <v>157.85707680241097</v>
      </c>
      <c r="G84" s="67">
        <f t="shared" si="27"/>
        <v>157.87771988890739</v>
      </c>
      <c r="H84" s="67">
        <f t="shared" si="27"/>
        <v>157.93043388470466</v>
      </c>
      <c r="I84" s="67">
        <f t="shared" si="27"/>
        <v>167.19954039763812</v>
      </c>
      <c r="J84" s="67">
        <f t="shared" si="27"/>
        <v>175.53224907998202</v>
      </c>
      <c r="K84" s="67">
        <f t="shared" si="27"/>
        <v>182.52794972388625</v>
      </c>
      <c r="L84" s="67">
        <f t="shared" si="27"/>
        <v>187.97903614255137</v>
      </c>
      <c r="M84" s="67">
        <f t="shared" si="27"/>
        <v>192.65692992583752</v>
      </c>
      <c r="N84" s="67">
        <f t="shared" si="27"/>
        <v>197.45708450377521</v>
      </c>
      <c r="O84" s="67">
        <f t="shared" si="27"/>
        <v>202.38122803371343</v>
      </c>
    </row>
    <row r="86" spans="1:15" ht="15" customHeight="1" x14ac:dyDescent="0.45">
      <c r="B86" t="s">
        <v>71</v>
      </c>
      <c r="C86" s="68"/>
      <c r="D86" s="68">
        <v>386.88299999999998</v>
      </c>
      <c r="E86" s="68">
        <v>455.846</v>
      </c>
      <c r="F86">
        <f t="shared" ref="F86:O86" si="28">F40</f>
        <v>498.02714930000002</v>
      </c>
      <c r="G86">
        <f t="shared" si="28"/>
        <v>541.77713173799998</v>
      </c>
      <c r="H86">
        <f t="shared" si="28"/>
        <v>595.98566584700006</v>
      </c>
      <c r="I86">
        <f t="shared" si="28"/>
        <v>652.87795265810007</v>
      </c>
      <c r="J86">
        <f t="shared" si="28"/>
        <v>710.16951941871002</v>
      </c>
      <c r="K86">
        <f t="shared" si="28"/>
        <v>766.98734684268106</v>
      </c>
      <c r="L86">
        <f t="shared" si="28"/>
        <v>822.32022333040413</v>
      </c>
      <c r="M86">
        <f t="shared" si="28"/>
        <v>875.61471675713165</v>
      </c>
      <c r="N86">
        <f t="shared" si="28"/>
        <v>926.80977092000546</v>
      </c>
      <c r="O86">
        <f t="shared" si="28"/>
        <v>975.75913988071579</v>
      </c>
    </row>
    <row r="87" spans="1:15" ht="15" customHeight="1" x14ac:dyDescent="0.45">
      <c r="B87" t="s">
        <v>31</v>
      </c>
      <c r="C87" s="67"/>
      <c r="D87" s="67">
        <f t="shared" ref="D87:O87" si="29">D84+D86</f>
        <v>551.30999999999995</v>
      </c>
      <c r="E87" s="67">
        <f t="shared" si="29"/>
        <v>611.94399999999996</v>
      </c>
      <c r="F87" s="67">
        <f t="shared" si="29"/>
        <v>655.88422610241105</v>
      </c>
      <c r="G87" s="67">
        <f t="shared" si="29"/>
        <v>699.65485162690743</v>
      </c>
      <c r="H87" s="67">
        <f t="shared" si="29"/>
        <v>753.91609973170466</v>
      </c>
      <c r="I87" s="67">
        <f t="shared" si="29"/>
        <v>820.07749305573816</v>
      </c>
      <c r="J87" s="67">
        <f t="shared" si="29"/>
        <v>885.70176849869199</v>
      </c>
      <c r="K87" s="67">
        <f t="shared" si="29"/>
        <v>949.51529656656726</v>
      </c>
      <c r="L87" s="67">
        <f t="shared" si="29"/>
        <v>1010.2992594729556</v>
      </c>
      <c r="M87" s="67">
        <f t="shared" si="29"/>
        <v>1068.2716466829693</v>
      </c>
      <c r="N87" s="67">
        <f t="shared" si="29"/>
        <v>1124.2668554237807</v>
      </c>
      <c r="O87" s="67">
        <f t="shared" si="29"/>
        <v>1178.1403679144291</v>
      </c>
    </row>
    <row r="89" spans="1:15" ht="15" customHeight="1" x14ac:dyDescent="0.45">
      <c r="B89" t="s">
        <v>72</v>
      </c>
      <c r="D89">
        <f t="shared" ref="D89:O89" si="30">D87-D74</f>
        <v>0</v>
      </c>
      <c r="E89">
        <f t="shared" si="30"/>
        <v>0</v>
      </c>
      <c r="F89">
        <f t="shared" si="30"/>
        <v>116.99074267775347</v>
      </c>
      <c r="G89">
        <f t="shared" si="30"/>
        <v>134.06891320772934</v>
      </c>
      <c r="H89">
        <f t="shared" si="30"/>
        <v>163.20769557485539</v>
      </c>
      <c r="I89">
        <f t="shared" si="30"/>
        <v>204.90777466412862</v>
      </c>
      <c r="J89">
        <f t="shared" si="30"/>
        <v>247.98011053375194</v>
      </c>
      <c r="K89">
        <f t="shared" si="30"/>
        <v>292.06362409656083</v>
      </c>
      <c r="L89">
        <f t="shared" si="30"/>
        <v>336.29982494313026</v>
      </c>
      <c r="M89">
        <f t="shared" si="30"/>
        <v>379.86967623205908</v>
      </c>
      <c r="N89">
        <f t="shared" si="30"/>
        <v>422.20925441821839</v>
      </c>
      <c r="O89">
        <f t="shared" si="30"/>
        <v>462.91597216369314</v>
      </c>
    </row>
    <row r="91" spans="1:15" ht="15" customHeight="1" x14ac:dyDescent="0.45">
      <c r="A91" s="16" t="s">
        <v>43</v>
      </c>
    </row>
    <row r="92" spans="1:15" ht="15" customHeight="1" x14ac:dyDescent="0.45">
      <c r="B92" t="s">
        <v>27</v>
      </c>
    </row>
    <row r="93" spans="1:15" ht="15" customHeight="1" x14ac:dyDescent="0.45">
      <c r="B93" t="s">
        <v>60</v>
      </c>
    </row>
    <row r="94" spans="1:15" ht="15" customHeight="1" x14ac:dyDescent="0.45">
      <c r="B94" t="s">
        <v>61</v>
      </c>
    </row>
    <row r="95" spans="1:15" ht="15" customHeight="1" x14ac:dyDescent="0.45">
      <c r="B95" t="s">
        <v>137</v>
      </c>
    </row>
    <row r="96" spans="1:15" ht="15" customHeight="1" x14ac:dyDescent="0.45">
      <c r="B96" t="s">
        <v>80</v>
      </c>
    </row>
    <row r="97" spans="1:15" ht="15" customHeight="1" x14ac:dyDescent="0.45">
      <c r="B97" t="s">
        <v>81</v>
      </c>
    </row>
    <row r="98" spans="1:15" ht="15" customHeight="1" x14ac:dyDescent="0.45">
      <c r="B98" t="s">
        <v>88</v>
      </c>
    </row>
    <row r="100" spans="1:15" ht="15" customHeight="1" x14ac:dyDescent="0.45">
      <c r="B100" t="s">
        <v>138</v>
      </c>
    </row>
    <row r="101" spans="1:15" ht="15" customHeight="1" x14ac:dyDescent="0.45">
      <c r="B101" t="s">
        <v>82</v>
      </c>
    </row>
    <row r="102" spans="1:15" ht="15" customHeight="1" x14ac:dyDescent="0.45">
      <c r="B102" t="s">
        <v>89</v>
      </c>
    </row>
    <row r="104" spans="1:15" ht="15" customHeight="1" x14ac:dyDescent="0.45">
      <c r="B104" t="s">
        <v>90</v>
      </c>
    </row>
    <row r="105" spans="1:15" ht="15" customHeight="1" x14ac:dyDescent="0.45">
      <c r="B105" t="s">
        <v>85</v>
      </c>
    </row>
    <row r="106" spans="1:15" ht="15" customHeight="1" x14ac:dyDescent="0.45">
      <c r="B106" t="s">
        <v>86</v>
      </c>
    </row>
    <row r="108" spans="1:15" ht="15" customHeight="1" x14ac:dyDescent="0.45">
      <c r="B108" t="s">
        <v>32</v>
      </c>
    </row>
    <row r="109" spans="1:15" ht="15" customHeight="1" x14ac:dyDescent="0.45">
      <c r="B109" t="s">
        <v>87</v>
      </c>
    </row>
    <row r="111" spans="1:15" ht="15" customHeight="1" x14ac:dyDescent="0.45">
      <c r="A111" s="16" t="s">
        <v>116</v>
      </c>
    </row>
    <row r="112" spans="1:15" ht="15" customHeight="1" x14ac:dyDescent="0.45">
      <c r="B112" t="s">
        <v>150</v>
      </c>
      <c r="D112" s="62">
        <f>+D5/C5-1</f>
        <v>0.1278372746759997</v>
      </c>
      <c r="E112" s="62">
        <f t="shared" ref="E112" si="31">+E5/D5-1</f>
        <v>3.8811139732242816E-2</v>
      </c>
      <c r="F112" s="62">
        <f t="shared" ref="F112:O112" si="32">+F5/E5-1</f>
        <v>5.3400407190658417E-2</v>
      </c>
      <c r="G112" s="62">
        <f t="shared" si="32"/>
        <v>7.2802912116484597E-2</v>
      </c>
      <c r="H112" s="62">
        <f t="shared" si="32"/>
        <v>7.4002262077880188E-2</v>
      </c>
      <c r="I112" s="62">
        <f t="shared" si="32"/>
        <v>6.0000000000000053E-2</v>
      </c>
      <c r="J112" s="62">
        <f t="shared" si="32"/>
        <v>5.0000000000000044E-2</v>
      </c>
      <c r="K112" s="62">
        <f t="shared" si="32"/>
        <v>4.0000000000000036E-2</v>
      </c>
      <c r="L112" s="62">
        <f t="shared" si="32"/>
        <v>3.0000000000000027E-2</v>
      </c>
      <c r="M112" s="62">
        <f t="shared" si="32"/>
        <v>2.4999999999999911E-2</v>
      </c>
      <c r="N112" s="62">
        <f t="shared" si="32"/>
        <v>2.4999999999999911E-2</v>
      </c>
      <c r="O112" s="62">
        <f t="shared" si="32"/>
        <v>2.4999999999999911E-2</v>
      </c>
    </row>
    <row r="113" spans="1:15" ht="15" customHeight="1" x14ac:dyDescent="0.45">
      <c r="B113" t="s">
        <v>55</v>
      </c>
      <c r="C113" s="62">
        <f t="shared" ref="C113:D113" si="33">C7/C5</f>
        <v>0.21476003234653582</v>
      </c>
      <c r="D113" s="62">
        <f t="shared" si="33"/>
        <v>0.21135103965523119</v>
      </c>
      <c r="E113" s="62">
        <f t="shared" ref="E113" si="34">E7/E5</f>
        <v>0.22465785941879463</v>
      </c>
      <c r="F113" s="62">
        <f t="shared" ref="F113:O113" si="35">F7/F5</f>
        <v>0.20194141098977295</v>
      </c>
      <c r="G113" s="62">
        <f t="shared" si="35"/>
        <v>0.20180966230408792</v>
      </c>
      <c r="H113" s="62">
        <f t="shared" si="35"/>
        <v>0.22130284338799455</v>
      </c>
      <c r="I113" s="62">
        <f t="shared" si="35"/>
        <v>0.22500000000000001</v>
      </c>
      <c r="J113" s="62">
        <f t="shared" si="35"/>
        <v>0.22500000000000003</v>
      </c>
      <c r="K113" s="62">
        <f t="shared" si="35"/>
        <v>0.22499999999999998</v>
      </c>
      <c r="L113" s="62">
        <f t="shared" si="35"/>
        <v>0.22500000000000001</v>
      </c>
      <c r="M113" s="62">
        <f t="shared" si="35"/>
        <v>0.22500000000000001</v>
      </c>
      <c r="N113" s="62">
        <f t="shared" si="35"/>
        <v>0.22500000000000001</v>
      </c>
      <c r="O113" s="62">
        <f t="shared" si="35"/>
        <v>0.22500000000000001</v>
      </c>
    </row>
    <row r="114" spans="1:15" ht="15" customHeight="1" x14ac:dyDescent="0.45">
      <c r="B114" t="s">
        <v>44</v>
      </c>
      <c r="C114" s="62">
        <f t="shared" ref="C114:D114" si="36">C11/C5</f>
        <v>0.18475819253034628</v>
      </c>
      <c r="D114" s="62">
        <f t="shared" si="36"/>
        <v>0.17722128855791219</v>
      </c>
      <c r="E114" s="62">
        <f t="shared" ref="E114" si="37">E11/E5</f>
        <v>0.18541052304826938</v>
      </c>
      <c r="F114" s="62">
        <f t="shared" ref="F114:O114" si="38">F11/F5</f>
        <v>0.16286137978852491</v>
      </c>
      <c r="G114" s="62">
        <f t="shared" si="38"/>
        <v>0.16044902278235582</v>
      </c>
      <c r="H114" s="62">
        <f t="shared" si="38"/>
        <v>0.17877063705431021</v>
      </c>
      <c r="I114" s="62">
        <f t="shared" si="38"/>
        <v>0.1795762691035252</v>
      </c>
      <c r="J114" s="62">
        <f t="shared" si="38"/>
        <v>0.17707828745489901</v>
      </c>
      <c r="K114" s="62">
        <f t="shared" si="38"/>
        <v>0.17481607268382138</v>
      </c>
      <c r="L114" s="62">
        <f t="shared" si="38"/>
        <v>0.17268160632317089</v>
      </c>
      <c r="M114" s="62">
        <f t="shared" si="38"/>
        <v>0.17086458999256407</v>
      </c>
      <c r="N114" s="62">
        <f t="shared" si="38"/>
        <v>0.16953506584821759</v>
      </c>
      <c r="O114" s="62">
        <f t="shared" si="38"/>
        <v>0.16856224330357386</v>
      </c>
    </row>
    <row r="115" spans="1:15" ht="15" customHeight="1" x14ac:dyDescent="0.45">
      <c r="B115" t="s">
        <v>146</v>
      </c>
      <c r="C115" s="62">
        <f>C20/C5</f>
        <v>0.11671922265626669</v>
      </c>
      <c r="D115" s="62">
        <f t="shared" ref="D115:O115" si="39">D20/D5</f>
        <v>0.1100334981050618</v>
      </c>
      <c r="E115" s="62">
        <f t="shared" si="39"/>
        <v>0.12041228510649948</v>
      </c>
      <c r="F115" s="62">
        <f t="shared" si="39"/>
        <v>0.10524303553475475</v>
      </c>
      <c r="G115" s="62">
        <f t="shared" si="39"/>
        <v>0.10363046716432384</v>
      </c>
      <c r="H115" s="62">
        <f t="shared" si="39"/>
        <v>0.11529131814051452</v>
      </c>
      <c r="I115" s="62">
        <f t="shared" si="39"/>
        <v>0.11575721828829008</v>
      </c>
      <c r="J115" s="62">
        <f t="shared" si="39"/>
        <v>0.11411906212545342</v>
      </c>
      <c r="K115" s="62">
        <f t="shared" si="39"/>
        <v>0.11264090012756688</v>
      </c>
      <c r="L115" s="62">
        <f t="shared" si="39"/>
        <v>0.11125274611471403</v>
      </c>
      <c r="M115" s="62">
        <f t="shared" si="39"/>
        <v>0.11007189180781139</v>
      </c>
      <c r="N115" s="62">
        <f t="shared" si="39"/>
        <v>0.10920347064292794</v>
      </c>
      <c r="O115" s="62">
        <f t="shared" si="39"/>
        <v>0.10856376595825672</v>
      </c>
    </row>
    <row r="117" spans="1:15" ht="15" customHeight="1" x14ac:dyDescent="0.45">
      <c r="A117" s="16" t="s">
        <v>117</v>
      </c>
    </row>
    <row r="118" spans="1:15" ht="15" customHeight="1" x14ac:dyDescent="0.45">
      <c r="B118" t="s">
        <v>65</v>
      </c>
      <c r="D118">
        <f t="shared" ref="D118" si="40">D48</f>
        <v>0</v>
      </c>
      <c r="E118">
        <f t="shared" ref="E118" si="41">E48</f>
        <v>0</v>
      </c>
      <c r="F118">
        <f t="shared" ref="F118:O118" si="42">F48</f>
        <v>0</v>
      </c>
      <c r="G118">
        <f t="shared" si="42"/>
        <v>0</v>
      </c>
      <c r="H118">
        <f t="shared" si="42"/>
        <v>0</v>
      </c>
      <c r="I118">
        <f t="shared" si="42"/>
        <v>0</v>
      </c>
      <c r="J118">
        <f t="shared" si="42"/>
        <v>0</v>
      </c>
      <c r="K118">
        <f t="shared" si="42"/>
        <v>0</v>
      </c>
      <c r="L118">
        <f t="shared" si="42"/>
        <v>0</v>
      </c>
      <c r="M118">
        <f t="shared" si="42"/>
        <v>0</v>
      </c>
      <c r="N118">
        <f t="shared" si="42"/>
        <v>0</v>
      </c>
      <c r="O118">
        <f t="shared" si="42"/>
        <v>0</v>
      </c>
    </row>
    <row r="119" spans="1:15" ht="15" customHeight="1" x14ac:dyDescent="0.45">
      <c r="B119" t="s">
        <v>140</v>
      </c>
      <c r="C119" s="62"/>
      <c r="D119" s="62">
        <f t="shared" ref="D119" si="43">D118/D5</f>
        <v>0</v>
      </c>
      <c r="E119" s="62">
        <f t="shared" ref="E119" si="44">E118/E5</f>
        <v>0</v>
      </c>
      <c r="F119" s="62">
        <f t="shared" ref="F119:O119" si="45">F118/F5</f>
        <v>0</v>
      </c>
      <c r="G119" s="62">
        <f t="shared" si="45"/>
        <v>0</v>
      </c>
      <c r="H119" s="62">
        <f t="shared" si="45"/>
        <v>0</v>
      </c>
      <c r="I119" s="62">
        <f t="shared" si="45"/>
        <v>0</v>
      </c>
      <c r="J119" s="62">
        <f t="shared" si="45"/>
        <v>0</v>
      </c>
      <c r="K119" s="62">
        <f t="shared" si="45"/>
        <v>0</v>
      </c>
      <c r="L119" s="62">
        <f t="shared" si="45"/>
        <v>0</v>
      </c>
      <c r="M119" s="62">
        <f t="shared" si="45"/>
        <v>0</v>
      </c>
      <c r="N119" s="62">
        <f t="shared" si="45"/>
        <v>0</v>
      </c>
      <c r="O119" s="62">
        <f t="shared" si="45"/>
        <v>0</v>
      </c>
    </row>
    <row r="120" spans="1:15" ht="15" customHeight="1" x14ac:dyDescent="0.45">
      <c r="B120" t="s">
        <v>91</v>
      </c>
      <c r="C120" s="62"/>
      <c r="D120" s="62">
        <f t="shared" ref="D120" si="46">D69/D5</f>
        <v>0.14997704829721129</v>
      </c>
      <c r="E120" s="62">
        <f t="shared" ref="E120" si="47">E69/E5</f>
        <v>0.15247007696451234</v>
      </c>
      <c r="F120" s="62">
        <f t="shared" ref="F120:O120" si="48">F69/F5</f>
        <v>0.17066082509967068</v>
      </c>
      <c r="G120" s="62">
        <f t="shared" si="48"/>
        <v>0.1827187432541606</v>
      </c>
      <c r="H120" s="62">
        <f t="shared" si="48"/>
        <v>0.1925966190010531</v>
      </c>
      <c r="I120" s="62">
        <f t="shared" si="48"/>
        <v>0.20127119268942434</v>
      </c>
      <c r="J120" s="62">
        <f t="shared" si="48"/>
        <v>0.20876513763530308</v>
      </c>
      <c r="K120" s="62">
        <f t="shared" si="48"/>
        <v>0.21555178194853589</v>
      </c>
      <c r="L120" s="62">
        <f t="shared" si="48"/>
        <v>0.22195518103048731</v>
      </c>
      <c r="M120" s="62">
        <f t="shared" si="48"/>
        <v>0.22740623002230781</v>
      </c>
      <c r="N120" s="62">
        <f t="shared" si="48"/>
        <v>0.23139480245534719</v>
      </c>
      <c r="O120" s="62">
        <f t="shared" si="48"/>
        <v>0.23431327008927841</v>
      </c>
    </row>
    <row r="122" spans="1:15" ht="15" customHeight="1" x14ac:dyDescent="0.45">
      <c r="A122" s="16" t="s">
        <v>52</v>
      </c>
    </row>
    <row r="123" spans="1:15" ht="15" customHeight="1" x14ac:dyDescent="0.45">
      <c r="B123" t="s">
        <v>76</v>
      </c>
      <c r="D123">
        <f>D76</f>
        <v>0</v>
      </c>
      <c r="E123">
        <f>E76</f>
        <v>0</v>
      </c>
      <c r="F123">
        <f t="shared" ref="F123:O123" si="49">F76</f>
        <v>0</v>
      </c>
      <c r="G123">
        <f t="shared" si="49"/>
        <v>0</v>
      </c>
      <c r="H123">
        <f t="shared" si="49"/>
        <v>0</v>
      </c>
      <c r="I123">
        <f t="shared" si="49"/>
        <v>0</v>
      </c>
      <c r="J123">
        <f t="shared" si="49"/>
        <v>0</v>
      </c>
      <c r="K123">
        <f t="shared" si="49"/>
        <v>0</v>
      </c>
      <c r="L123">
        <f t="shared" si="49"/>
        <v>0</v>
      </c>
      <c r="M123">
        <f t="shared" si="49"/>
        <v>0</v>
      </c>
      <c r="N123">
        <f t="shared" si="49"/>
        <v>0</v>
      </c>
      <c r="O123">
        <f t="shared" si="49"/>
        <v>0</v>
      </c>
    </row>
    <row r="124" spans="1:15" ht="15" customHeight="1" x14ac:dyDescent="0.45">
      <c r="B124" t="s">
        <v>41</v>
      </c>
      <c r="D124">
        <f>D82</f>
        <v>40</v>
      </c>
      <c r="E124">
        <f>E82</f>
        <v>25</v>
      </c>
      <c r="F124">
        <f t="shared" ref="F124:O124" si="50">F82</f>
        <v>20</v>
      </c>
      <c r="G124">
        <f t="shared" si="50"/>
        <v>10</v>
      </c>
      <c r="H124">
        <f t="shared" si="50"/>
        <v>0</v>
      </c>
      <c r="I124">
        <f t="shared" si="50"/>
        <v>0</v>
      </c>
      <c r="J124">
        <f t="shared" si="50"/>
        <v>0</v>
      </c>
      <c r="K124">
        <f t="shared" si="50"/>
        <v>0</v>
      </c>
      <c r="L124">
        <f t="shared" si="50"/>
        <v>0</v>
      </c>
      <c r="M124">
        <f t="shared" si="50"/>
        <v>0</v>
      </c>
      <c r="N124">
        <f t="shared" si="50"/>
        <v>0</v>
      </c>
      <c r="O124">
        <f t="shared" si="50"/>
        <v>0</v>
      </c>
    </row>
    <row r="125" spans="1:15" ht="15" customHeight="1" x14ac:dyDescent="0.45">
      <c r="B125" t="s">
        <v>84</v>
      </c>
      <c r="D125">
        <f t="shared" ref="D125" si="51">SUM(D123:D124)</f>
        <v>40</v>
      </c>
      <c r="E125">
        <f t="shared" ref="E125:O125" si="52">SUM(E123:E124)</f>
        <v>25</v>
      </c>
      <c r="F125">
        <f t="shared" si="52"/>
        <v>20</v>
      </c>
      <c r="G125">
        <f t="shared" si="52"/>
        <v>10</v>
      </c>
      <c r="H125">
        <f t="shared" si="52"/>
        <v>0</v>
      </c>
      <c r="I125">
        <f t="shared" si="52"/>
        <v>0</v>
      </c>
      <c r="J125">
        <f t="shared" si="52"/>
        <v>0</v>
      </c>
      <c r="K125">
        <f t="shared" si="52"/>
        <v>0</v>
      </c>
      <c r="L125">
        <f t="shared" si="52"/>
        <v>0</v>
      </c>
      <c r="M125">
        <f t="shared" si="52"/>
        <v>0</v>
      </c>
      <c r="N125">
        <f t="shared" si="52"/>
        <v>0</v>
      </c>
      <c r="O125">
        <f t="shared" si="52"/>
        <v>0</v>
      </c>
    </row>
    <row r="126" spans="1:15" ht="15" customHeight="1" x14ac:dyDescent="0.45">
      <c r="B126" t="s">
        <v>53</v>
      </c>
      <c r="D126">
        <f>D125-D63</f>
        <v>-12.795999999999999</v>
      </c>
      <c r="E126">
        <f>E125-E63</f>
        <v>-69.632000000000005</v>
      </c>
      <c r="F126">
        <f t="shared" ref="F126:O126" si="53">F125-F63</f>
        <v>20</v>
      </c>
      <c r="G126">
        <f t="shared" si="53"/>
        <v>10</v>
      </c>
      <c r="H126">
        <f t="shared" si="53"/>
        <v>0</v>
      </c>
      <c r="I126">
        <f t="shared" si="53"/>
        <v>0</v>
      </c>
      <c r="J126">
        <f t="shared" si="53"/>
        <v>0</v>
      </c>
      <c r="K126">
        <f t="shared" si="53"/>
        <v>0</v>
      </c>
      <c r="L126">
        <f t="shared" si="53"/>
        <v>0</v>
      </c>
      <c r="M126">
        <f t="shared" si="53"/>
        <v>0</v>
      </c>
      <c r="N126">
        <f t="shared" si="53"/>
        <v>0</v>
      </c>
      <c r="O126">
        <f t="shared" si="53"/>
        <v>0</v>
      </c>
    </row>
    <row r="127" spans="1:15" ht="15" customHeight="1" x14ac:dyDescent="0.45">
      <c r="B127" t="s">
        <v>92</v>
      </c>
      <c r="D127" s="1">
        <f>D125/D7</f>
        <v>0.35899230858978864</v>
      </c>
      <c r="E127" s="1">
        <f>E125/E7</f>
        <v>0.20319421302881299</v>
      </c>
      <c r="F127" s="1">
        <f t="shared" ref="F127:O127" si="54">F125/F7</f>
        <v>0.17167381974248924</v>
      </c>
      <c r="G127" s="1">
        <f t="shared" si="54"/>
        <v>8.0064051240992792E-2</v>
      </c>
      <c r="H127" s="1">
        <f t="shared" si="54"/>
        <v>0</v>
      </c>
      <c r="I127" s="1">
        <f t="shared" si="54"/>
        <v>0</v>
      </c>
      <c r="J127" s="1">
        <f t="shared" si="54"/>
        <v>0</v>
      </c>
      <c r="K127" s="1">
        <f t="shared" si="54"/>
        <v>0</v>
      </c>
      <c r="L127" s="1">
        <f t="shared" si="54"/>
        <v>0</v>
      </c>
      <c r="M127" s="1">
        <f t="shared" si="54"/>
        <v>0</v>
      </c>
      <c r="N127" s="1">
        <f t="shared" si="54"/>
        <v>0</v>
      </c>
      <c r="O127" s="1">
        <f t="shared" si="54"/>
        <v>0</v>
      </c>
    </row>
    <row r="128" spans="1:15" ht="15" customHeight="1" x14ac:dyDescent="0.45">
      <c r="B128" t="s">
        <v>54</v>
      </c>
      <c r="D128" s="1">
        <f>D126/D7</f>
        <v>-0.11484163951787338</v>
      </c>
      <c r="E128" s="1">
        <f>E126/E7</f>
        <v>-0.56595277766489227</v>
      </c>
      <c r="F128" s="1">
        <f t="shared" ref="F128:O128" si="55">F126/F7</f>
        <v>0.17167381974248924</v>
      </c>
      <c r="G128" s="1">
        <f t="shared" si="55"/>
        <v>8.0064051240992792E-2</v>
      </c>
      <c r="H128" s="1">
        <f t="shared" si="55"/>
        <v>0</v>
      </c>
      <c r="I128" s="1">
        <f t="shared" si="55"/>
        <v>0</v>
      </c>
      <c r="J128" s="1">
        <f t="shared" si="55"/>
        <v>0</v>
      </c>
      <c r="K128" s="1">
        <f t="shared" si="55"/>
        <v>0</v>
      </c>
      <c r="L128" s="1">
        <f t="shared" si="55"/>
        <v>0</v>
      </c>
      <c r="M128" s="1">
        <f t="shared" si="55"/>
        <v>0</v>
      </c>
      <c r="N128" s="1">
        <f t="shared" si="55"/>
        <v>0</v>
      </c>
      <c r="O128" s="1">
        <f t="shared" si="55"/>
        <v>0</v>
      </c>
    </row>
    <row r="130" spans="1:15" ht="15" customHeight="1" x14ac:dyDescent="0.45">
      <c r="A130" s="16" t="s">
        <v>135</v>
      </c>
    </row>
    <row r="131" spans="1:15" ht="15" customHeight="1" x14ac:dyDescent="0.45">
      <c r="B131" t="s">
        <v>139</v>
      </c>
      <c r="E131" s="62">
        <f>E20/AVERAGE(D86:E86)</f>
        <v>0.15650200716956453</v>
      </c>
      <c r="F131" s="62">
        <f t="shared" ref="F131:O131" si="56">F20/AVERAGE(E86:F86)</f>
        <v>0.12730142838081879</v>
      </c>
      <c r="G131" s="62">
        <f t="shared" si="56"/>
        <v>0.12336340078149018</v>
      </c>
      <c r="H131" s="62">
        <f t="shared" si="56"/>
        <v>0.13471022137595393</v>
      </c>
      <c r="I131" s="62">
        <f t="shared" si="56"/>
        <v>0.13061546700131843</v>
      </c>
      <c r="J131" s="62">
        <f t="shared" si="56"/>
        <v>0.12387910268945124</v>
      </c>
      <c r="K131" s="62">
        <f t="shared" si="56"/>
        <v>0.11734205044430798</v>
      </c>
      <c r="L131" s="62">
        <f t="shared" si="56"/>
        <v>0.1109492039291088</v>
      </c>
      <c r="M131" s="62">
        <f t="shared" si="56"/>
        <v>0.10531752721419139</v>
      </c>
      <c r="N131" s="62">
        <f t="shared" si="56"/>
        <v>0.1008900867785899</v>
      </c>
      <c r="O131" s="62">
        <f t="shared" si="56"/>
        <v>9.7395188674703009E-2</v>
      </c>
    </row>
    <row r="132" spans="1:15" ht="15" customHeight="1" x14ac:dyDescent="0.45">
      <c r="B132" t="s">
        <v>143</v>
      </c>
      <c r="E132">
        <f>E11*(1-'Model 1 Assumptions'!E24)</f>
        <v>65.656296194062762</v>
      </c>
      <c r="F132">
        <f>F11*(1-'Model 1 Assumptions'!F24)</f>
        <v>60.131027200000005</v>
      </c>
      <c r="G132">
        <f>G11*(1-'Model 1 Assumptions'!G24)</f>
        <v>63.553216128000003</v>
      </c>
      <c r="H132">
        <f>H11*(1-'Model 1 Assumptions'!H24)</f>
        <v>76.050459168000003</v>
      </c>
      <c r="I132">
        <f>I11*(1-'Model 1 Assumptions'!I24)</f>
        <v>80.976772376000014</v>
      </c>
      <c r="J132">
        <f>J11*(1-'Model 1 Assumptions'!J24)</f>
        <v>83.842868882000047</v>
      </c>
      <c r="K132">
        <f>K11*(1-'Model 1 Assumptions'!K24)</f>
        <v>86.08262775750002</v>
      </c>
      <c r="L132">
        <f>L11*(1-'Model 1 Assumptions'!L24)</f>
        <v>87.582524854605012</v>
      </c>
      <c r="M132">
        <f>M11*(1-'Model 1 Assumptions'!M24)</f>
        <v>88.827474630297743</v>
      </c>
      <c r="N132">
        <f>N11*(1-'Model 1 Assumptions'!N24)</f>
        <v>90.339701486800891</v>
      </c>
      <c r="O132">
        <f>O11*(1-'Model 1 Assumptions'!O24)</f>
        <v>92.066849017030222</v>
      </c>
    </row>
    <row r="133" spans="1:15" ht="15" customHeight="1" x14ac:dyDescent="0.45">
      <c r="B133" t="s">
        <v>136</v>
      </c>
      <c r="D133">
        <f>D86+D126-D70</f>
        <v>371.93099999999998</v>
      </c>
      <c r="E133">
        <f>E86+E126-E70</f>
        <v>384.37400000000002</v>
      </c>
      <c r="F133">
        <f t="shared" ref="F133:O133" si="57">F86+F126-F70</f>
        <v>516.18714929999999</v>
      </c>
      <c r="G133">
        <f t="shared" si="57"/>
        <v>549.93713173799995</v>
      </c>
      <c r="H133">
        <f t="shared" si="57"/>
        <v>594.14566584700003</v>
      </c>
      <c r="I133">
        <f t="shared" si="57"/>
        <v>651.03795265810004</v>
      </c>
      <c r="J133">
        <f t="shared" si="57"/>
        <v>708.32951941870999</v>
      </c>
      <c r="K133">
        <f t="shared" si="57"/>
        <v>765.14734684268103</v>
      </c>
      <c r="L133">
        <f t="shared" si="57"/>
        <v>820.4802233304041</v>
      </c>
      <c r="M133">
        <f t="shared" si="57"/>
        <v>873.77471675713161</v>
      </c>
      <c r="N133">
        <f t="shared" si="57"/>
        <v>924.96977092000543</v>
      </c>
      <c r="O133">
        <f t="shared" si="57"/>
        <v>973.91913988071576</v>
      </c>
    </row>
    <row r="134" spans="1:15" ht="15" customHeight="1" x14ac:dyDescent="0.45">
      <c r="B134" t="s">
        <v>147</v>
      </c>
      <c r="E134" s="62">
        <f>E132/AVERAGE(D133:E133)</f>
        <v>0.17362385861276272</v>
      </c>
      <c r="F134" s="62">
        <f t="shared" ref="F134:O134" si="58">F132/AVERAGE(E133:F133)</f>
        <v>0.13354124202834963</v>
      </c>
      <c r="G134" s="62">
        <f t="shared" si="58"/>
        <v>0.11922290348011456</v>
      </c>
      <c r="H134" s="62">
        <f t="shared" si="58"/>
        <v>0.13294572618088826</v>
      </c>
      <c r="I134" s="62">
        <f t="shared" si="58"/>
        <v>0.13006398602194322</v>
      </c>
      <c r="J134" s="62">
        <f t="shared" si="58"/>
        <v>0.12335570859865709</v>
      </c>
      <c r="K134" s="62">
        <f t="shared" si="58"/>
        <v>0.11684286292992832</v>
      </c>
      <c r="L134" s="62">
        <f t="shared" si="58"/>
        <v>0.11047048689377242</v>
      </c>
      <c r="M134" s="62">
        <f t="shared" si="58"/>
        <v>0.10485727092017022</v>
      </c>
      <c r="N134" s="62">
        <f t="shared" si="58"/>
        <v>0.10044750892158541</v>
      </c>
      <c r="O134" s="62">
        <f t="shared" si="58"/>
        <v>9.6969178653223673E-2</v>
      </c>
    </row>
    <row r="135" spans="1:15" ht="15" customHeight="1" x14ac:dyDescent="0.45">
      <c r="A135" s="16" t="s">
        <v>112</v>
      </c>
    </row>
  </sheetData>
  <printOptions headings="1" gridLines="1"/>
  <pageMargins left="0.7" right="0.7" top="0.75" bottom="0.75" header="0.3" footer="0.3"/>
  <pageSetup paperSize="9" scale="67" orientation="landscape" r:id="rId1"/>
  <headerFooter>
    <oddHeader xml:space="preserve">&amp;R&amp;10&amp;F 
&amp;A
</oddHeader>
    <oddFooter>&amp;L&amp;10© 2016&amp;C&amp;10Page &amp;P of &amp;N&amp;R&amp;G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4" ma:contentTypeDescription="Create a new document." ma:contentTypeScope="" ma:versionID="6c89911dbbba69f85380b0cbe19a7a97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293c7e17b22c7855182087285b20e1b3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</documentManagement>
</p:properties>
</file>

<file path=customXml/itemProps1.xml><?xml version="1.0" encoding="utf-8"?>
<ds:datastoreItem xmlns:ds="http://schemas.openxmlformats.org/officeDocument/2006/customXml" ds:itemID="{A673069E-5238-4B69-A02B-91CAFEF45FF4}"/>
</file>

<file path=customXml/itemProps2.xml><?xml version="1.0" encoding="utf-8"?>
<ds:datastoreItem xmlns:ds="http://schemas.openxmlformats.org/officeDocument/2006/customXml" ds:itemID="{D41CB0D5-23D1-4EB0-9DCD-3BCC97A8D159}"/>
</file>

<file path=customXml/itemProps3.xml><?xml version="1.0" encoding="utf-8"?>
<ds:datastoreItem xmlns:ds="http://schemas.openxmlformats.org/officeDocument/2006/customXml" ds:itemID="{EA20C808-C809-40C2-B629-131991DE8319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Welcome</vt:lpstr>
      <vt:lpstr>Info</vt:lpstr>
      <vt:lpstr>Model 1 Assumptions</vt:lpstr>
      <vt:lpstr>Model 1</vt:lpstr>
      <vt:lpstr>switch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</dc:creator>
  <cp:lastModifiedBy>Gerard Kelly</cp:lastModifiedBy>
  <cp:lastPrinted>2016-02-04T14:08:33Z</cp:lastPrinted>
  <dcterms:created xsi:type="dcterms:W3CDTF">2016-02-03T14:06:14Z</dcterms:created>
  <dcterms:modified xsi:type="dcterms:W3CDTF">2023-01-18T16:51:31Z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0x0101004F002F8CDD7ACF40A6C36B1C9FA62C55</vt:lpwstr>
  </property>
  <property fmtid="{D5CDD505-2E9C-101B-9397-08002B2CF9AE}" pid="3" name="MediaServiceImageTags">
    <vt:lpwstr/>
  </property>
</Properties>
</file>