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gerard_kelly_fe_training/Documents/Gerard Kelly/Gerard's/Non C/Material - Create Proof Glitch/Elearn/3050 Cash Sweep/11 Model - Cash to Service Debt/"/>
    </mc:Choice>
  </mc:AlternateContent>
  <xr:revisionPtr revIDLastSave="19" documentId="8_{1674E09A-EE9C-48B5-A6E8-4D509FB6330C}" xr6:coauthVersionLast="47" xr6:coauthVersionMax="47" xr10:uidLastSave="{47598E9A-A75F-4E7E-99DD-1B5CE7B9884B}"/>
  <bookViews>
    <workbookView xWindow="8730" yWindow="-16530" windowWidth="19965" windowHeight="13185" xr2:uid="{00000000-000D-0000-FFFF-FFFF00000000}"/>
  </bookViews>
  <sheets>
    <sheet name="Welcome" sheetId="1" r:id="rId1"/>
    <sheet name="Info" sheetId="6" r:id="rId2"/>
    <sheet name="Model 1" sheetId="2" r:id="rId3"/>
  </sheets>
  <definedNames>
    <definedName name="_xlnm.Print_Area" localSheetId="2">'Model 1'!$A$1:$P$221</definedName>
    <definedName name="_xlnm.Print_Titles" localSheetId="2">'Model 1'!$1:$2</definedName>
    <definedName name="switch">Info!$N$10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2" i="2" l="1"/>
  <c r="I212" i="2"/>
  <c r="H212" i="2"/>
  <c r="G212" i="2"/>
  <c r="F212" i="2"/>
  <c r="E212" i="2"/>
  <c r="J211" i="2"/>
  <c r="I211" i="2"/>
  <c r="H211" i="2"/>
  <c r="G211" i="2"/>
  <c r="F211" i="2"/>
  <c r="E211" i="2"/>
  <c r="E126" i="2" l="1"/>
  <c r="F89" i="2"/>
  <c r="E64" i="2" l="1"/>
  <c r="H89" i="2"/>
  <c r="I89" i="2"/>
  <c r="J89" i="2"/>
  <c r="G134" i="2"/>
  <c r="H134" i="2"/>
  <c r="I134" i="2"/>
  <c r="J134" i="2"/>
  <c r="G89" i="2"/>
  <c r="G29" i="2"/>
  <c r="G67" i="2" s="1"/>
  <c r="H29" i="2"/>
  <c r="H67" i="2" s="1"/>
  <c r="H108" i="2" s="1"/>
  <c r="I29" i="2"/>
  <c r="I67" i="2" s="1"/>
  <c r="I108" i="2" s="1"/>
  <c r="J29" i="2"/>
  <c r="J67" i="2" s="1"/>
  <c r="J108" i="2" s="1"/>
  <c r="G34" i="2"/>
  <c r="H34" i="2"/>
  <c r="I34" i="2"/>
  <c r="J34" i="2"/>
  <c r="G40" i="2"/>
  <c r="H40" i="2"/>
  <c r="I40" i="2"/>
  <c r="J40" i="2"/>
  <c r="E96" i="2"/>
  <c r="H110" i="2" l="1"/>
  <c r="J110" i="2"/>
  <c r="I110" i="2"/>
  <c r="G108" i="2"/>
  <c r="E97" i="2"/>
  <c r="F134" i="2" l="1"/>
  <c r="A7" i="1" l="1"/>
  <c r="F46" i="2" l="1"/>
  <c r="G46" i="2" s="1"/>
  <c r="E15" i="2"/>
  <c r="D15" i="2"/>
  <c r="H46" i="2" l="1"/>
  <c r="F87" i="2"/>
  <c r="G87" i="2" s="1"/>
  <c r="H87" i="2" s="1"/>
  <c r="I87" i="2" s="1"/>
  <c r="J87" i="2" s="1"/>
  <c r="I46" i="2" l="1"/>
  <c r="D53" i="2"/>
  <c r="E53" i="2"/>
  <c r="C53" i="2"/>
  <c r="E48" i="2"/>
  <c r="E47" i="2"/>
  <c r="D48" i="2"/>
  <c r="D47" i="2"/>
  <c r="C48" i="2"/>
  <c r="C47" i="2"/>
  <c r="H16" i="2"/>
  <c r="H47" i="2" s="1"/>
  <c r="H72" i="2" s="1"/>
  <c r="I16" i="2"/>
  <c r="I47" i="2" s="1"/>
  <c r="J16" i="2"/>
  <c r="J47" i="2" s="1"/>
  <c r="G16" i="2"/>
  <c r="G47" i="2" s="1"/>
  <c r="G72" i="2" s="1"/>
  <c r="F16" i="2"/>
  <c r="E8" i="2"/>
  <c r="E93" i="2"/>
  <c r="G121" i="2" l="1"/>
  <c r="G146" i="2"/>
  <c r="H146" i="2"/>
  <c r="H121" i="2"/>
  <c r="J46" i="2"/>
  <c r="J72" i="2" s="1"/>
  <c r="I72" i="2"/>
  <c r="E24" i="2"/>
  <c r="E7" i="2" s="1"/>
  <c r="E34" i="2"/>
  <c r="D34" i="2"/>
  <c r="C24" i="2"/>
  <c r="D24" i="2"/>
  <c r="E83" i="2"/>
  <c r="E90" i="2" s="1"/>
  <c r="D97" i="2"/>
  <c r="D93" i="2"/>
  <c r="I121" i="2" l="1"/>
  <c r="I146" i="2"/>
  <c r="J146" i="2"/>
  <c r="J121" i="2"/>
  <c r="B195" i="2"/>
  <c r="E92" i="2"/>
  <c r="F149" i="2"/>
  <c r="F86" i="2"/>
  <c r="G86" i="2" s="1"/>
  <c r="F81" i="2"/>
  <c r="D76" i="2"/>
  <c r="C76" i="2"/>
  <c r="D75" i="2"/>
  <c r="E75" i="2"/>
  <c r="C75" i="2"/>
  <c r="E73" i="2"/>
  <c r="F70" i="2" s="1"/>
  <c r="E68" i="2"/>
  <c r="F66" i="2" s="1"/>
  <c r="F61" i="2"/>
  <c r="D58" i="2"/>
  <c r="E58" i="2"/>
  <c r="C58" i="2"/>
  <c r="D57" i="2"/>
  <c r="C57" i="2"/>
  <c r="D55" i="2"/>
  <c r="E55" i="2"/>
  <c r="C55" i="2"/>
  <c r="E54" i="2"/>
  <c r="D54" i="2"/>
  <c r="D52" i="2"/>
  <c r="E52" i="2"/>
  <c r="C52" i="2"/>
  <c r="E51" i="2"/>
  <c r="D51" i="2"/>
  <c r="F40" i="2"/>
  <c r="F34" i="2"/>
  <c r="F29" i="2"/>
  <c r="F67" i="2" s="1"/>
  <c r="F108" i="2" s="1"/>
  <c r="F28" i="2"/>
  <c r="F63" i="2" s="1"/>
  <c r="F107" i="2" s="1"/>
  <c r="F20" i="2"/>
  <c r="F82" i="2" s="1"/>
  <c r="D16" i="2"/>
  <c r="E16" i="2"/>
  <c r="D17" i="2"/>
  <c r="E17" i="2"/>
  <c r="C17" i="2"/>
  <c r="C16" i="2"/>
  <c r="D14" i="2"/>
  <c r="E14" i="2"/>
  <c r="C14" i="2"/>
  <c r="D11" i="2"/>
  <c r="E11" i="2"/>
  <c r="C11" i="2"/>
  <c r="D10" i="2"/>
  <c r="E10" i="2"/>
  <c r="C10" i="2"/>
  <c r="E9" i="2"/>
  <c r="D9" i="2"/>
  <c r="D8" i="2"/>
  <c r="C8" i="2"/>
  <c r="D7" i="2"/>
  <c r="C7" i="2"/>
  <c r="D6" i="2"/>
  <c r="E6" i="2"/>
  <c r="C6" i="2"/>
  <c r="E5" i="2"/>
  <c r="D5" i="2"/>
  <c r="D94" i="2"/>
  <c r="C94" i="2"/>
  <c r="C98" i="2" s="1"/>
  <c r="C101" i="2" s="1"/>
  <c r="D83" i="2"/>
  <c r="D90" i="2" s="1"/>
  <c r="C83" i="2"/>
  <c r="C90" i="2" s="1"/>
  <c r="E22" i="2"/>
  <c r="D22" i="2"/>
  <c r="D26" i="2" s="1"/>
  <c r="C22" i="2"/>
  <c r="C26" i="2" s="1"/>
  <c r="F47" i="2"/>
  <c r="G81" i="2" l="1"/>
  <c r="G20" i="2"/>
  <c r="G116" i="2"/>
  <c r="H86" i="2"/>
  <c r="F110" i="2"/>
  <c r="G110" i="2"/>
  <c r="F116" i="2"/>
  <c r="F115" i="2"/>
  <c r="F62" i="2"/>
  <c r="F114" i="2" s="1"/>
  <c r="E26" i="2"/>
  <c r="E94" i="2"/>
  <c r="F124" i="2"/>
  <c r="C77" i="2"/>
  <c r="F72" i="2"/>
  <c r="D77" i="2"/>
  <c r="F68" i="2"/>
  <c r="G66" i="2" s="1"/>
  <c r="G68" i="2" s="1"/>
  <c r="F97" i="2"/>
  <c r="F111" i="2" s="1"/>
  <c r="F93" i="2"/>
  <c r="F21" i="2"/>
  <c r="F22" i="2" s="1"/>
  <c r="F25" i="2"/>
  <c r="F24" i="2"/>
  <c r="C103" i="2"/>
  <c r="D98" i="2"/>
  <c r="D101" i="2" s="1"/>
  <c r="D103" i="2" s="1"/>
  <c r="F17" i="2"/>
  <c r="C35" i="2"/>
  <c r="C30" i="2"/>
  <c r="D30" i="2"/>
  <c r="D35" i="2"/>
  <c r="I86" i="2" l="1"/>
  <c r="H116" i="2"/>
  <c r="H66" i="2"/>
  <c r="H68" i="2" s="1"/>
  <c r="G88" i="2"/>
  <c r="H20" i="2"/>
  <c r="G24" i="2"/>
  <c r="G82" i="2"/>
  <c r="G75" i="2" s="1"/>
  <c r="G25" i="2"/>
  <c r="G62" i="2"/>
  <c r="G114" i="2" s="1"/>
  <c r="G117" i="2" s="1"/>
  <c r="G145" i="2" s="1"/>
  <c r="G21" i="2"/>
  <c r="G22" i="2" s="1"/>
  <c r="G93" i="2"/>
  <c r="G76" i="2" s="1"/>
  <c r="G97" i="2"/>
  <c r="G111" i="2" s="1"/>
  <c r="H81" i="2"/>
  <c r="H115" i="2" s="1"/>
  <c r="G115" i="2"/>
  <c r="E30" i="2"/>
  <c r="E35" i="2"/>
  <c r="E12" i="2" s="1"/>
  <c r="F146" i="2"/>
  <c r="F121" i="2"/>
  <c r="F117" i="2"/>
  <c r="F145" i="2" s="1"/>
  <c r="E98" i="2"/>
  <c r="E101" i="2" s="1"/>
  <c r="E103" i="2" s="1"/>
  <c r="E76" i="2"/>
  <c r="E77" i="2" s="1"/>
  <c r="E57" i="2"/>
  <c r="F88" i="2"/>
  <c r="F64" i="2"/>
  <c r="G61" i="2" s="1"/>
  <c r="F26" i="2"/>
  <c r="F76" i="2"/>
  <c r="F75" i="2"/>
  <c r="G17" i="2"/>
  <c r="G48" i="2" s="1"/>
  <c r="F48" i="2"/>
  <c r="D38" i="2"/>
  <c r="D12" i="2"/>
  <c r="C38" i="2"/>
  <c r="C12" i="2"/>
  <c r="G26" i="2" l="1"/>
  <c r="J86" i="2"/>
  <c r="J116" i="2" s="1"/>
  <c r="I81" i="2"/>
  <c r="I115" i="2" s="1"/>
  <c r="H82" i="2"/>
  <c r="H75" i="2" s="1"/>
  <c r="H93" i="2"/>
  <c r="H76" i="2" s="1"/>
  <c r="H62" i="2"/>
  <c r="H114" i="2" s="1"/>
  <c r="H117" i="2" s="1"/>
  <c r="H145" i="2" s="1"/>
  <c r="H97" i="2"/>
  <c r="H111" i="2" s="1"/>
  <c r="H24" i="2"/>
  <c r="H25" i="2"/>
  <c r="I20" i="2"/>
  <c r="H21" i="2"/>
  <c r="H22" i="2" s="1"/>
  <c r="G77" i="2"/>
  <c r="I66" i="2"/>
  <c r="I68" i="2" s="1"/>
  <c r="H88" i="2"/>
  <c r="I116" i="2"/>
  <c r="E38" i="2"/>
  <c r="H17" i="2"/>
  <c r="H48" i="2" s="1"/>
  <c r="F85" i="2"/>
  <c r="G28" i="2" s="1"/>
  <c r="F30" i="2"/>
  <c r="F77" i="2"/>
  <c r="G109" i="2" s="1"/>
  <c r="D41" i="2"/>
  <c r="C41" i="2"/>
  <c r="H26" i="2" l="1"/>
  <c r="H77" i="2"/>
  <c r="I62" i="2"/>
  <c r="I114" i="2" s="1"/>
  <c r="I117" i="2" s="1"/>
  <c r="I145" i="2" s="1"/>
  <c r="I97" i="2"/>
  <c r="I111" i="2" s="1"/>
  <c r="I82" i="2"/>
  <c r="I75" i="2" s="1"/>
  <c r="I93" i="2"/>
  <c r="I76" i="2" s="1"/>
  <c r="I21" i="2"/>
  <c r="I22" i="2" s="1"/>
  <c r="I25" i="2"/>
  <c r="J20" i="2"/>
  <c r="I24" i="2"/>
  <c r="J81" i="2"/>
  <c r="I88" i="2"/>
  <c r="J66" i="2"/>
  <c r="J68" i="2" s="1"/>
  <c r="J88" i="2" s="1"/>
  <c r="G63" i="2"/>
  <c r="G30" i="2"/>
  <c r="E41" i="2"/>
  <c r="F109" i="2"/>
  <c r="I17" i="2"/>
  <c r="I48" i="2" s="1"/>
  <c r="I26" i="2" l="1"/>
  <c r="I77" i="2"/>
  <c r="J115" i="2"/>
  <c r="J82" i="2"/>
  <c r="J75" i="2" s="1"/>
  <c r="J62" i="2"/>
  <c r="J114" i="2" s="1"/>
  <c r="J97" i="2"/>
  <c r="J111" i="2" s="1"/>
  <c r="J93" i="2"/>
  <c r="J76" i="2" s="1"/>
  <c r="J21" i="2"/>
  <c r="J22" i="2" s="1"/>
  <c r="J24" i="2"/>
  <c r="J25" i="2"/>
  <c r="H109" i="2"/>
  <c r="G107" i="2"/>
  <c r="G64" i="2"/>
  <c r="J17" i="2"/>
  <c r="J48" i="2" s="1"/>
  <c r="J26" i="2" l="1"/>
  <c r="I109" i="2"/>
  <c r="J77" i="2"/>
  <c r="J117" i="2"/>
  <c r="J145" i="2" s="1"/>
  <c r="H61" i="2"/>
  <c r="G85" i="2"/>
  <c r="J109" i="2" l="1"/>
  <c r="H28" i="2"/>
  <c r="H63" i="2" s="1"/>
  <c r="H107" i="2" s="1"/>
  <c r="H64" i="2" l="1"/>
  <c r="H30" i="2"/>
  <c r="I61" i="2" l="1"/>
  <c r="H85" i="2"/>
  <c r="I28" i="2" l="1"/>
  <c r="I63" i="2" s="1"/>
  <c r="I107" i="2" l="1"/>
  <c r="I64" i="2"/>
  <c r="I30" i="2"/>
  <c r="J61" i="2" l="1"/>
  <c r="I85" i="2"/>
  <c r="J28" i="2" l="1"/>
  <c r="J63" i="2" s="1"/>
  <c r="J107" i="2" l="1"/>
  <c r="J64" i="2"/>
  <c r="J85" i="2" s="1"/>
  <c r="J30" i="2"/>
  <c r="E2" i="2" l="1"/>
  <c r="A1" i="6"/>
  <c r="D2" i="2" l="1"/>
  <c r="C2" i="2" s="1"/>
  <c r="F2" i="2" l="1"/>
  <c r="G2" i="2" s="1"/>
  <c r="H2" i="2" s="1"/>
  <c r="I2" i="2" s="1"/>
  <c r="J2" i="2" s="1"/>
  <c r="H35" i="2" l="1"/>
  <c r="I35" i="2"/>
  <c r="J35" i="2"/>
  <c r="G35" i="2"/>
  <c r="G37" i="2"/>
  <c r="F35" i="2"/>
  <c r="F37" i="2" s="1"/>
  <c r="G38" i="2" l="1"/>
  <c r="G41" i="2" s="1"/>
  <c r="G71" i="2" s="1"/>
  <c r="G106" i="2" s="1"/>
  <c r="G112" i="2" s="1"/>
  <c r="I37" i="2"/>
  <c r="I38" i="2" s="1"/>
  <c r="I41" i="2" s="1"/>
  <c r="G43" i="2"/>
  <c r="F38" i="2"/>
  <c r="F41" i="2" s="1"/>
  <c r="J37" i="2"/>
  <c r="J38" i="2"/>
  <c r="J41" i="2" s="1"/>
  <c r="H37" i="2"/>
  <c r="H38" i="2" s="1"/>
  <c r="H41" i="2" s="1"/>
  <c r="I43" i="2" l="1"/>
  <c r="I71" i="2"/>
  <c r="I106" i="2" s="1"/>
  <c r="I112" i="2" s="1"/>
  <c r="F43" i="2"/>
  <c r="F71" i="2"/>
  <c r="G144" i="2"/>
  <c r="G147" i="2" s="1"/>
  <c r="G45" i="2"/>
  <c r="J43" i="2"/>
  <c r="J71" i="2"/>
  <c r="J106" i="2" s="1"/>
  <c r="J112" i="2" s="1"/>
  <c r="H43" i="2"/>
  <c r="H71" i="2"/>
  <c r="H106" i="2" s="1"/>
  <c r="H112" i="2" s="1"/>
  <c r="F45" i="2" l="1"/>
  <c r="F73" i="2"/>
  <c r="F106" i="2"/>
  <c r="F112" i="2" s="1"/>
  <c r="H45" i="2"/>
  <c r="J144" i="2"/>
  <c r="J147" i="2" s="1"/>
  <c r="I144" i="2"/>
  <c r="I147" i="2" s="1"/>
  <c r="H144" i="2"/>
  <c r="H147" i="2" s="1"/>
  <c r="J45" i="2"/>
  <c r="I45" i="2"/>
  <c r="F144" i="2" l="1"/>
  <c r="F147" i="2" s="1"/>
  <c r="F100" i="2"/>
  <c r="G70" i="2"/>
  <c r="G73" i="2" s="1"/>
  <c r="F150" i="2" l="1"/>
  <c r="G100" i="2"/>
  <c r="H70" i="2"/>
  <c r="H73" i="2" s="1"/>
  <c r="H100" i="2" l="1"/>
  <c r="I70" i="2"/>
  <c r="I73" i="2" s="1"/>
  <c r="I100" i="2" l="1"/>
  <c r="J70" i="2"/>
  <c r="J73" i="2" s="1"/>
  <c r="J100" i="2" s="1"/>
  <c r="F119" i="2" l="1"/>
  <c r="F94" i="2"/>
  <c r="F120" i="2" l="1"/>
  <c r="F122" i="2" s="1"/>
  <c r="F125" i="2" s="1"/>
  <c r="F126" i="2" s="1"/>
  <c r="G124" i="2" l="1"/>
  <c r="F128" i="2"/>
  <c r="F80" i="2" s="1"/>
  <c r="F98" i="2"/>
  <c r="F101" i="2" s="1"/>
  <c r="F83" i="2" l="1"/>
  <c r="F90" i="2" s="1"/>
  <c r="F103" i="2" s="1"/>
  <c r="G149" i="2"/>
  <c r="G150" i="2" s="1"/>
  <c r="G94" i="2" l="1"/>
  <c r="G119" i="2"/>
  <c r="G120" i="2" l="1"/>
  <c r="G122" i="2" s="1"/>
  <c r="G125" i="2" s="1"/>
  <c r="G126" i="2" s="1"/>
  <c r="G98" i="2"/>
  <c r="G101" i="2" s="1"/>
  <c r="H124" i="2" l="1"/>
  <c r="G128" i="2"/>
  <c r="G80" i="2" s="1"/>
  <c r="H149" i="2" l="1"/>
  <c r="H150" i="2" s="1"/>
  <c r="G83" i="2"/>
  <c r="G90" i="2" s="1"/>
  <c r="G103" i="2" s="1"/>
  <c r="H94" i="2" l="1"/>
  <c r="H119" i="2"/>
  <c r="H120" i="2" l="1"/>
  <c r="H122" i="2" s="1"/>
  <c r="H125" i="2" s="1"/>
  <c r="H126" i="2" s="1"/>
  <c r="H98" i="2"/>
  <c r="H101" i="2" s="1"/>
  <c r="I124" i="2" l="1"/>
  <c r="H128" i="2"/>
  <c r="H80" i="2" s="1"/>
  <c r="I149" i="2" l="1"/>
  <c r="I150" i="2" s="1"/>
  <c r="H83" i="2"/>
  <c r="H90" i="2" s="1"/>
  <c r="H103" i="2" s="1"/>
  <c r="I119" i="2" l="1"/>
  <c r="I94" i="2"/>
  <c r="I120" i="2" l="1"/>
  <c r="I122" i="2" s="1"/>
  <c r="I125" i="2" s="1"/>
  <c r="I126" i="2" s="1"/>
  <c r="I98" i="2"/>
  <c r="I101" i="2" s="1"/>
  <c r="J124" i="2" l="1"/>
  <c r="I128" i="2"/>
  <c r="I80" i="2" s="1"/>
  <c r="I83" i="2" l="1"/>
  <c r="I90" i="2" s="1"/>
  <c r="I103" i="2" s="1"/>
  <c r="J149" i="2"/>
  <c r="J150" i="2" s="1"/>
  <c r="J119" i="2" l="1"/>
  <c r="J94" i="2"/>
  <c r="J120" i="2" l="1"/>
  <c r="J122" i="2" s="1"/>
  <c r="J125" i="2" s="1"/>
  <c r="J126" i="2" s="1"/>
  <c r="J128" i="2" l="1"/>
  <c r="J80" i="2" s="1"/>
  <c r="J83" i="2" s="1"/>
  <c r="J90" i="2" s="1"/>
  <c r="J98" i="2"/>
  <c r="J101" i="2" s="1"/>
  <c r="J103" i="2" l="1"/>
</calcChain>
</file>

<file path=xl/sharedStrings.xml><?xml version="1.0" encoding="utf-8"?>
<sst xmlns="http://schemas.openxmlformats.org/spreadsheetml/2006/main" count="219" uniqueCount="179">
  <si>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</si>
  <si>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</si>
  <si>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</si>
  <si>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</si>
  <si>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</si>
  <si>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</si>
  <si>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</si>
  <si>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</si>
  <si>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</si>
  <si>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</si>
  <si>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</si>
  <si>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</si>
  <si>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</si>
  <si>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Hist.</t>
  </si>
  <si>
    <t>Proj.</t>
  </si>
  <si>
    <t>Formatting</t>
  </si>
  <si>
    <t>Input</t>
  </si>
  <si>
    <t>Hard coded</t>
  </si>
  <si>
    <t>Formulas</t>
  </si>
  <si>
    <t>Workout Information</t>
  </si>
  <si>
    <t>Tab Structure</t>
  </si>
  <si>
    <t>Modeling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</si>
  <si>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</si>
  <si>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</si>
  <si>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</si>
  <si>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</si>
  <si>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Revenue growth</t>
  </si>
  <si>
    <t>Income Statement</t>
  </si>
  <si>
    <t>Revenues</t>
  </si>
  <si>
    <t>Net income</t>
  </si>
  <si>
    <t>Balance Sheet</t>
  </si>
  <si>
    <t>Total assets</t>
  </si>
  <si>
    <t>Total liabilities</t>
  </si>
  <si>
    <t>Total liabilities and equity</t>
  </si>
  <si>
    <t>Net cash flow</t>
  </si>
  <si>
    <t>Beginning cash and cash equivalents</t>
  </si>
  <si>
    <t>Ending cash and cash equivalents</t>
  </si>
  <si>
    <t>Model 2</t>
  </si>
  <si>
    <t>Model 1</t>
  </si>
  <si>
    <t>Dealing with circular references</t>
  </si>
  <si>
    <t>Income Statement Assumptions</t>
  </si>
  <si>
    <t>Balance Sheet Assumptions</t>
  </si>
  <si>
    <t>EBITDA</t>
  </si>
  <si>
    <t>EBIT</t>
  </si>
  <si>
    <t>Interest income</t>
  </si>
  <si>
    <t>Interest expense</t>
  </si>
  <si>
    <t>Earnings before tax</t>
  </si>
  <si>
    <t>Long term debt</t>
  </si>
  <si>
    <t>Net Debt and Interest Assumptions</t>
  </si>
  <si>
    <t>Balance Sheet Calculations</t>
  </si>
  <si>
    <t>Cash Flow Statement</t>
  </si>
  <si>
    <t>Net Debt and Interest Calculations</t>
  </si>
  <si>
    <t>EBIT margin</t>
  </si>
  <si>
    <t>Capex % revenues</t>
  </si>
  <si>
    <t>Capex</t>
  </si>
  <si>
    <t>Beginning equity</t>
  </si>
  <si>
    <t>Dividends</t>
  </si>
  <si>
    <t>Ending equity</t>
  </si>
  <si>
    <t>OWC</t>
  </si>
  <si>
    <t>OWC % revenues</t>
  </si>
  <si>
    <t>Cash and cash equivalents interest rate</t>
  </si>
  <si>
    <t>Cash available to service debt</t>
  </si>
  <si>
    <t>Cash flow generated to service debt</t>
  </si>
  <si>
    <t>Change in OWC</t>
  </si>
  <si>
    <t>Net Debt and Interest Statistics</t>
  </si>
  <si>
    <t>Net debt</t>
  </si>
  <si>
    <t>Net debt / EBITDA</t>
  </si>
  <si>
    <t>EBITDA / interest expense</t>
  </si>
  <si>
    <t>Net debt / net debt + equity</t>
  </si>
  <si>
    <t>EBITDA margin</t>
  </si>
  <si>
    <t>Cash sweep modeling</t>
  </si>
  <si>
    <t>COGS % revenues</t>
  </si>
  <si>
    <t>SG&amp;A costs % revenues</t>
  </si>
  <si>
    <t>R&amp;D expenses % revenues</t>
  </si>
  <si>
    <t>Depreciation % beginning net PP&amp;E</t>
  </si>
  <si>
    <t>Effective tax rate</t>
  </si>
  <si>
    <t>Marginal tax rate</t>
  </si>
  <si>
    <t>Earnings from discontinued operations</t>
  </si>
  <si>
    <t>Dividends per share</t>
  </si>
  <si>
    <t>Basic WASO</t>
  </si>
  <si>
    <t>Diluted WASO</t>
  </si>
  <si>
    <t>Cost of goods sold</t>
  </si>
  <si>
    <t>Gross profit</t>
  </si>
  <si>
    <t>SG&amp;A costs</t>
  </si>
  <si>
    <t>Depreciation</t>
  </si>
  <si>
    <t>Amortization</t>
  </si>
  <si>
    <t>Income tax expense</t>
  </si>
  <si>
    <t>Amortization amount</t>
  </si>
  <si>
    <t>Non recurring items amount</t>
  </si>
  <si>
    <t>R&amp;D expenses</t>
  </si>
  <si>
    <t>Non recurring items</t>
  </si>
  <si>
    <t>Earnings from continuing operations</t>
  </si>
  <si>
    <t>Earnings of discontinued operations</t>
  </si>
  <si>
    <t>Recurring net income</t>
  </si>
  <si>
    <t>Recurring diluted EPS</t>
  </si>
  <si>
    <t>Current operating assets % revenues</t>
  </si>
  <si>
    <t>Current operating liabilities % revenues</t>
  </si>
  <si>
    <t>Other non current liabilities % revenues</t>
  </si>
  <si>
    <t>Other long term assets amount</t>
  </si>
  <si>
    <t>Change in long term investments amount</t>
  </si>
  <si>
    <t>Change in short term investments amount</t>
  </si>
  <si>
    <t>Beginning PP&amp;E</t>
  </si>
  <si>
    <t>Operating working capital</t>
  </si>
  <si>
    <t>Current operating assets</t>
  </si>
  <si>
    <t>Current operating liabilities</t>
  </si>
  <si>
    <t>Ending PP&amp;E</t>
  </si>
  <si>
    <t>Cash and equivalents</t>
  </si>
  <si>
    <t>Short-term investments</t>
  </si>
  <si>
    <t>Net PP&amp;E</t>
  </si>
  <si>
    <t>Goodwill</t>
  </si>
  <si>
    <t>Other intangibles</t>
  </si>
  <si>
    <t>Total equity</t>
  </si>
  <si>
    <t>Check?</t>
  </si>
  <si>
    <t>Total current assets</t>
  </si>
  <si>
    <t>Long term Investments</t>
  </si>
  <si>
    <t>Other long term assets</t>
  </si>
  <si>
    <t>Short term borrowings</t>
  </si>
  <si>
    <t>Total current liabilities</t>
  </si>
  <si>
    <t>Other non current liabilities</t>
  </si>
  <si>
    <t>Short term borrowings interest rate</t>
  </si>
  <si>
    <t>Change in other long term assets</t>
  </si>
  <si>
    <t>Change in other non current liabilities</t>
  </si>
  <si>
    <t>Change in short term investments</t>
  </si>
  <si>
    <t>Change in long term investments</t>
  </si>
  <si>
    <t>Total mandatory debt repayments</t>
  </si>
  <si>
    <t>Mandatory repayment</t>
  </si>
  <si>
    <t>Interest rate</t>
  </si>
  <si>
    <t>Total interest expense</t>
  </si>
  <si>
    <t>Beginning short term borrowings</t>
  </si>
  <si>
    <t>Short term borrowings issuance (repayment)</t>
  </si>
  <si>
    <t>Total debt</t>
  </si>
  <si>
    <t>(Dividends)</t>
  </si>
  <si>
    <t>Cash from financing</t>
  </si>
  <si>
    <t>Net change in cash</t>
  </si>
  <si>
    <t>Cash flow from operations</t>
  </si>
  <si>
    <t>Cash from investing activities</t>
  </si>
  <si>
    <t>Change in short term borrowings</t>
  </si>
  <si>
    <t>Change in long term debt</t>
  </si>
  <si>
    <t>Recurring NI margin</t>
  </si>
  <si>
    <t>PP&amp;E % revenue</t>
  </si>
  <si>
    <t>Total debt / EBITDA</t>
  </si>
  <si>
    <t>Acceleration switch</t>
  </si>
  <si>
    <t>Accelerated repayment</t>
  </si>
  <si>
    <t>Cash available for accelerated repayments</t>
  </si>
  <si>
    <t>Ending short term borrowings</t>
  </si>
  <si>
    <t>Dividends per share growth</t>
  </si>
  <si>
    <t>Long term debt (including currently due)</t>
  </si>
  <si>
    <t>End</t>
  </si>
  <si>
    <t>Balance Sheet Operating Statistics</t>
  </si>
  <si>
    <t>Income Statement Operating Statistics</t>
  </si>
  <si>
    <t>Operating cash flow</t>
  </si>
  <si>
    <t>Investing cash flow</t>
  </si>
  <si>
    <t>Cash available for remaining accelerated repayments</t>
  </si>
  <si>
    <t>Beginning other intangibles</t>
  </si>
  <si>
    <t>Ending other intangibles</t>
  </si>
  <si>
    <t>GenericCo</t>
  </si>
  <si>
    <t>Total debt repayment</t>
  </si>
  <si>
    <t>Less minimum required cash</t>
  </si>
  <si>
    <t>Surplus cash after mandatory debt repayments</t>
  </si>
  <si>
    <t>Surplus cash / (short term borrowing requirement)</t>
  </si>
  <si>
    <t>Minimum cash % revenues</t>
  </si>
  <si>
    <t>Ending cash balance</t>
  </si>
  <si>
    <t>Beginning cash balance</t>
  </si>
  <si>
    <t>Total interest earning assets</t>
  </si>
  <si>
    <t>3.125% bond repayment</t>
  </si>
  <si>
    <t>3.125% bond interest rate</t>
  </si>
  <si>
    <t>6.375% term loan repayment</t>
  </si>
  <si>
    <t>4.625% term loan repayment</t>
  </si>
  <si>
    <t>4.625% term loan interest rate</t>
  </si>
  <si>
    <t>6.375% term loan interest rate</t>
  </si>
  <si>
    <t>Beginning 4.625% term loan</t>
  </si>
  <si>
    <t>Ending 4.625% term loan</t>
  </si>
  <si>
    <t>Beginning 3.125% bond</t>
  </si>
  <si>
    <t>Ending 3.125% bond</t>
  </si>
  <si>
    <t>Beginning 6.375% term loan</t>
  </si>
  <si>
    <t>Ending 6.375% term loan</t>
  </si>
  <si>
    <t>Cash Sweep Modeling</t>
  </si>
  <si>
    <t>GenericCo1</t>
  </si>
  <si>
    <t>Remaining cash available for accelerated repayments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</si>
</sst>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#,##0.0_);\(#,##0.0\);0.0_);@_)"/>
    <numFmt numFmtId="174" formatCode="#,##0.0_);\(#,##0.0\)"/>
    <numFmt numFmtId="175" formatCode="#,##0.00_);\(#,##0.00\)"/>
    <numFmt numFmtId="176" formatCode="#,##0.00_);\(#,##0.00\);0.00_);@_)"/>
    <numFmt numFmtId="177" formatCode="#,##0_);\(#,##0\)"/>
    <numFmt numFmtId="178" formatCode="#,##0.0\ \x_);\(#,##0.0\ \x\);0.0\ \x_)"/>
    <numFmt numFmtId="179" formatCode="#,##0.0\ \x_);\(#,##0.0\ \x\)"/>
  </numFmts>
  <fonts count="33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2">
    <xf numFmtId="173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68" fontId="29" fillId="0" borderId="0" applyFont="0" applyFill="0" applyBorder="0" applyAlignment="0" applyProtection="0"/>
    <xf numFmtId="179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</cellStyleXfs>
  <cellXfs count="86">
    <xf numFmtId="173" fontId="0" fillId="0" borderId="0" xfId="0"/>
    <xf numFmtId="177" fontId="30" fillId="0" borderId="0" xfId="57" applyNumberFormat="1" applyFill="1"/>
    <xf numFmtId="173" fontId="2" fillId="5" borderId="0" xfId="0" applyFont="1" applyFill="1"/>
    <xf numFmtId="173" fontId="2" fillId="4" borderId="0" xfId="0" applyFont="1" applyFill="1"/>
    <xf numFmtId="173" fontId="2" fillId="5" borderId="0" xfId="0" applyFont="1" applyFill="1" applyAlignment="1">
      <alignment vertical="top" wrapText="1"/>
    </xf>
    <xf numFmtId="173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3" fontId="25" fillId="2" borderId="0" xfId="0" applyFont="1" applyFill="1"/>
    <xf numFmtId="173" fontId="26" fillId="3" borderId="0" xfId="0" applyFont="1" applyFill="1"/>
    <xf numFmtId="173" fontId="3" fillId="5" borderId="0" xfId="0" applyFont="1" applyFill="1" applyAlignment="1">
      <alignment horizontal="center" vertical="top"/>
    </xf>
    <xf numFmtId="173" fontId="3" fillId="5" borderId="0" xfId="0" applyFont="1" applyFill="1" applyAlignment="1">
      <alignment vertical="top"/>
    </xf>
    <xf numFmtId="173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3" fontId="2" fillId="5" borderId="0" xfId="0" applyFont="1" applyFill="1" applyAlignment="1">
      <alignment horizontal="left" vertical="top"/>
    </xf>
    <xf numFmtId="173" fontId="2" fillId="5" borderId="0" xfId="0" applyFont="1" applyFill="1" applyAlignment="1">
      <alignment vertical="top"/>
    </xf>
    <xf numFmtId="173" fontId="2" fillId="0" borderId="0" xfId="0" applyFont="1" applyAlignment="1">
      <alignment vertical="top" wrapText="1"/>
    </xf>
    <xf numFmtId="173" fontId="3" fillId="0" borderId="0" xfId="0" applyFont="1" applyAlignment="1">
      <alignment vertical="top"/>
    </xf>
    <xf numFmtId="173" fontId="2" fillId="0" borderId="0" xfId="0" applyFont="1" applyAlignment="1">
      <alignment horizontal="left" wrapText="1"/>
    </xf>
    <xf numFmtId="173" fontId="2" fillId="0" borderId="0" xfId="0" applyFont="1" applyAlignment="1">
      <alignment vertical="top"/>
    </xf>
    <xf numFmtId="173" fontId="2" fillId="0" borderId="0" xfId="0" applyFont="1"/>
    <xf numFmtId="173" fontId="4" fillId="0" borderId="0" xfId="0" applyFont="1" applyAlignment="1">
      <alignment vertical="center"/>
    </xf>
    <xf numFmtId="173" fontId="5" fillId="0" borderId="0" xfId="0" applyFont="1" applyAlignment="1">
      <alignment vertical="center" wrapText="1"/>
    </xf>
    <xf numFmtId="173" fontId="2" fillId="0" borderId="0" xfId="0" applyFont="1" applyAlignment="1">
      <alignment horizontal="left" vertical="top"/>
    </xf>
    <xf numFmtId="173" fontId="3" fillId="0" borderId="0" xfId="0" applyFont="1" applyAlignment="1">
      <alignment horizontal="center" vertical="top"/>
    </xf>
    <xf numFmtId="173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3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3" fontId="3" fillId="0" borderId="0" xfId="0" applyFont="1" applyAlignment="1">
      <alignment horizontal="left" vertical="top"/>
    </xf>
    <xf numFmtId="173" fontId="3" fillId="0" borderId="0" xfId="0" applyFont="1"/>
    <xf numFmtId="173" fontId="25" fillId="0" borderId="0" xfId="0" applyFont="1"/>
    <xf numFmtId="173" fontId="26" fillId="0" borderId="0" xfId="0" applyFont="1"/>
    <xf numFmtId="170" fontId="30" fillId="0" borderId="0" xfId="57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0" applyFont="1" applyAlignment="1">
      <alignment vertical="top"/>
    </xf>
    <xf numFmtId="0" fontId="3" fillId="5" borderId="12" xfId="60" applyFont="1" applyAlignment="1">
      <alignment horizontal="center" vertical="top"/>
    </xf>
    <xf numFmtId="0" fontId="2" fillId="5" borderId="12" xfId="60" applyFont="1" applyAlignment="1"/>
    <xf numFmtId="0" fontId="5" fillId="5" borderId="12" xfId="60" applyFont="1" applyAlignment="1">
      <alignment vertical="center" wrapText="1"/>
    </xf>
    <xf numFmtId="173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0" applyFont="1" applyAlignment="1"/>
    <xf numFmtId="0" fontId="2" fillId="5" borderId="12" xfId="60" applyFont="1" applyAlignment="1">
      <alignment horizontal="left"/>
    </xf>
    <xf numFmtId="0" fontId="7" fillId="5" borderId="12" xfId="60" applyFont="1" applyAlignment="1">
      <alignment horizontal="center" vertical="center" wrapText="1"/>
    </xf>
    <xf numFmtId="0" fontId="7" fillId="5" borderId="12" xfId="60" applyFont="1" applyAlignment="1">
      <alignment vertical="center" wrapText="1"/>
    </xf>
    <xf numFmtId="170" fontId="30" fillId="37" borderId="11" xfId="59" applyNumberFormat="1">
      <protection locked="0"/>
    </xf>
    <xf numFmtId="170" fontId="2" fillId="0" borderId="0" xfId="51" applyNumberFormat="1" applyFont="1" applyFill="1" applyAlignment="1"/>
    <xf numFmtId="0" fontId="2" fillId="0" borderId="0" xfId="60" applyFont="1" applyFill="1" applyBorder="1" applyAlignment="1"/>
    <xf numFmtId="173" fontId="0" fillId="5" borderId="0" xfId="51" applyNumberFormat="1" applyFont="1" applyAlignment="1"/>
    <xf numFmtId="173" fontId="2" fillId="5" borderId="0" xfId="51" applyNumberFormat="1" applyFont="1" applyAlignment="1">
      <alignment vertical="top"/>
    </xf>
    <xf numFmtId="0" fontId="0" fillId="5" borderId="12" xfId="60" applyFont="1" applyAlignment="1"/>
    <xf numFmtId="173" fontId="4" fillId="5" borderId="0" xfId="51" applyNumberFormat="1" applyFont="1" applyAlignment="1">
      <alignment vertical="center"/>
    </xf>
    <xf numFmtId="0" fontId="3" fillId="5" borderId="12" xfId="60" applyFont="1" applyAlignment="1">
      <alignment horizontal="left" vertical="top"/>
    </xf>
    <xf numFmtId="173" fontId="4" fillId="0" borderId="0" xfId="50" applyNumberFormat="1" applyFill="1">
      <alignment horizontal="left" vertical="center"/>
    </xf>
    <xf numFmtId="173" fontId="30" fillId="0" borderId="0" xfId="57" applyNumberFormat="1" applyFill="1"/>
    <xf numFmtId="172" fontId="0" fillId="0" borderId="0" xfId="56" applyFont="1" applyFill="1"/>
    <xf numFmtId="172" fontId="30" fillId="37" borderId="11" xfId="59" applyNumberFormat="1">
      <protection locked="0"/>
    </xf>
    <xf numFmtId="179" fontId="0" fillId="0" borderId="0" xfId="55" applyFont="1"/>
    <xf numFmtId="174" fontId="30" fillId="37" borderId="11" xfId="59" applyNumberFormat="1">
      <protection locked="0"/>
    </xf>
    <xf numFmtId="175" fontId="0" fillId="0" borderId="0" xfId="0" applyNumberFormat="1"/>
    <xf numFmtId="173" fontId="9" fillId="0" borderId="0" xfId="0" applyFont="1"/>
    <xf numFmtId="174" fontId="30" fillId="0" borderId="0" xfId="57" applyNumberFormat="1" applyFill="1"/>
    <xf numFmtId="176" fontId="0" fillId="0" borderId="0" xfId="0" applyNumberFormat="1"/>
    <xf numFmtId="177" fontId="0" fillId="0" borderId="0" xfId="0" applyNumberFormat="1"/>
    <xf numFmtId="172" fontId="30" fillId="37" borderId="11" xfId="56" applyFont="1" applyFill="1" applyBorder="1" applyProtection="1">
      <protection locked="0"/>
    </xf>
    <xf numFmtId="173" fontId="0" fillId="0" borderId="0" xfId="0" applyAlignment="1">
      <alignment horizontal="right"/>
    </xf>
    <xf numFmtId="178" fontId="0" fillId="0" borderId="0" xfId="55" applyNumberFormat="1" applyFont="1"/>
    <xf numFmtId="170" fontId="32" fillId="2" borderId="0" xfId="48" applyNumberFormat="1" applyAlignment="1">
      <alignment horizontal="center"/>
    </xf>
    <xf numFmtId="173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8" applyNumberFormat="1" applyFill="1" applyBorder="1" applyAlignment="1">
      <alignment horizontal="center" vertical="center" wrapText="1"/>
    </xf>
    <xf numFmtId="173" fontId="7" fillId="0" borderId="0" xfId="0" applyFont="1" applyAlignment="1">
      <alignment horizontal="center" vertical="center" wrapText="1"/>
    </xf>
    <xf numFmtId="173" fontId="0" fillId="5" borderId="0" xfId="51" applyNumberFormat="1" applyFont="1" applyAlignment="1">
      <alignment horizontal="left"/>
    </xf>
    <xf numFmtId="173" fontId="4" fillId="5" borderId="0" xfId="0" applyFont="1" applyFill="1" applyAlignment="1">
      <alignment horizontal="left" vertical="center"/>
    </xf>
    <xf numFmtId="173" fontId="4" fillId="5" borderId="0" xfId="50" applyNumberFormat="1" applyFill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</cellXfs>
  <cellStyles count="62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9000000}"/>
    <cellStyle name="Bad" xfId="13" builtinId="27" hidden="1"/>
    <cellStyle name="BG Border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1" xr:uid="{00000000-0005-0000-0000-000021000000}"/>
    <cellStyle name="Currency" xfId="4" builtinId="4" hidden="1"/>
    <cellStyle name="Currency [0]" xfId="5" builtinId="7" hidden="1"/>
    <cellStyle name="Date" xfId="54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7" xr:uid="{00000000-0005-0000-0000-000028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st Proj Title" xfId="53" xr:uid="{00000000-0005-0000-0000-00002E000000}"/>
    <cellStyle name="Hyperlink" xfId="1" builtinId="8" hidden="1" customBuiltin="1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3000000}"/>
    <cellStyle name="Neutral" xfId="14" builtinId="28" hidden="1"/>
    <cellStyle name="Normal" xfId="0" builtinId="0" customBuiltin="1"/>
    <cellStyle name="Note" xfId="21" builtinId="10" hidden="1"/>
    <cellStyle name="Notes and Comments" xfId="58" xr:uid="{00000000-0005-0000-0000-000037000000}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C000000}"/>
    <cellStyle name="Secondary Title" xfId="49" xr:uid="{00000000-0005-0000-0000-00003E000000}"/>
    <cellStyle name="Tertiary Title" xfId="50" xr:uid="{00000000-0005-0000-0000-00003F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2656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22" customFormat="1" ht="75" customHeight="1" x14ac:dyDescent="0.45">
      <c r="A2" s="77" t="s">
        <v>176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6"/>
      <c r="D4" s="76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78" t="s">
        <v>12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4" s="23" customFormat="1" ht="15" customHeight="1" x14ac:dyDescent="0.4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4" s="23" customFormat="1" ht="15" customHeight="1" x14ac:dyDescent="0.45">
      <c r="A7" s="78" t="str">
        <f ca="1">"© "&amp;YEAR(TODAY())&amp;" Financial Edge Training "</f>
        <v xml:space="preserve">© 2023 Financial Edge Training 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79"/>
      <c r="H9" s="79"/>
      <c r="I9" s="79"/>
      <c r="J9" s="79"/>
      <c r="K9" s="28"/>
    </row>
    <row r="10" spans="1:14" s="23" customFormat="1" ht="15" customHeight="1" x14ac:dyDescent="0.45">
      <c r="B10" s="24"/>
      <c r="C10" s="24"/>
      <c r="F10" s="28"/>
      <c r="G10" s="79"/>
      <c r="H10" s="79"/>
      <c r="I10" s="79"/>
      <c r="J10" s="79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5"/>
      <c r="H12" s="75"/>
      <c r="I12" s="75"/>
      <c r="J12" s="75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5"/>
      <c r="H13" s="75"/>
      <c r="I13" s="75"/>
      <c r="J13" s="75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5"/>
      <c r="H14" s="75"/>
      <c r="I14" s="75"/>
      <c r="J14" s="75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5"/>
      <c r="H16" s="75"/>
      <c r="I16" s="75"/>
      <c r="J16" s="75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4" customFormat="1" ht="45" customHeight="1" x14ac:dyDescent="0.85">
      <c r="A1" s="14" t="str">
        <f>Welcome!A2</f>
        <v>Cash Sweep Modeling</v>
      </c>
      <c r="B1" s="14"/>
      <c r="C1" s="14"/>
      <c r="D1" s="14"/>
      <c r="E1" s="14"/>
      <c r="F1" s="14"/>
      <c r="G1" s="14"/>
      <c r="H1" s="14"/>
      <c r="I1" s="14"/>
      <c r="J1" s="7"/>
      <c r="K1" s="7"/>
      <c r="L1" s="7"/>
      <c r="M1" s="7"/>
      <c r="N1" s="7"/>
      <c r="O1" s="7"/>
      <c r="P1" s="7"/>
      <c r="Q1" s="7"/>
      <c r="R1" s="7"/>
    </row>
    <row r="2" spans="1:18" s="35" customFormat="1" ht="30" customHeight="1" x14ac:dyDescent="0.65">
      <c r="A2" s="15" t="s">
        <v>19</v>
      </c>
      <c r="B2" s="15"/>
      <c r="C2" s="15"/>
      <c r="D2" s="15"/>
      <c r="E2" s="15"/>
      <c r="F2" s="15"/>
      <c r="G2" s="15"/>
      <c r="H2" s="15"/>
      <c r="I2" s="15"/>
      <c r="J2" s="8"/>
      <c r="K2" s="8"/>
      <c r="L2" s="8"/>
      <c r="M2" s="8"/>
      <c r="N2" s="8"/>
      <c r="O2" s="8"/>
      <c r="P2" s="8"/>
      <c r="Q2" s="8"/>
      <c r="R2" s="8"/>
    </row>
    <row r="3" spans="1:18" s="3" customFormat="1" ht="7.5" customHeight="1" x14ac:dyDescent="0.45"/>
    <row r="4" spans="1:18" s="3" customFormat="1" ht="22.5" customHeight="1" x14ac:dyDescent="0.45">
      <c r="A4" s="2"/>
      <c r="B4" s="81" t="s">
        <v>0</v>
      </c>
      <c r="C4" s="81"/>
      <c r="D4" s="81"/>
      <c r="E4" s="81"/>
      <c r="F4" s="81"/>
      <c r="G4" s="81"/>
      <c r="H4" s="81"/>
      <c r="I4" s="81"/>
      <c r="K4" s="2"/>
      <c r="L4" s="81" t="s">
        <v>2</v>
      </c>
      <c r="M4" s="81"/>
      <c r="N4" s="81"/>
      <c r="O4" s="81"/>
      <c r="P4" s="81"/>
      <c r="Q4" s="40"/>
      <c r="R4" s="40"/>
    </row>
    <row r="5" spans="1:18" s="3" customFormat="1" ht="15" customHeight="1" x14ac:dyDescent="0.45">
      <c r="A5" s="17"/>
      <c r="B5" s="9" t="s">
        <v>1</v>
      </c>
      <c r="C5" s="55" t="s">
        <v>22</v>
      </c>
      <c r="D5" s="18"/>
      <c r="E5" s="18"/>
      <c r="F5" s="18"/>
      <c r="G5" s="18"/>
      <c r="H5" s="18"/>
      <c r="I5" s="18"/>
      <c r="K5" s="2"/>
      <c r="L5" s="10" t="s">
        <v>3</v>
      </c>
      <c r="M5" s="10"/>
      <c r="N5" s="83" t="s">
        <v>155</v>
      </c>
      <c r="O5" s="83"/>
      <c r="P5" s="83"/>
      <c r="Q5" s="83"/>
      <c r="R5" s="40"/>
    </row>
    <row r="6" spans="1:18" s="3" customFormat="1" ht="15" customHeight="1" x14ac:dyDescent="0.45">
      <c r="A6" s="4"/>
      <c r="B6" s="9" t="s">
        <v>1</v>
      </c>
      <c r="C6" s="18" t="s">
        <v>23</v>
      </c>
      <c r="D6" s="18"/>
      <c r="E6" s="18"/>
      <c r="F6" s="18"/>
      <c r="G6" s="18"/>
      <c r="H6" s="18"/>
      <c r="I6" s="18"/>
      <c r="K6" s="17"/>
      <c r="L6" s="10" t="s">
        <v>4</v>
      </c>
      <c r="M6" s="10"/>
      <c r="N6" s="84">
        <v>55153</v>
      </c>
      <c r="O6" s="84"/>
      <c r="P6" s="84"/>
      <c r="Q6" s="84"/>
      <c r="R6" s="40"/>
    </row>
    <row r="7" spans="1:18" s="3" customFormat="1" ht="15" customHeight="1" x14ac:dyDescent="0.45">
      <c r="A7" s="18"/>
      <c r="B7" s="9" t="s">
        <v>1</v>
      </c>
      <c r="C7" s="18" t="s">
        <v>24</v>
      </c>
      <c r="D7" s="18"/>
      <c r="E7" s="18"/>
      <c r="F7" s="18"/>
      <c r="G7" s="18"/>
      <c r="H7" s="18"/>
      <c r="I7" s="18"/>
      <c r="K7" s="4"/>
      <c r="L7" s="10" t="s">
        <v>5</v>
      </c>
      <c r="M7" s="10"/>
      <c r="N7" s="83" t="s">
        <v>9</v>
      </c>
      <c r="O7" s="83"/>
      <c r="P7" s="83"/>
      <c r="Q7" s="83"/>
      <c r="R7" s="40"/>
    </row>
    <row r="8" spans="1:18" s="3" customFormat="1" ht="15" customHeight="1" x14ac:dyDescent="0.45">
      <c r="A8" s="18"/>
      <c r="B8" s="9" t="s">
        <v>1</v>
      </c>
      <c r="C8" s="18" t="s">
        <v>70</v>
      </c>
      <c r="D8" s="18"/>
      <c r="E8" s="18"/>
      <c r="F8" s="18"/>
      <c r="G8" s="18"/>
      <c r="H8" s="18"/>
      <c r="I8" s="18"/>
      <c r="K8" s="18"/>
      <c r="L8" s="10" t="s">
        <v>6</v>
      </c>
      <c r="M8" s="10"/>
      <c r="N8" s="83" t="s">
        <v>10</v>
      </c>
      <c r="O8" s="83"/>
      <c r="P8" s="83"/>
      <c r="Q8" s="83"/>
      <c r="R8" s="40"/>
    </row>
    <row r="9" spans="1:18" s="3" customFormat="1" ht="15" customHeight="1" x14ac:dyDescent="0.45">
      <c r="A9" s="41"/>
      <c r="B9" s="9" t="s">
        <v>1</v>
      </c>
      <c r="C9" s="18" t="s">
        <v>39</v>
      </c>
      <c r="D9" s="41"/>
      <c r="E9" s="41"/>
      <c r="F9" s="41"/>
      <c r="G9" s="41"/>
      <c r="H9" s="41"/>
      <c r="I9" s="41"/>
      <c r="K9" s="18"/>
      <c r="L9" s="10" t="s">
        <v>7</v>
      </c>
      <c r="M9" s="10"/>
      <c r="N9" s="83" t="s">
        <v>11</v>
      </c>
      <c r="O9" s="83"/>
      <c r="P9" s="83"/>
      <c r="Q9" s="83"/>
      <c r="R9" s="40"/>
    </row>
    <row r="10" spans="1:18" s="3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10" t="s">
        <v>8</v>
      </c>
      <c r="M10" s="10"/>
      <c r="N10" s="85">
        <v>0</v>
      </c>
      <c r="O10" s="85"/>
      <c r="P10" s="85"/>
      <c r="Q10" s="85"/>
      <c r="R10" s="47"/>
    </row>
    <row r="11" spans="1:18" s="3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5"/>
      <c r="L11" s="59"/>
      <c r="M11" s="59"/>
      <c r="N11" s="48"/>
      <c r="O11" s="49"/>
      <c r="P11" s="49"/>
      <c r="Q11" s="50"/>
      <c r="R11" s="51"/>
    </row>
    <row r="12" spans="1:18" s="3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3" customFormat="1" ht="22.5" customHeight="1" x14ac:dyDescent="0.45">
      <c r="A13" s="55"/>
      <c r="B13" s="82" t="s">
        <v>20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N13" s="2"/>
      <c r="O13" s="81" t="s">
        <v>15</v>
      </c>
      <c r="P13" s="81"/>
      <c r="Q13" s="81"/>
      <c r="R13" s="58"/>
    </row>
    <row r="14" spans="1:18" s="3" customFormat="1" ht="15" customHeight="1" x14ac:dyDescent="0.45">
      <c r="A14" s="56"/>
      <c r="B14" s="80" t="s">
        <v>38</v>
      </c>
      <c r="C14" s="80"/>
      <c r="D14" s="80" t="s">
        <v>25</v>
      </c>
      <c r="E14" s="80"/>
      <c r="F14" s="80"/>
      <c r="G14" s="80"/>
      <c r="H14" s="80"/>
      <c r="I14" s="80"/>
      <c r="J14" s="80"/>
      <c r="K14" s="80"/>
      <c r="L14" s="80"/>
      <c r="N14" s="17"/>
      <c r="O14" s="27"/>
      <c r="P14" s="22"/>
      <c r="Q14" s="22"/>
      <c r="R14" s="56"/>
    </row>
    <row r="15" spans="1:18" s="3" customFormat="1" ht="15" customHeight="1" x14ac:dyDescent="0.45">
      <c r="A15" s="56"/>
      <c r="B15" s="80" t="s">
        <v>37</v>
      </c>
      <c r="C15" s="80"/>
      <c r="D15" s="80" t="s">
        <v>25</v>
      </c>
      <c r="E15" s="80"/>
      <c r="F15" s="80"/>
      <c r="G15" s="80"/>
      <c r="H15" s="80"/>
      <c r="I15" s="80"/>
      <c r="J15" s="80"/>
      <c r="K15" s="80"/>
      <c r="L15" s="80"/>
      <c r="N15" s="4"/>
      <c r="O15" s="27"/>
      <c r="P15" s="52" t="s">
        <v>16</v>
      </c>
      <c r="Q15" s="22"/>
      <c r="R15" s="56"/>
    </row>
    <row r="16" spans="1:18" s="3" customFormat="1" ht="15" customHeight="1" x14ac:dyDescent="0.45">
      <c r="A16" s="56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N16" s="18"/>
      <c r="O16" s="27"/>
      <c r="P16" s="36" t="s">
        <v>17</v>
      </c>
      <c r="Q16" s="22"/>
      <c r="R16" s="56"/>
    </row>
    <row r="17" spans="1:18" s="3" customFormat="1" ht="15" customHeight="1" x14ac:dyDescent="0.45">
      <c r="A17" s="56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N17" s="18"/>
      <c r="O17" s="27"/>
      <c r="P17" t="s">
        <v>18</v>
      </c>
      <c r="Q17" s="22"/>
      <c r="R17" s="56"/>
    </row>
    <row r="18" spans="1:18" s="3" customFormat="1" ht="15" customHeight="1" x14ac:dyDescent="0.45">
      <c r="A18" s="39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21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.1328125" defaultRowHeight="15" customHeight="1" x14ac:dyDescent="0.45"/>
  <cols>
    <col min="1" max="1" width="1.3984375" style="16" customWidth="1"/>
    <col min="2" max="2" width="41.73046875" customWidth="1"/>
    <col min="3" max="16" width="11" customWidth="1"/>
  </cols>
  <sheetData>
    <row r="1" spans="1:15" s="46" customFormat="1" ht="45" customHeight="1" x14ac:dyDescent="0.85">
      <c r="A1" s="6" t="s">
        <v>21</v>
      </c>
      <c r="B1" s="11"/>
      <c r="C1" s="13" t="s">
        <v>13</v>
      </c>
      <c r="D1" s="13" t="s">
        <v>13</v>
      </c>
      <c r="E1" s="13" t="s">
        <v>13</v>
      </c>
      <c r="F1" s="13" t="s">
        <v>14</v>
      </c>
      <c r="G1" s="13" t="s">
        <v>14</v>
      </c>
      <c r="H1" s="13" t="s">
        <v>14</v>
      </c>
      <c r="I1" s="13" t="s">
        <v>14</v>
      </c>
      <c r="J1" s="13" t="s">
        <v>14</v>
      </c>
      <c r="K1"/>
      <c r="L1"/>
      <c r="M1"/>
      <c r="N1"/>
      <c r="O1"/>
    </row>
    <row r="2" spans="1:15" s="35" customFormat="1" ht="30" customHeight="1" x14ac:dyDescent="0.65">
      <c r="A2" s="15" t="s">
        <v>177</v>
      </c>
      <c r="B2" s="8"/>
      <c r="C2" s="12">
        <f>DATE(YEAR(D2)-1,MONTH(D2),DAY(D2))</f>
        <v>54423</v>
      </c>
      <c r="D2" s="12">
        <f>DATE(YEAR(E2)-1,MONTH(E2),DAY(E2))</f>
        <v>54788</v>
      </c>
      <c r="E2" s="12">
        <f>Info!N6</f>
        <v>55153</v>
      </c>
      <c r="F2" s="12">
        <f>DATE(YEAR(E2)+1,MONTH(E2),DAY(E2))</f>
        <v>55518</v>
      </c>
      <c r="G2" s="12">
        <f>DATE(YEAR(F2)+1,MONTH(F2),DAY(F2))</f>
        <v>55884</v>
      </c>
      <c r="H2" s="12">
        <f>DATE(YEAR(G2)+1,MONTH(G2),DAY(G2))</f>
        <v>56249</v>
      </c>
      <c r="I2" s="12">
        <f>DATE(YEAR(H2)+1,MONTH(H2),DAY(H2))</f>
        <v>56614</v>
      </c>
      <c r="J2" s="12">
        <f>DATE(YEAR(I2)+1,MONTH(I2),DAY(I2))</f>
        <v>56979</v>
      </c>
      <c r="K2"/>
      <c r="L2"/>
      <c r="M2"/>
      <c r="N2"/>
      <c r="O2"/>
    </row>
    <row r="4" spans="1:15" ht="15" customHeight="1" x14ac:dyDescent="0.45">
      <c r="A4" s="16" t="s">
        <v>40</v>
      </c>
    </row>
    <row r="5" spans="1:15" ht="15" customHeight="1" x14ac:dyDescent="0.45">
      <c r="B5" t="s">
        <v>26</v>
      </c>
      <c r="D5" s="62">
        <f>(D20/C20)-1</f>
        <v>0.18880023055170292</v>
      </c>
      <c r="E5" s="62">
        <f>(E20/D20)-1</f>
        <v>0.13617975485219924</v>
      </c>
      <c r="F5" s="63">
        <v>0.125</v>
      </c>
      <c r="G5" s="63">
        <v>0.15</v>
      </c>
      <c r="H5" s="63">
        <v>0.14299999999999999</v>
      </c>
      <c r="I5" s="63">
        <v>0.124</v>
      </c>
      <c r="J5" s="63">
        <v>0.111</v>
      </c>
    </row>
    <row r="6" spans="1:15" ht="15" customHeight="1" x14ac:dyDescent="0.45">
      <c r="B6" t="s">
        <v>71</v>
      </c>
      <c r="C6" s="62">
        <f>C21/C20</f>
        <v>-0.39613465660404545</v>
      </c>
      <c r="D6" s="62">
        <f t="shared" ref="D6:E6" si="0">D21/D20</f>
        <v>-0.3892516780048787</v>
      </c>
      <c r="E6" s="62">
        <f t="shared" si="0"/>
        <v>-0.37557508434570402</v>
      </c>
      <c r="F6" s="63">
        <v>-0.376</v>
      </c>
      <c r="G6" s="63">
        <v>-0.376</v>
      </c>
      <c r="H6" s="63">
        <v>-0.376</v>
      </c>
      <c r="I6" s="63">
        <v>-0.376</v>
      </c>
      <c r="J6" s="63">
        <v>-0.376</v>
      </c>
    </row>
    <row r="7" spans="1:15" ht="15" customHeight="1" x14ac:dyDescent="0.45">
      <c r="B7" t="s">
        <v>72</v>
      </c>
      <c r="C7" s="62">
        <f>C24/C20</f>
        <v>-0.19787820385813865</v>
      </c>
      <c r="D7" s="62">
        <f t="shared" ref="D7" si="1">D24/D20</f>
        <v>-0.21184527507158982</v>
      </c>
      <c r="E7" s="62">
        <f>E24/E20</f>
        <v>-0.20246969555534811</v>
      </c>
      <c r="F7" s="63">
        <v>-0.20200000000000001</v>
      </c>
      <c r="G7" s="63">
        <v>-0.20200000000000001</v>
      </c>
      <c r="H7" s="63">
        <v>-0.20200000000000001</v>
      </c>
      <c r="I7" s="63">
        <v>-0.20200000000000001</v>
      </c>
      <c r="J7" s="63">
        <v>-0.20200000000000001</v>
      </c>
    </row>
    <row r="8" spans="1:15" ht="15" customHeight="1" x14ac:dyDescent="0.45">
      <c r="B8" t="s">
        <v>73</v>
      </c>
      <c r="C8" s="62">
        <f>C25/C20</f>
        <v>-0.12855058628577604</v>
      </c>
      <c r="D8" s="62">
        <f t="shared" ref="D8:E8" si="2">D25/D20</f>
        <v>-0.14896743988727443</v>
      </c>
      <c r="E8" s="62">
        <f t="shared" si="2"/>
        <v>-0.16378402165650963</v>
      </c>
      <c r="F8" s="63">
        <v>-0.16400000000000001</v>
      </c>
      <c r="G8" s="63">
        <v>-0.16400000000000001</v>
      </c>
      <c r="H8" s="63">
        <v>-0.16400000000000001</v>
      </c>
      <c r="I8" s="63">
        <v>-0.16400000000000001</v>
      </c>
      <c r="J8" s="63">
        <v>-0.16400000000000001</v>
      </c>
    </row>
    <row r="9" spans="1:15" ht="15" customHeight="1" x14ac:dyDescent="0.45">
      <c r="B9" t="s">
        <v>74</v>
      </c>
      <c r="D9" s="62">
        <f>D28/C85</f>
        <v>0.21320503510045993</v>
      </c>
      <c r="E9" s="62">
        <f>E28/D85</f>
        <v>0.17301009085960725</v>
      </c>
      <c r="F9" s="63">
        <v>0.17299999999999999</v>
      </c>
      <c r="G9" s="63">
        <v>0.17299999999999999</v>
      </c>
      <c r="H9" s="63">
        <v>0.17299999999999999</v>
      </c>
      <c r="I9" s="63">
        <v>0.17299999999999999</v>
      </c>
      <c r="J9" s="63">
        <v>0.17299999999999999</v>
      </c>
    </row>
    <row r="10" spans="1:15" ht="15" customHeight="1" x14ac:dyDescent="0.45">
      <c r="B10" t="s">
        <v>87</v>
      </c>
      <c r="C10">
        <f>C29</f>
        <v>1158</v>
      </c>
      <c r="D10">
        <f t="shared" ref="D10:E10" si="3">D29</f>
        <v>1456</v>
      </c>
      <c r="E10">
        <f t="shared" si="3"/>
        <v>931</v>
      </c>
      <c r="F10" s="65">
        <v>806</v>
      </c>
      <c r="G10" s="65">
        <v>724</v>
      </c>
      <c r="H10" s="65">
        <v>637</v>
      </c>
      <c r="I10" s="65">
        <v>528</v>
      </c>
      <c r="J10" s="65">
        <v>434</v>
      </c>
    </row>
    <row r="11" spans="1:15" ht="15" customHeight="1" x14ac:dyDescent="0.45">
      <c r="B11" t="s">
        <v>88</v>
      </c>
      <c r="C11">
        <f>C34</f>
        <v>-189</v>
      </c>
      <c r="D11">
        <f t="shared" ref="D11:E11" si="4">D34</f>
        <v>973</v>
      </c>
      <c r="E11">
        <f t="shared" si="4"/>
        <v>291.5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</row>
    <row r="12" spans="1:15" ht="15" customHeight="1" x14ac:dyDescent="0.45">
      <c r="B12" t="s">
        <v>75</v>
      </c>
      <c r="C12" s="62">
        <f>C37/C35</f>
        <v>-0.18164334504940646</v>
      </c>
      <c r="D12" s="62">
        <f t="shared" ref="D12:E12" si="5">D37/D35</f>
        <v>-0.21084651486181122</v>
      </c>
      <c r="E12" s="62">
        <f t="shared" si="5"/>
        <v>-0.16808304920869166</v>
      </c>
      <c r="F12" s="63">
        <v>-0.185</v>
      </c>
      <c r="G12" s="63">
        <v>-0.185</v>
      </c>
      <c r="H12" s="63">
        <v>-0.185</v>
      </c>
      <c r="I12" s="63">
        <v>-0.185</v>
      </c>
      <c r="J12" s="63">
        <v>-0.185</v>
      </c>
    </row>
    <row r="13" spans="1:15" ht="15" customHeight="1" x14ac:dyDescent="0.45">
      <c r="B13" t="s">
        <v>76</v>
      </c>
      <c r="F13" s="63">
        <v>-0.35</v>
      </c>
      <c r="G13" s="63">
        <v>-0.35</v>
      </c>
      <c r="H13" s="63">
        <v>-0.35</v>
      </c>
      <c r="I13" s="63">
        <v>-0.35</v>
      </c>
      <c r="J13" s="63">
        <v>-0.35</v>
      </c>
    </row>
    <row r="14" spans="1:15" ht="15" customHeight="1" x14ac:dyDescent="0.45">
      <c r="B14" t="s">
        <v>77</v>
      </c>
      <c r="C14">
        <f>C40</f>
        <v>-427</v>
      </c>
      <c r="D14">
        <f t="shared" ref="D14:E14" si="6">D40</f>
        <v>516</v>
      </c>
      <c r="E14">
        <f t="shared" si="6"/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</row>
    <row r="15" spans="1:15" ht="15" customHeight="1" x14ac:dyDescent="0.45">
      <c r="B15" t="s">
        <v>145</v>
      </c>
      <c r="D15" s="62">
        <f>D46/C46-1</f>
        <v>1.379310344827589E-2</v>
      </c>
      <c r="E15" s="62">
        <f>E46/D46-1</f>
        <v>1.3605442176870763E-2</v>
      </c>
      <c r="F15" s="71">
        <v>0.01</v>
      </c>
      <c r="G15" s="71">
        <v>0.01</v>
      </c>
      <c r="H15" s="71">
        <v>0.01</v>
      </c>
      <c r="I15" s="71">
        <v>0.01</v>
      </c>
      <c r="J15" s="71">
        <v>0.01</v>
      </c>
    </row>
    <row r="16" spans="1:15" ht="15" customHeight="1" x14ac:dyDescent="0.45">
      <c r="B16" t="s">
        <v>79</v>
      </c>
      <c r="C16">
        <f>C47</f>
        <v>665.69200000000001</v>
      </c>
      <c r="D16">
        <f t="shared" ref="D16:E16" si="7">D47</f>
        <v>675.93499999999995</v>
      </c>
      <c r="E16">
        <f t="shared" si="7"/>
        <v>684.62599999999998</v>
      </c>
      <c r="F16" s="65">
        <f>292.580627+50.199837+345.539303</f>
        <v>688.31976699999996</v>
      </c>
      <c r="G16" s="65">
        <f>292.580627+50.199837+345.539303</f>
        <v>688.31976699999996</v>
      </c>
      <c r="H16" s="65">
        <f t="shared" ref="H16:J16" si="8">292.580627+50.199837+345.539303</f>
        <v>688.31976699999996</v>
      </c>
      <c r="I16" s="65">
        <f t="shared" si="8"/>
        <v>688.31976699999996</v>
      </c>
      <c r="J16" s="65">
        <f t="shared" si="8"/>
        <v>688.31976699999996</v>
      </c>
    </row>
    <row r="17" spans="1:15" ht="15" customHeight="1" x14ac:dyDescent="0.45">
      <c r="B17" t="s">
        <v>80</v>
      </c>
      <c r="C17">
        <f>C48</f>
        <v>736.95</v>
      </c>
      <c r="D17">
        <f t="shared" ref="D17:E17" si="9">D48</f>
        <v>741.99800000000005</v>
      </c>
      <c r="E17">
        <f t="shared" si="9"/>
        <v>744.67499999999995</v>
      </c>
      <c r="F17">
        <f>E17/E16*F16</f>
        <v>748.69274975055714</v>
      </c>
      <c r="G17">
        <f t="shared" ref="G17:J17" si="10">F17/F16*G16</f>
        <v>748.69274975055714</v>
      </c>
      <c r="H17">
        <f t="shared" si="10"/>
        <v>748.69274975055714</v>
      </c>
      <c r="I17">
        <f t="shared" si="10"/>
        <v>748.69274975055714</v>
      </c>
      <c r="J17">
        <f t="shared" si="10"/>
        <v>748.69274975055714</v>
      </c>
    </row>
    <row r="18" spans="1:15" ht="15" customHeight="1" x14ac:dyDescent="0.45">
      <c r="A18" s="60"/>
    </row>
    <row r="19" spans="1:15" ht="15" customHeight="1" x14ac:dyDescent="0.45">
      <c r="A19" s="16" t="s">
        <v>27</v>
      </c>
    </row>
    <row r="20" spans="1:15" ht="15" customHeight="1" x14ac:dyDescent="0.45">
      <c r="B20" t="s">
        <v>28</v>
      </c>
      <c r="C20" s="68">
        <v>55519</v>
      </c>
      <c r="D20" s="68">
        <v>66001</v>
      </c>
      <c r="E20" s="68">
        <v>74989</v>
      </c>
      <c r="F20">
        <f t="shared" ref="F20" si="11">E20*(1+F5)</f>
        <v>84362.625</v>
      </c>
      <c r="G20">
        <f t="shared" ref="G20" si="12">F20*(1+G5)</f>
        <v>97017.018749999988</v>
      </c>
      <c r="H20">
        <f t="shared" ref="H20" si="13">G20*(1+H5)</f>
        <v>110890.45243124999</v>
      </c>
      <c r="I20">
        <f t="shared" ref="I20" si="14">H20*(1+I5)</f>
        <v>124640.868532725</v>
      </c>
      <c r="J20">
        <f t="shared" ref="J20" si="15">I20*(1+J5)</f>
        <v>138476.00493985746</v>
      </c>
    </row>
    <row r="21" spans="1:15" ht="15" customHeight="1" x14ac:dyDescent="0.45">
      <c r="B21" t="s">
        <v>81</v>
      </c>
      <c r="C21" s="68">
        <v>-21993</v>
      </c>
      <c r="D21" s="68">
        <v>-25691</v>
      </c>
      <c r="E21" s="68">
        <v>-28164</v>
      </c>
      <c r="F21">
        <f t="shared" ref="F21" si="16">F20*F6</f>
        <v>-31720.347000000002</v>
      </c>
      <c r="G21">
        <f t="shared" ref="G21:J21" si="17">G20*G6</f>
        <v>-36478.399049999993</v>
      </c>
      <c r="H21">
        <f t="shared" si="17"/>
        <v>-41694.810114149994</v>
      </c>
      <c r="I21">
        <f t="shared" si="17"/>
        <v>-46864.966568304597</v>
      </c>
      <c r="J21">
        <f t="shared" si="17"/>
        <v>-52066.97785738641</v>
      </c>
    </row>
    <row r="22" spans="1:15" ht="15" customHeight="1" x14ac:dyDescent="0.45">
      <c r="B22" t="s">
        <v>82</v>
      </c>
      <c r="C22" s="67">
        <f>SUM(C20:C21)</f>
        <v>33526</v>
      </c>
      <c r="D22" s="67">
        <f t="shared" ref="D22:F22" si="18">SUM(D20:D21)</f>
        <v>40310</v>
      </c>
      <c r="E22" s="67">
        <f t="shared" si="18"/>
        <v>46825</v>
      </c>
      <c r="F22" s="67">
        <f t="shared" si="18"/>
        <v>52642.277999999998</v>
      </c>
      <c r="G22" s="67">
        <f t="shared" ref="G22:J22" si="19">SUM(G20:G21)</f>
        <v>60538.619699999996</v>
      </c>
      <c r="H22" s="67">
        <f t="shared" si="19"/>
        <v>69195.642317099991</v>
      </c>
      <c r="I22" s="67">
        <f t="shared" si="19"/>
        <v>77775.901964420395</v>
      </c>
      <c r="J22" s="67">
        <f t="shared" si="19"/>
        <v>86409.027082471061</v>
      </c>
      <c r="K22" s="67"/>
      <c r="L22" s="67"/>
      <c r="M22" s="67"/>
      <c r="N22" s="67"/>
      <c r="O22" s="67"/>
    </row>
    <row r="24" spans="1:15" ht="15" customHeight="1" x14ac:dyDescent="0.45">
      <c r="B24" t="s">
        <v>83</v>
      </c>
      <c r="C24" s="68">
        <f>(6554+4432)*-1</f>
        <v>-10986</v>
      </c>
      <c r="D24" s="68">
        <f>(8131+5851)*-1</f>
        <v>-13982</v>
      </c>
      <c r="E24" s="61">
        <f>(9047+6136)*-1</f>
        <v>-15183</v>
      </c>
      <c r="F24">
        <f t="shared" ref="F24" si="20">F20*F7</f>
        <v>-17041.250250000001</v>
      </c>
      <c r="G24">
        <f t="shared" ref="G24:J24" si="21">G20*G7</f>
        <v>-19597.437787499999</v>
      </c>
      <c r="H24">
        <f t="shared" si="21"/>
        <v>-22399.871391112498</v>
      </c>
      <c r="I24">
        <f t="shared" si="21"/>
        <v>-25177.455443610452</v>
      </c>
      <c r="J24">
        <f t="shared" si="21"/>
        <v>-27972.152997851208</v>
      </c>
    </row>
    <row r="25" spans="1:15" ht="15" customHeight="1" x14ac:dyDescent="0.45">
      <c r="B25" t="s">
        <v>89</v>
      </c>
      <c r="C25" s="68">
        <v>-7137</v>
      </c>
      <c r="D25" s="68">
        <v>-9832</v>
      </c>
      <c r="E25" s="68">
        <v>-12282</v>
      </c>
      <c r="F25">
        <f t="shared" ref="F25" si="22">F20*F8</f>
        <v>-13835.470500000001</v>
      </c>
      <c r="G25">
        <f t="shared" ref="G25:J25" si="23">G20*G8</f>
        <v>-15910.791074999999</v>
      </c>
      <c r="H25">
        <f t="shared" si="23"/>
        <v>-18186.034198724999</v>
      </c>
      <c r="I25">
        <f t="shared" si="23"/>
        <v>-20441.102439366899</v>
      </c>
      <c r="J25">
        <f t="shared" si="23"/>
        <v>-22710.064810136624</v>
      </c>
    </row>
    <row r="26" spans="1:15" ht="15" customHeight="1" x14ac:dyDescent="0.45">
      <c r="B26" t="s">
        <v>43</v>
      </c>
      <c r="C26" s="67">
        <f>SUM(C22,C24:C25)</f>
        <v>15403</v>
      </c>
      <c r="D26" s="67">
        <f t="shared" ref="D26:F26" si="24">SUM(D22,D24:D25)</f>
        <v>16496</v>
      </c>
      <c r="E26" s="67">
        <f t="shared" si="24"/>
        <v>19360</v>
      </c>
      <c r="F26" s="67">
        <f t="shared" si="24"/>
        <v>21765.557249999991</v>
      </c>
      <c r="G26" s="67">
        <f t="shared" ref="G26:J26" si="25">SUM(G22,G24:G25)</f>
        <v>25030.390837499996</v>
      </c>
      <c r="H26" s="67">
        <f t="shared" si="25"/>
        <v>28609.736727262498</v>
      </c>
      <c r="I26" s="67">
        <f t="shared" si="25"/>
        <v>32157.344081443043</v>
      </c>
      <c r="J26" s="67">
        <f t="shared" si="25"/>
        <v>35726.809274483225</v>
      </c>
      <c r="K26" s="67"/>
      <c r="L26" s="67"/>
      <c r="M26" s="67"/>
      <c r="N26" s="67"/>
      <c r="O26" s="67"/>
    </row>
    <row r="28" spans="1:15" ht="15" customHeight="1" x14ac:dyDescent="0.45">
      <c r="B28" t="s">
        <v>84</v>
      </c>
      <c r="C28" s="68">
        <v>2781</v>
      </c>
      <c r="D28" s="68">
        <v>3523</v>
      </c>
      <c r="E28" s="68">
        <v>4132</v>
      </c>
      <c r="F28">
        <f t="shared" ref="F28" si="26">F9*E85</f>
        <v>5019.768</v>
      </c>
      <c r="G28">
        <f t="shared" ref="G28" si="27">G9*F85</f>
        <v>6778.4002784999984</v>
      </c>
      <c r="H28">
        <f t="shared" ref="H28" si="28">H9*G85</f>
        <v>8459.0075517569985</v>
      </c>
      <c r="I28">
        <f t="shared" ref="I28" si="29">I9*H85</f>
        <v>10065.046968600036</v>
      </c>
      <c r="J28">
        <f t="shared" ref="J28" si="30">J9*I85</f>
        <v>11558.224381456443</v>
      </c>
    </row>
    <row r="29" spans="1:15" ht="15" customHeight="1" x14ac:dyDescent="0.45">
      <c r="B29" t="s">
        <v>85</v>
      </c>
      <c r="C29" s="68">
        <v>1158</v>
      </c>
      <c r="D29" s="68">
        <v>1456</v>
      </c>
      <c r="E29" s="68">
        <v>931</v>
      </c>
      <c r="F29">
        <f t="shared" ref="F29" si="31">F10</f>
        <v>806</v>
      </c>
      <c r="G29">
        <f t="shared" ref="G29:J29" si="32">G10</f>
        <v>724</v>
      </c>
      <c r="H29">
        <f t="shared" si="32"/>
        <v>637</v>
      </c>
      <c r="I29">
        <f t="shared" si="32"/>
        <v>528</v>
      </c>
      <c r="J29">
        <f t="shared" si="32"/>
        <v>434</v>
      </c>
    </row>
    <row r="30" spans="1:15" ht="15" customHeight="1" x14ac:dyDescent="0.45">
      <c r="B30" t="s">
        <v>42</v>
      </c>
      <c r="C30" s="67">
        <f>C26+C28+C29</f>
        <v>19342</v>
      </c>
      <c r="D30" s="67">
        <f>D26+D28+D29</f>
        <v>21475</v>
      </c>
      <c r="E30" s="67">
        <f>E26+E28+E29</f>
        <v>24423</v>
      </c>
      <c r="F30" s="67">
        <f t="shared" ref="F30" si="33">F26+F28+F29</f>
        <v>27591.325249999991</v>
      </c>
      <c r="G30" s="67">
        <f t="shared" ref="G30:J30" si="34">G26+G28+G29</f>
        <v>32532.791115999993</v>
      </c>
      <c r="H30" s="67">
        <f t="shared" si="34"/>
        <v>37705.744279019498</v>
      </c>
      <c r="I30" s="67">
        <f t="shared" si="34"/>
        <v>42750.391050043079</v>
      </c>
      <c r="J30" s="67">
        <f t="shared" si="34"/>
        <v>47719.033655939667</v>
      </c>
      <c r="K30" s="67"/>
      <c r="L30" s="67"/>
      <c r="M30" s="67"/>
      <c r="N30" s="67"/>
      <c r="O30" s="67"/>
    </row>
    <row r="32" spans="1:15" ht="15" customHeight="1" x14ac:dyDescent="0.45">
      <c r="B32" t="s">
        <v>45</v>
      </c>
      <c r="C32" s="68">
        <v>-901</v>
      </c>
      <c r="D32" s="68">
        <v>-956</v>
      </c>
      <c r="E32" s="68">
        <v>-999.5</v>
      </c>
    </row>
    <row r="33" spans="2:15" ht="15" customHeight="1" x14ac:dyDescent="0.45">
      <c r="B33" t="s">
        <v>44</v>
      </c>
      <c r="C33" s="68">
        <v>766</v>
      </c>
      <c r="D33" s="68">
        <v>746</v>
      </c>
      <c r="E33" s="68">
        <v>999</v>
      </c>
    </row>
    <row r="34" spans="2:15" ht="15" customHeight="1" x14ac:dyDescent="0.45">
      <c r="B34" t="s">
        <v>90</v>
      </c>
      <c r="C34" s="68">
        <v>-189</v>
      </c>
      <c r="D34" s="68">
        <f>763-D32-D33</f>
        <v>973</v>
      </c>
      <c r="E34" s="68">
        <f>291-E33-E32</f>
        <v>291.5</v>
      </c>
      <c r="F34">
        <f t="shared" ref="F34" si="35">F11</f>
        <v>0</v>
      </c>
      <c r="G34">
        <f t="shared" ref="G34:J34" si="36">G11</f>
        <v>0</v>
      </c>
      <c r="H34">
        <f t="shared" si="36"/>
        <v>0</v>
      </c>
      <c r="I34">
        <f t="shared" si="36"/>
        <v>0</v>
      </c>
      <c r="J34">
        <f t="shared" si="36"/>
        <v>0</v>
      </c>
    </row>
    <row r="35" spans="2:15" ht="15" customHeight="1" x14ac:dyDescent="0.45">
      <c r="B35" t="s">
        <v>46</v>
      </c>
      <c r="C35" s="67">
        <f>SUM(C26,C32:C34)</f>
        <v>15079</v>
      </c>
      <c r="D35" s="67">
        <f t="shared" ref="D35:F35" si="37">SUM(D26,D32:D34)</f>
        <v>17259</v>
      </c>
      <c r="E35" s="67">
        <f>SUM(E26,E32:E34)</f>
        <v>19651</v>
      </c>
      <c r="F35" s="67">
        <f t="shared" si="37"/>
        <v>21765.557249999991</v>
      </c>
      <c r="G35" s="67">
        <f t="shared" ref="G35:J35" si="38">SUM(G26,G32:G34)</f>
        <v>25030.390837499996</v>
      </c>
      <c r="H35" s="67">
        <f t="shared" si="38"/>
        <v>28609.736727262498</v>
      </c>
      <c r="I35" s="67">
        <f t="shared" si="38"/>
        <v>32157.344081443043</v>
      </c>
      <c r="J35" s="67">
        <f t="shared" si="38"/>
        <v>35726.809274483225</v>
      </c>
      <c r="K35" s="67"/>
      <c r="L35" s="67"/>
      <c r="M35" s="67"/>
      <c r="N35" s="67"/>
      <c r="O35" s="67"/>
    </row>
    <row r="37" spans="2:15" ht="15" customHeight="1" x14ac:dyDescent="0.45">
      <c r="B37" t="s">
        <v>86</v>
      </c>
      <c r="C37" s="68">
        <v>-2739</v>
      </c>
      <c r="D37" s="68">
        <v>-3639</v>
      </c>
      <c r="E37" s="68">
        <v>-3303</v>
      </c>
      <c r="F37">
        <f t="shared" ref="F37" si="39">F35*F12</f>
        <v>-4026.6280912499983</v>
      </c>
      <c r="G37">
        <f t="shared" ref="G37:J37" si="40">G35*G12</f>
        <v>-4630.6223049374994</v>
      </c>
      <c r="H37">
        <f t="shared" si="40"/>
        <v>-5292.8012945435621</v>
      </c>
      <c r="I37">
        <f t="shared" si="40"/>
        <v>-5949.1086550669634</v>
      </c>
      <c r="J37">
        <f t="shared" si="40"/>
        <v>-6609.4597157793969</v>
      </c>
    </row>
    <row r="38" spans="2:15" ht="15" customHeight="1" x14ac:dyDescent="0.45">
      <c r="B38" t="s">
        <v>91</v>
      </c>
      <c r="C38">
        <f>C35+C37</f>
        <v>12340</v>
      </c>
      <c r="D38">
        <f t="shared" ref="D38:F38" si="41">D35+D37</f>
        <v>13620</v>
      </c>
      <c r="E38">
        <f t="shared" si="41"/>
        <v>16348</v>
      </c>
      <c r="F38">
        <f t="shared" si="41"/>
        <v>17738.929158749994</v>
      </c>
      <c r="G38">
        <f t="shared" ref="G38:J38" si="42">G35+G37</f>
        <v>20399.768532562495</v>
      </c>
      <c r="H38">
        <f t="shared" si="42"/>
        <v>23316.935432718936</v>
      </c>
      <c r="I38">
        <f t="shared" si="42"/>
        <v>26208.235426376079</v>
      </c>
      <c r="J38">
        <f t="shared" si="42"/>
        <v>29117.349558703827</v>
      </c>
    </row>
    <row r="40" spans="2:15" ht="15" customHeight="1" x14ac:dyDescent="0.45">
      <c r="B40" t="s">
        <v>92</v>
      </c>
      <c r="C40" s="68">
        <v>-427</v>
      </c>
      <c r="D40" s="68">
        <v>516</v>
      </c>
      <c r="E40" s="68">
        <v>0</v>
      </c>
      <c r="F40">
        <f t="shared" ref="F40" si="43">F14</f>
        <v>0</v>
      </c>
      <c r="G40">
        <f t="shared" ref="G40:J40" si="44">G14</f>
        <v>0</v>
      </c>
      <c r="H40">
        <f t="shared" si="44"/>
        <v>0</v>
      </c>
      <c r="I40">
        <f t="shared" si="44"/>
        <v>0</v>
      </c>
      <c r="J40">
        <f t="shared" si="44"/>
        <v>0</v>
      </c>
    </row>
    <row r="41" spans="2:15" ht="15" customHeight="1" x14ac:dyDescent="0.45">
      <c r="B41" t="s">
        <v>29</v>
      </c>
      <c r="C41" s="67">
        <f>C38+C40</f>
        <v>11913</v>
      </c>
      <c r="D41" s="67">
        <f t="shared" ref="D41:F41" si="45">D38+D40</f>
        <v>14136</v>
      </c>
      <c r="E41" s="67">
        <f t="shared" si="45"/>
        <v>16348</v>
      </c>
      <c r="F41" s="67">
        <f t="shared" si="45"/>
        <v>17738.929158749994</v>
      </c>
      <c r="G41" s="67">
        <f t="shared" ref="G41:J41" si="46">G38+G40</f>
        <v>20399.768532562495</v>
      </c>
      <c r="H41" s="67">
        <f t="shared" si="46"/>
        <v>23316.935432718936</v>
      </c>
      <c r="I41" s="67">
        <f t="shared" si="46"/>
        <v>26208.235426376079</v>
      </c>
      <c r="J41" s="67">
        <f t="shared" si="46"/>
        <v>29117.349558703827</v>
      </c>
      <c r="K41" s="67"/>
      <c r="L41" s="67"/>
      <c r="M41" s="67"/>
      <c r="N41" s="67"/>
      <c r="O41" s="67"/>
    </row>
    <row r="43" spans="2:15" ht="15" customHeight="1" x14ac:dyDescent="0.45">
      <c r="B43" t="s">
        <v>93</v>
      </c>
      <c r="C43" s="68">
        <v>13347</v>
      </c>
      <c r="D43" s="68">
        <v>13928</v>
      </c>
      <c r="E43" s="68">
        <v>16740.599999999999</v>
      </c>
      <c r="F43">
        <f>F41-F40-F34*(1+F13)</f>
        <v>17738.929158749994</v>
      </c>
      <c r="G43">
        <f t="shared" ref="G43:J43" si="47">G41-G40-G34*(1+G13)</f>
        <v>20399.768532562495</v>
      </c>
      <c r="H43">
        <f t="shared" si="47"/>
        <v>23316.935432718936</v>
      </c>
      <c r="I43">
        <f t="shared" si="47"/>
        <v>26208.235426376079</v>
      </c>
      <c r="J43">
        <f t="shared" si="47"/>
        <v>29117.349558703827</v>
      </c>
    </row>
    <row r="44" spans="2:15" ht="15" customHeight="1" x14ac:dyDescent="0.45">
      <c r="C44" s="66"/>
      <c r="D44" s="66"/>
      <c r="E44" s="66"/>
    </row>
    <row r="45" spans="2:15" ht="15" customHeight="1" x14ac:dyDescent="0.45">
      <c r="B45" t="s">
        <v>94</v>
      </c>
      <c r="C45" s="66">
        <v>18.11113372684714</v>
      </c>
      <c r="D45" s="66">
        <v>18.77094008339645</v>
      </c>
      <c r="E45" s="66">
        <v>22.480410917514352</v>
      </c>
      <c r="F45" s="69">
        <f>F43/F48</f>
        <v>23.693202805369886</v>
      </c>
      <c r="G45" s="69">
        <f t="shared" ref="G45:J45" si="48">G43/G48</f>
        <v>27.24718322617537</v>
      </c>
      <c r="H45" s="69">
        <f t="shared" si="48"/>
        <v>31.143530427518453</v>
      </c>
      <c r="I45" s="69">
        <f t="shared" si="48"/>
        <v>35.005328200530734</v>
      </c>
      <c r="J45" s="69">
        <f t="shared" si="48"/>
        <v>38.890919630789654</v>
      </c>
      <c r="K45" s="69"/>
      <c r="L45" s="69"/>
      <c r="M45" s="69"/>
      <c r="N45" s="69"/>
      <c r="O45" s="69"/>
    </row>
    <row r="46" spans="2:15" ht="15" customHeight="1" x14ac:dyDescent="0.45">
      <c r="B46" t="s">
        <v>78</v>
      </c>
      <c r="C46" s="66">
        <v>14.5</v>
      </c>
      <c r="D46" s="66">
        <v>14.7</v>
      </c>
      <c r="E46" s="66">
        <v>14.9</v>
      </c>
      <c r="F46" s="69">
        <f t="shared" ref="F46" si="49">E46*(1+F15)</f>
        <v>15.049000000000001</v>
      </c>
      <c r="G46" s="69">
        <f t="shared" ref="G46" si="50">F46*(1+G15)</f>
        <v>15.199490000000001</v>
      </c>
      <c r="H46" s="69">
        <f t="shared" ref="H46" si="51">G46*(1+H15)</f>
        <v>15.351484900000001</v>
      </c>
      <c r="I46" s="69">
        <f t="shared" ref="I46" si="52">H46*(1+I15)</f>
        <v>15.504999749000001</v>
      </c>
      <c r="J46" s="69">
        <f t="shared" ref="J46" si="53">I46*(1+J15)</f>
        <v>15.660049746490001</v>
      </c>
      <c r="K46" s="69"/>
      <c r="L46" s="69"/>
      <c r="M46" s="69"/>
      <c r="N46" s="69"/>
      <c r="O46" s="69"/>
    </row>
    <row r="47" spans="2:15" ht="15" customHeight="1" x14ac:dyDescent="0.45">
      <c r="B47" t="s">
        <v>79</v>
      </c>
      <c r="C47" s="68">
        <f>273.518+59.328+332.846</f>
        <v>665.69200000000001</v>
      </c>
      <c r="D47" s="68">
        <f>282.877+54.928+338.13</f>
        <v>675.93499999999995</v>
      </c>
      <c r="E47" s="68">
        <f>289.64+51.745+343.241</f>
        <v>684.62599999999998</v>
      </c>
      <c r="F47">
        <f t="shared" ref="F47" si="54">F16</f>
        <v>688.31976699999996</v>
      </c>
      <c r="G47">
        <f t="shared" ref="G47:J47" si="55">G16</f>
        <v>688.31976699999996</v>
      </c>
      <c r="H47">
        <f t="shared" si="55"/>
        <v>688.31976699999996</v>
      </c>
      <c r="I47">
        <f t="shared" si="55"/>
        <v>688.31976699999996</v>
      </c>
      <c r="J47">
        <f t="shared" si="55"/>
        <v>688.31976699999996</v>
      </c>
    </row>
    <row r="48" spans="2:15" ht="15" customHeight="1" x14ac:dyDescent="0.45">
      <c r="B48" t="s">
        <v>80</v>
      </c>
      <c r="C48" s="68">
        <f>338.809+59.332+338.809</f>
        <v>736.95</v>
      </c>
      <c r="D48" s="68">
        <f>342.377+54.928+344.693</f>
        <v>741.99800000000005</v>
      </c>
      <c r="E48" s="68">
        <f>343.78+51.745+349.15</f>
        <v>744.67499999999995</v>
      </c>
      <c r="F48">
        <f t="shared" ref="F48" si="56">F17</f>
        <v>748.69274975055714</v>
      </c>
      <c r="G48">
        <f t="shared" ref="G48:J48" si="57">G17</f>
        <v>748.69274975055714</v>
      </c>
      <c r="H48">
        <f t="shared" si="57"/>
        <v>748.69274975055714</v>
      </c>
      <c r="I48">
        <f t="shared" si="57"/>
        <v>748.69274975055714</v>
      </c>
      <c r="J48">
        <f t="shared" si="57"/>
        <v>748.69274975055714</v>
      </c>
    </row>
    <row r="50" spans="1:17" ht="15" customHeight="1" x14ac:dyDescent="0.45">
      <c r="A50" s="16" t="s">
        <v>41</v>
      </c>
    </row>
    <row r="51" spans="1:17" ht="15" customHeight="1" x14ac:dyDescent="0.45">
      <c r="B51" t="s">
        <v>100</v>
      </c>
      <c r="D51">
        <f>D81-C81</f>
        <v>6229</v>
      </c>
      <c r="E51">
        <f>E81-D81</f>
        <v>12469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</row>
    <row r="52" spans="1:17" ht="15" customHeight="1" x14ac:dyDescent="0.45">
      <c r="B52" t="s">
        <v>95</v>
      </c>
      <c r="C52" s="62">
        <f>C82/C20</f>
        <v>0.27808497991678527</v>
      </c>
      <c r="D52" s="62">
        <f>D82/D20</f>
        <v>0.21607248375024621</v>
      </c>
      <c r="E52" s="62">
        <f>E82/E20</f>
        <v>0.20066943151662245</v>
      </c>
      <c r="F52" s="63">
        <v>0.2</v>
      </c>
      <c r="G52" s="63">
        <v>0.2</v>
      </c>
      <c r="H52" s="63">
        <v>0.2</v>
      </c>
      <c r="I52" s="63">
        <v>0.2</v>
      </c>
      <c r="J52" s="63">
        <v>0.2</v>
      </c>
    </row>
    <row r="53" spans="1:17" ht="15" customHeight="1" x14ac:dyDescent="0.45">
      <c r="B53" t="s">
        <v>53</v>
      </c>
      <c r="C53" s="62">
        <f>C62/C20</f>
        <v>0.18998901277040292</v>
      </c>
      <c r="D53" s="62">
        <f>D62/D20</f>
        <v>0.17304283268435328</v>
      </c>
      <c r="E53" s="62">
        <f>E62/E20</f>
        <v>0.1752256997692995</v>
      </c>
      <c r="F53" s="63">
        <v>0.18</v>
      </c>
      <c r="G53" s="63">
        <v>0.17</v>
      </c>
      <c r="H53" s="63">
        <v>0.16</v>
      </c>
      <c r="I53" s="63">
        <v>0.15</v>
      </c>
      <c r="J53" s="63">
        <v>0.14000000000000001</v>
      </c>
    </row>
    <row r="54" spans="1:17" ht="15" customHeight="1" x14ac:dyDescent="0.45">
      <c r="B54" t="s">
        <v>99</v>
      </c>
      <c r="D54">
        <f>D86-C86</f>
        <v>1103</v>
      </c>
      <c r="E54">
        <f>E86-D86</f>
        <v>2104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</row>
    <row r="55" spans="1:17" ht="15" customHeight="1" x14ac:dyDescent="0.45">
      <c r="B55" t="s">
        <v>98</v>
      </c>
      <c r="C55">
        <f>C89</f>
        <v>16740</v>
      </c>
      <c r="D55">
        <f t="shared" ref="D55:E55" si="58">D89</f>
        <v>18135</v>
      </c>
      <c r="E55">
        <f t="shared" si="58"/>
        <v>18432</v>
      </c>
      <c r="F55" s="65">
        <v>18432</v>
      </c>
      <c r="G55" s="65">
        <v>18432</v>
      </c>
      <c r="H55" s="65">
        <v>18432</v>
      </c>
      <c r="I55" s="65">
        <v>18432</v>
      </c>
      <c r="J55" s="65">
        <v>18432</v>
      </c>
    </row>
    <row r="56" spans="1:17" ht="15" customHeight="1" x14ac:dyDescent="0.45">
      <c r="D56" s="62"/>
      <c r="E56" s="62"/>
      <c r="F56" s="62"/>
      <c r="G56" s="62"/>
      <c r="H56" s="62"/>
      <c r="I56" s="62"/>
      <c r="J56" s="62"/>
      <c r="Q56" s="62"/>
    </row>
    <row r="57" spans="1:17" ht="15" customHeight="1" x14ac:dyDescent="0.45">
      <c r="B57" t="s">
        <v>96</v>
      </c>
      <c r="C57" s="62">
        <f>C93/C20</f>
        <v>0.20774869864370757</v>
      </c>
      <c r="D57" s="62">
        <f>D93/D20</f>
        <v>0.22378448811381646</v>
      </c>
      <c r="E57" s="62">
        <f>E93/E20</f>
        <v>0.2144981263918708</v>
      </c>
      <c r="F57" s="63">
        <v>0.215</v>
      </c>
      <c r="G57" s="63">
        <v>0.215</v>
      </c>
      <c r="H57" s="63">
        <v>0.215</v>
      </c>
      <c r="I57" s="63">
        <v>0.215</v>
      </c>
      <c r="J57" s="63">
        <v>0.215</v>
      </c>
    </row>
    <row r="58" spans="1:17" ht="15" customHeight="1" x14ac:dyDescent="0.45">
      <c r="B58" t="s">
        <v>97</v>
      </c>
      <c r="C58" s="62">
        <f>C97/C20</f>
        <v>9.847079378230876E-2</v>
      </c>
      <c r="D58" s="62">
        <f>D97/D20</f>
        <v>8.060483932061635E-2</v>
      </c>
      <c r="E58" s="62">
        <f>E97/E20</f>
        <v>7.7611383002840414E-2</v>
      </c>
      <c r="F58" s="63">
        <v>8.5000000000000006E-2</v>
      </c>
      <c r="G58" s="63">
        <v>8.5000000000000006E-2</v>
      </c>
      <c r="H58" s="63">
        <v>8.5000000000000006E-2</v>
      </c>
      <c r="I58" s="63">
        <v>8.5000000000000006E-2</v>
      </c>
      <c r="J58" s="63">
        <v>8.5000000000000006E-2</v>
      </c>
    </row>
    <row r="59" spans="1:17" ht="15" customHeight="1" x14ac:dyDescent="0.45">
      <c r="E59" s="62"/>
      <c r="F59" s="62"/>
      <c r="G59" s="62"/>
      <c r="H59" s="62"/>
      <c r="I59" s="62"/>
      <c r="J59" s="62"/>
    </row>
    <row r="60" spans="1:17" ht="15" customHeight="1" x14ac:dyDescent="0.45">
      <c r="A60" s="16" t="s">
        <v>49</v>
      </c>
    </row>
    <row r="61" spans="1:17" ht="15" customHeight="1" x14ac:dyDescent="0.45">
      <c r="B61" t="s">
        <v>101</v>
      </c>
      <c r="F61">
        <f>E64</f>
        <v>29016</v>
      </c>
      <c r="G61">
        <f t="shared" ref="G61" si="59">F64</f>
        <v>39181.504499999995</v>
      </c>
      <c r="H61">
        <f t="shared" ref="H61:J61" si="60">G64</f>
        <v>48895.997408999996</v>
      </c>
      <c r="I61">
        <f t="shared" si="60"/>
        <v>58179.462246242991</v>
      </c>
      <c r="J61">
        <f t="shared" si="60"/>
        <v>66810.545557551697</v>
      </c>
    </row>
    <row r="62" spans="1:17" ht="15" customHeight="1" x14ac:dyDescent="0.45">
      <c r="B62" t="s">
        <v>54</v>
      </c>
      <c r="C62" s="61">
        <v>10548</v>
      </c>
      <c r="D62" s="61">
        <v>11421</v>
      </c>
      <c r="E62" s="61">
        <v>13140</v>
      </c>
      <c r="F62">
        <f t="shared" ref="F62" si="61">F53*F20</f>
        <v>15185.272499999999</v>
      </c>
      <c r="G62">
        <f t="shared" ref="G62" si="62">G53*G20</f>
        <v>16492.893187499998</v>
      </c>
      <c r="H62">
        <f t="shared" ref="H62:J62" si="63">H53*H20</f>
        <v>17742.472388999999</v>
      </c>
      <c r="I62">
        <f t="shared" si="63"/>
        <v>18696.13027990875</v>
      </c>
      <c r="J62">
        <f t="shared" si="63"/>
        <v>19386.640691580047</v>
      </c>
    </row>
    <row r="63" spans="1:17" ht="15" customHeight="1" x14ac:dyDescent="0.45">
      <c r="B63" t="s">
        <v>84</v>
      </c>
      <c r="C63" s="68"/>
      <c r="D63" s="68"/>
      <c r="E63" s="68"/>
      <c r="F63">
        <f t="shared" ref="F63" si="64">F28*-1</f>
        <v>-5019.768</v>
      </c>
      <c r="G63">
        <f t="shared" ref="G63" si="65">G28*-1</f>
        <v>-6778.4002784999984</v>
      </c>
      <c r="H63">
        <f t="shared" ref="H63:J63" si="66">H28*-1</f>
        <v>-8459.0075517569985</v>
      </c>
      <c r="I63">
        <f t="shared" si="66"/>
        <v>-10065.046968600036</v>
      </c>
      <c r="J63">
        <f t="shared" si="66"/>
        <v>-11558.224381456443</v>
      </c>
    </row>
    <row r="64" spans="1:17" ht="15" customHeight="1" x14ac:dyDescent="0.45">
      <c r="B64" t="s">
        <v>105</v>
      </c>
      <c r="E64">
        <f t="shared" ref="E64" si="67">E85</f>
        <v>29016</v>
      </c>
      <c r="F64">
        <f>SUM(F61:F63)</f>
        <v>39181.504499999995</v>
      </c>
      <c r="G64">
        <f t="shared" ref="G64" si="68">SUM(G61:G63)</f>
        <v>48895.997408999996</v>
      </c>
      <c r="H64">
        <f t="shared" ref="H64" si="69">SUM(H61:H63)</f>
        <v>58179.462246242991</v>
      </c>
      <c r="I64">
        <f t="shared" ref="I64" si="70">SUM(I61:I63)</f>
        <v>66810.545557551697</v>
      </c>
      <c r="J64">
        <f t="shared" ref="J64" si="71">SUM(J61:J63)</f>
        <v>74638.961867675302</v>
      </c>
    </row>
    <row r="66" spans="1:10" ht="15" customHeight="1" x14ac:dyDescent="0.45">
      <c r="B66" t="s">
        <v>153</v>
      </c>
      <c r="F66">
        <f>E68</f>
        <v>3847</v>
      </c>
      <c r="G66">
        <f t="shared" ref="G66" si="72">F68</f>
        <v>3041</v>
      </c>
      <c r="H66">
        <f t="shared" ref="H66:J66" si="73">G68</f>
        <v>2317</v>
      </c>
      <c r="I66">
        <f t="shared" si="73"/>
        <v>1680</v>
      </c>
      <c r="J66">
        <f t="shared" si="73"/>
        <v>1152</v>
      </c>
    </row>
    <row r="67" spans="1:10" ht="15" customHeight="1" x14ac:dyDescent="0.45">
      <c r="B67" t="s">
        <v>85</v>
      </c>
      <c r="F67">
        <f t="shared" ref="F67" si="74">F29*-1</f>
        <v>-806</v>
      </c>
      <c r="G67">
        <f t="shared" ref="G67" si="75">G29*-1</f>
        <v>-724</v>
      </c>
      <c r="H67">
        <f t="shared" ref="H67:J67" si="76">H29*-1</f>
        <v>-637</v>
      </c>
      <c r="I67">
        <f t="shared" si="76"/>
        <v>-528</v>
      </c>
      <c r="J67">
        <f t="shared" si="76"/>
        <v>-434</v>
      </c>
    </row>
    <row r="68" spans="1:10" ht="15" customHeight="1" x14ac:dyDescent="0.45">
      <c r="B68" t="s">
        <v>154</v>
      </c>
      <c r="E68">
        <f t="shared" ref="E68" si="77">E88</f>
        <v>3847</v>
      </c>
      <c r="F68">
        <f>SUM(F66:F67)</f>
        <v>3041</v>
      </c>
      <c r="G68">
        <f t="shared" ref="G68" si="78">SUM(G66:G67)</f>
        <v>2317</v>
      </c>
      <c r="H68">
        <f t="shared" ref="H68" si="79">SUM(H66:H67)</f>
        <v>1680</v>
      </c>
      <c r="I68">
        <f t="shared" ref="I68" si="80">SUM(I66:I67)</f>
        <v>1152</v>
      </c>
      <c r="J68">
        <f t="shared" ref="J68" si="81">SUM(J66:J67)</f>
        <v>718</v>
      </c>
    </row>
    <row r="70" spans="1:10" ht="15" customHeight="1" x14ac:dyDescent="0.45">
      <c r="B70" t="s">
        <v>55</v>
      </c>
      <c r="F70">
        <f>E73</f>
        <v>90331</v>
      </c>
      <c r="G70">
        <f t="shared" ref="G70" si="82">F73</f>
        <v>97711.404985166984</v>
      </c>
      <c r="H70">
        <f t="shared" ref="H70:J70" si="83">G73</f>
        <v>107649.06410241064</v>
      </c>
      <c r="I70">
        <f t="shared" si="83"/>
        <v>120399.26902565756</v>
      </c>
      <c r="J70">
        <f t="shared" si="83"/>
        <v>135935.1066374669</v>
      </c>
    </row>
    <row r="71" spans="1:10" ht="15" customHeight="1" x14ac:dyDescent="0.45">
      <c r="B71" t="s">
        <v>29</v>
      </c>
      <c r="F71">
        <f t="shared" ref="F71" si="84">F41</f>
        <v>17738.929158749994</v>
      </c>
      <c r="G71">
        <f t="shared" ref="G71" si="85">G41</f>
        <v>20399.768532562495</v>
      </c>
      <c r="H71">
        <f>H41</f>
        <v>23316.935432718936</v>
      </c>
      <c r="I71">
        <f t="shared" ref="I71:J71" si="86">I41</f>
        <v>26208.235426376079</v>
      </c>
      <c r="J71">
        <f t="shared" si="86"/>
        <v>29117.349558703827</v>
      </c>
    </row>
    <row r="72" spans="1:10" ht="15" customHeight="1" x14ac:dyDescent="0.45">
      <c r="B72" t="s">
        <v>56</v>
      </c>
      <c r="F72">
        <f t="shared" ref="F72" si="87">F46*F47*-1</f>
        <v>-10358.524173583</v>
      </c>
      <c r="G72">
        <f t="shared" ref="G72" si="88">G46*G47*-1</f>
        <v>-10462.10941531883</v>
      </c>
      <c r="H72">
        <f t="shared" ref="H72:J72" si="89">H46*H47*-1</f>
        <v>-10566.730509472018</v>
      </c>
      <c r="I72">
        <f t="shared" si="89"/>
        <v>-10672.397814566739</v>
      </c>
      <c r="J72">
        <f t="shared" si="89"/>
        <v>-10779.121792712405</v>
      </c>
    </row>
    <row r="73" spans="1:10" ht="15" customHeight="1" x14ac:dyDescent="0.45">
      <c r="B73" t="s">
        <v>57</v>
      </c>
      <c r="E73">
        <f t="shared" ref="E73" si="90">E100</f>
        <v>90331</v>
      </c>
      <c r="F73">
        <f>SUM(F70:F72)</f>
        <v>97711.404985166984</v>
      </c>
      <c r="G73">
        <f t="shared" ref="G73" si="91">SUM(G70:G72)</f>
        <v>107649.06410241064</v>
      </c>
      <c r="H73">
        <f t="shared" ref="H73" si="92">SUM(H70:H72)</f>
        <v>120399.26902565756</v>
      </c>
      <c r="I73">
        <f t="shared" ref="I73" si="93">SUM(I70:I72)</f>
        <v>135935.1066374669</v>
      </c>
      <c r="J73">
        <f t="shared" ref="J73" si="94">SUM(J70:J72)</f>
        <v>154273.33440345834</v>
      </c>
    </row>
    <row r="75" spans="1:10" ht="15" customHeight="1" x14ac:dyDescent="0.45">
      <c r="B75" t="s">
        <v>103</v>
      </c>
      <c r="C75">
        <f>C82</f>
        <v>15439</v>
      </c>
      <c r="D75">
        <f t="shared" ref="D75:F75" si="95">D82</f>
        <v>14261</v>
      </c>
      <c r="E75">
        <f t="shared" si="95"/>
        <v>15048</v>
      </c>
      <c r="F75">
        <f t="shared" si="95"/>
        <v>16872.525000000001</v>
      </c>
      <c r="G75">
        <f t="shared" ref="G75" si="96">G82</f>
        <v>19403.403749999998</v>
      </c>
      <c r="H75">
        <f t="shared" ref="H75:J75" si="97">H82</f>
        <v>22178.090486249999</v>
      </c>
      <c r="I75">
        <f t="shared" si="97"/>
        <v>24928.173706545</v>
      </c>
      <c r="J75">
        <f t="shared" si="97"/>
        <v>27695.200987971493</v>
      </c>
    </row>
    <row r="76" spans="1:10" ht="15" customHeight="1" x14ac:dyDescent="0.45">
      <c r="B76" t="s">
        <v>104</v>
      </c>
      <c r="C76">
        <f>C93</f>
        <v>11534</v>
      </c>
      <c r="D76">
        <f t="shared" ref="D76:F76" si="98">D93</f>
        <v>14770</v>
      </c>
      <c r="E76">
        <f t="shared" si="98"/>
        <v>16085</v>
      </c>
      <c r="F76">
        <f t="shared" si="98"/>
        <v>18137.964375</v>
      </c>
      <c r="G76">
        <f t="shared" ref="G76" si="99">G93</f>
        <v>20858.659031249997</v>
      </c>
      <c r="H76">
        <f t="shared" ref="H76:J76" si="100">H93</f>
        <v>23841.447272718746</v>
      </c>
      <c r="I76">
        <f t="shared" si="100"/>
        <v>26797.786734535875</v>
      </c>
      <c r="J76">
        <f t="shared" si="100"/>
        <v>29772.341062069354</v>
      </c>
    </row>
    <row r="77" spans="1:10" ht="15" customHeight="1" x14ac:dyDescent="0.45">
      <c r="B77" t="s">
        <v>102</v>
      </c>
      <c r="C77">
        <f>C75-C76</f>
        <v>3905</v>
      </c>
      <c r="D77">
        <f t="shared" ref="D77:F77" si="101">D75-D76</f>
        <v>-509</v>
      </c>
      <c r="E77">
        <f t="shared" si="101"/>
        <v>-1037</v>
      </c>
      <c r="F77">
        <f t="shared" si="101"/>
        <v>-1265.4393749999981</v>
      </c>
      <c r="G77">
        <f t="shared" ref="G77" si="102">G75-G76</f>
        <v>-1455.2552812499998</v>
      </c>
      <c r="H77">
        <f t="shared" ref="H77:J77" si="103">H75-H76</f>
        <v>-1663.3567864687466</v>
      </c>
      <c r="I77">
        <f t="shared" si="103"/>
        <v>-1869.6130279908757</v>
      </c>
      <c r="J77">
        <f t="shared" si="103"/>
        <v>-2077.1400740978606</v>
      </c>
    </row>
    <row r="79" spans="1:10" ht="15" customHeight="1" x14ac:dyDescent="0.45">
      <c r="A79" s="16" t="s">
        <v>30</v>
      </c>
    </row>
    <row r="80" spans="1:10" ht="15" customHeight="1" x14ac:dyDescent="0.45">
      <c r="B80" t="s">
        <v>106</v>
      </c>
      <c r="C80" s="68">
        <v>17628</v>
      </c>
      <c r="D80" s="68">
        <v>18347</v>
      </c>
      <c r="E80" s="68">
        <v>21549</v>
      </c>
      <c r="F80">
        <f>F128</f>
        <v>-24075.837014833007</v>
      </c>
      <c r="G80">
        <f t="shared" ref="G80:J80" si="104">G128</f>
        <v>-21863.231431589345</v>
      </c>
      <c r="H80">
        <f t="shared" si="104"/>
        <v>-16372.14797746043</v>
      </c>
      <c r="I80">
        <f t="shared" si="104"/>
        <v>-7564.3520668122983</v>
      </c>
      <c r="J80">
        <f t="shared" si="104"/>
        <v>4762.9730297687638</v>
      </c>
    </row>
    <row r="81" spans="2:10" ht="15" customHeight="1" x14ac:dyDescent="0.45">
      <c r="B81" t="s">
        <v>107</v>
      </c>
      <c r="C81" s="68">
        <v>9819</v>
      </c>
      <c r="D81" s="68">
        <v>16048</v>
      </c>
      <c r="E81" s="68">
        <v>28517</v>
      </c>
      <c r="F81">
        <f t="shared" ref="F81" si="105">E81+F51</f>
        <v>28517</v>
      </c>
      <c r="G81">
        <f t="shared" ref="G81" si="106">F81+G51</f>
        <v>28517</v>
      </c>
      <c r="H81">
        <f t="shared" ref="H81" si="107">G81+H51</f>
        <v>28517</v>
      </c>
      <c r="I81">
        <f t="shared" ref="I81" si="108">H81+I51</f>
        <v>28517</v>
      </c>
      <c r="J81">
        <f t="shared" ref="J81" si="109">I81+J51</f>
        <v>28517</v>
      </c>
    </row>
    <row r="82" spans="2:10" ht="15" customHeight="1" x14ac:dyDescent="0.45">
      <c r="B82" t="s">
        <v>103</v>
      </c>
      <c r="C82" s="68">
        <v>15439</v>
      </c>
      <c r="D82" s="68">
        <v>14261</v>
      </c>
      <c r="E82" s="68">
        <v>15048</v>
      </c>
      <c r="F82">
        <f t="shared" ref="F82" si="110">F52*F20</f>
        <v>16872.525000000001</v>
      </c>
      <c r="G82">
        <f t="shared" ref="G82" si="111">G52*G20</f>
        <v>19403.403749999998</v>
      </c>
      <c r="H82">
        <f t="shared" ref="H82:J82" si="112">H52*H20</f>
        <v>22178.090486249999</v>
      </c>
      <c r="I82">
        <f t="shared" si="112"/>
        <v>24928.173706545</v>
      </c>
      <c r="J82">
        <f t="shared" si="112"/>
        <v>27695.200987971493</v>
      </c>
    </row>
    <row r="83" spans="2:10" ht="15" customHeight="1" x14ac:dyDescent="0.45">
      <c r="B83" t="s">
        <v>113</v>
      </c>
      <c r="C83" s="67">
        <f>SUM(C80:C82)</f>
        <v>42886</v>
      </c>
      <c r="D83" s="67">
        <f>SUM(D80:D82)</f>
        <v>48656</v>
      </c>
      <c r="E83" s="67">
        <f>SUM(E80:E82)</f>
        <v>65114</v>
      </c>
      <c r="F83" s="67">
        <f>SUM(F80:F82)</f>
        <v>21313.687985166995</v>
      </c>
      <c r="G83" s="67">
        <f t="shared" ref="G83" si="113">SUM(G80:G82)</f>
        <v>26057.172318410652</v>
      </c>
      <c r="H83" s="67">
        <f t="shared" ref="H83" si="114">SUM(H80:H82)</f>
        <v>34322.942508789565</v>
      </c>
      <c r="I83" s="67">
        <f t="shared" ref="I83" si="115">SUM(I80:I82)</f>
        <v>45880.821639732705</v>
      </c>
      <c r="J83" s="67">
        <f t="shared" ref="J83" si="116">SUM(J80:J82)</f>
        <v>60975.174017740253</v>
      </c>
    </row>
    <row r="85" spans="2:10" ht="15" customHeight="1" x14ac:dyDescent="0.45">
      <c r="B85" t="s">
        <v>108</v>
      </c>
      <c r="C85" s="68">
        <v>16524</v>
      </c>
      <c r="D85" s="68">
        <v>23883</v>
      </c>
      <c r="E85" s="68">
        <v>29016</v>
      </c>
      <c r="F85">
        <f>F64</f>
        <v>39181.504499999995</v>
      </c>
      <c r="G85">
        <f t="shared" ref="G85" si="117">G64</f>
        <v>48895.997408999996</v>
      </c>
      <c r="H85">
        <f t="shared" ref="H85:J85" si="118">H64</f>
        <v>58179.462246242991</v>
      </c>
      <c r="I85">
        <f t="shared" si="118"/>
        <v>66810.545557551697</v>
      </c>
      <c r="J85">
        <f t="shared" si="118"/>
        <v>74638.961867675302</v>
      </c>
    </row>
    <row r="86" spans="2:10" ht="15" customHeight="1" x14ac:dyDescent="0.45">
      <c r="B86" t="s">
        <v>114</v>
      </c>
      <c r="C86" s="68">
        <v>1976</v>
      </c>
      <c r="D86" s="68">
        <v>3079</v>
      </c>
      <c r="E86" s="68">
        <v>5183</v>
      </c>
      <c r="F86">
        <f t="shared" ref="F86" si="119">E86+F54</f>
        <v>5183</v>
      </c>
      <c r="G86">
        <f t="shared" ref="G86" si="120">F86+G54</f>
        <v>5183</v>
      </c>
      <c r="H86">
        <f t="shared" ref="H86" si="121">G86+H54</f>
        <v>5183</v>
      </c>
      <c r="I86">
        <f t="shared" ref="I86" si="122">H86+I54</f>
        <v>5183</v>
      </c>
      <c r="J86">
        <f t="shared" ref="J86" si="123">I86+J54</f>
        <v>5183</v>
      </c>
    </row>
    <row r="87" spans="2:10" ht="15" customHeight="1" x14ac:dyDescent="0.45">
      <c r="B87" t="s">
        <v>109</v>
      </c>
      <c r="C87" s="68">
        <v>31492</v>
      </c>
      <c r="D87" s="68">
        <v>35599</v>
      </c>
      <c r="E87" s="68">
        <v>35869</v>
      </c>
      <c r="F87">
        <f>E87</f>
        <v>35869</v>
      </c>
      <c r="G87">
        <f t="shared" ref="G87" si="124">F87</f>
        <v>35869</v>
      </c>
      <c r="H87">
        <f t="shared" ref="H87:J87" si="125">G87</f>
        <v>35869</v>
      </c>
      <c r="I87">
        <f t="shared" si="125"/>
        <v>35869</v>
      </c>
      <c r="J87">
        <f t="shared" si="125"/>
        <v>35869</v>
      </c>
    </row>
    <row r="88" spans="2:10" ht="15" customHeight="1" x14ac:dyDescent="0.45">
      <c r="B88" t="s">
        <v>110</v>
      </c>
      <c r="C88" s="68">
        <v>6066</v>
      </c>
      <c r="D88" s="68">
        <v>4607</v>
      </c>
      <c r="E88" s="68">
        <v>3847</v>
      </c>
      <c r="F88">
        <f>F68</f>
        <v>3041</v>
      </c>
      <c r="G88">
        <f t="shared" ref="G88" si="126">G68</f>
        <v>2317</v>
      </c>
      <c r="H88">
        <f t="shared" ref="H88:J88" si="127">H68</f>
        <v>1680</v>
      </c>
      <c r="I88">
        <f t="shared" si="127"/>
        <v>1152</v>
      </c>
      <c r="J88">
        <f t="shared" si="127"/>
        <v>718</v>
      </c>
    </row>
    <row r="89" spans="2:10" ht="15" customHeight="1" x14ac:dyDescent="0.45">
      <c r="B89" t="s">
        <v>115</v>
      </c>
      <c r="C89" s="68">
        <v>16740</v>
      </c>
      <c r="D89" s="68">
        <v>18135</v>
      </c>
      <c r="E89" s="68">
        <v>18432</v>
      </c>
      <c r="F89">
        <f>F55</f>
        <v>18432</v>
      </c>
      <c r="G89">
        <f t="shared" ref="G89" si="128">G55</f>
        <v>18432</v>
      </c>
      <c r="H89">
        <f t="shared" ref="H89:J89" si="129">H55</f>
        <v>18432</v>
      </c>
      <c r="I89">
        <f t="shared" si="129"/>
        <v>18432</v>
      </c>
      <c r="J89">
        <f t="shared" si="129"/>
        <v>18432</v>
      </c>
    </row>
    <row r="90" spans="2:10" ht="15" customHeight="1" x14ac:dyDescent="0.45">
      <c r="B90" t="s">
        <v>31</v>
      </c>
      <c r="C90" s="67">
        <f>SUM(C83,C85:C89)</f>
        <v>115684</v>
      </c>
      <c r="D90" s="67">
        <f>SUM(D83,D85:D89)</f>
        <v>133959</v>
      </c>
      <c r="E90" s="67">
        <f>SUM(E83,E85:E89)</f>
        <v>157461</v>
      </c>
      <c r="F90" s="67">
        <f>SUM(F83,F85:F89)</f>
        <v>123020.19248516699</v>
      </c>
      <c r="G90" s="67">
        <f t="shared" ref="G90" si="130">SUM(G83,G85:G89)</f>
        <v>136754.16972741066</v>
      </c>
      <c r="H90" s="67">
        <f t="shared" ref="H90" si="131">SUM(H83,H85:H89)</f>
        <v>153666.40475503256</v>
      </c>
      <c r="I90" s="67">
        <f t="shared" ref="I90" si="132">SUM(I83,I85:I89)</f>
        <v>173327.36719728442</v>
      </c>
      <c r="J90" s="67">
        <f t="shared" ref="J90" si="133">SUM(J83,J85:J89)</f>
        <v>195816.13588541554</v>
      </c>
    </row>
    <row r="92" spans="2:10" ht="15" customHeight="1" x14ac:dyDescent="0.45">
      <c r="B92" t="s">
        <v>116</v>
      </c>
      <c r="C92" s="68">
        <v>3374</v>
      </c>
      <c r="D92" s="68">
        <v>2009</v>
      </c>
      <c r="E92">
        <f>E211</f>
        <v>5225</v>
      </c>
    </row>
    <row r="93" spans="2:10" ht="15" customHeight="1" x14ac:dyDescent="0.45">
      <c r="B93" t="s">
        <v>104</v>
      </c>
      <c r="C93" s="68">
        <v>11534</v>
      </c>
      <c r="D93" s="68">
        <f>16779-D92</f>
        <v>14770</v>
      </c>
      <c r="E93" s="68">
        <f>19310-3225</f>
        <v>16085</v>
      </c>
      <c r="F93">
        <f t="shared" ref="F93" si="134">F57*F20</f>
        <v>18137.964375</v>
      </c>
      <c r="G93">
        <f t="shared" ref="G93" si="135">G57*G20</f>
        <v>20858.659031249997</v>
      </c>
      <c r="H93">
        <f t="shared" ref="H93:J93" si="136">H57*H20</f>
        <v>23841.447272718746</v>
      </c>
      <c r="I93">
        <f t="shared" si="136"/>
        <v>26797.786734535875</v>
      </c>
      <c r="J93">
        <f t="shared" si="136"/>
        <v>29772.341062069354</v>
      </c>
    </row>
    <row r="94" spans="2:10" ht="15" customHeight="1" x14ac:dyDescent="0.45">
      <c r="B94" t="s">
        <v>117</v>
      </c>
      <c r="C94" s="67">
        <f>SUM(C92:C93)</f>
        <v>14908</v>
      </c>
      <c r="D94" s="67">
        <f>SUM(D92:D93)</f>
        <v>16779</v>
      </c>
      <c r="E94" s="67">
        <f>SUM(E92:E93)</f>
        <v>21310</v>
      </c>
      <c r="F94" s="67">
        <f>SUM(F92:F93)</f>
        <v>18137.964375</v>
      </c>
      <c r="G94" s="67">
        <f t="shared" ref="G94" si="137">SUM(G92:G93)</f>
        <v>20858.659031249997</v>
      </c>
      <c r="H94" s="67">
        <f t="shared" ref="H94" si="138">SUM(H92:H93)</f>
        <v>23841.447272718746</v>
      </c>
      <c r="I94" s="67">
        <f t="shared" ref="I94" si="139">SUM(I92:I93)</f>
        <v>26797.786734535875</v>
      </c>
      <c r="J94" s="67">
        <f t="shared" ref="J94" si="140">SUM(J92:J93)</f>
        <v>29772.341062069354</v>
      </c>
    </row>
    <row r="96" spans="2:10" ht="15" customHeight="1" x14ac:dyDescent="0.45">
      <c r="B96" t="s">
        <v>146</v>
      </c>
      <c r="C96" s="68">
        <v>38000</v>
      </c>
      <c r="D96" s="68">
        <v>38000</v>
      </c>
      <c r="E96">
        <f>E212</f>
        <v>40000</v>
      </c>
    </row>
    <row r="97" spans="1:10" ht="15" customHeight="1" x14ac:dyDescent="0.45">
      <c r="B97" t="s">
        <v>118</v>
      </c>
      <c r="C97" s="68">
        <v>5467</v>
      </c>
      <c r="D97" s="68">
        <f>104+3340+758+1118</f>
        <v>5320</v>
      </c>
      <c r="E97" s="68">
        <f>151+3663+189+1822-5</f>
        <v>5820</v>
      </c>
      <c r="F97">
        <f t="shared" ref="F97" si="141">F58*F20</f>
        <v>7170.8231250000008</v>
      </c>
      <c r="G97">
        <f t="shared" ref="G97" si="142">G58*G20</f>
        <v>8246.446593749999</v>
      </c>
      <c r="H97">
        <f t="shared" ref="H97:J97" si="143">H58*H20</f>
        <v>9425.6884566562494</v>
      </c>
      <c r="I97">
        <f t="shared" si="143"/>
        <v>10594.473825281626</v>
      </c>
      <c r="J97">
        <f t="shared" si="143"/>
        <v>11770.460419887886</v>
      </c>
    </row>
    <row r="98" spans="1:10" ht="15" customHeight="1" x14ac:dyDescent="0.45">
      <c r="B98" t="s">
        <v>32</v>
      </c>
      <c r="C98" s="67">
        <f>SUM(C94,C96:C97)</f>
        <v>58375</v>
      </c>
      <c r="D98" s="67">
        <f>SUM(D94,D96:D97)</f>
        <v>60099</v>
      </c>
      <c r="E98" s="67">
        <f>SUM(E94,E96:E97)</f>
        <v>67130</v>
      </c>
      <c r="F98" s="67">
        <f>SUM(F94,F96:F97)</f>
        <v>25308.787499999999</v>
      </c>
      <c r="G98" s="67">
        <f t="shared" ref="G98" si="144">SUM(G94,G96:G97)</f>
        <v>29105.105624999997</v>
      </c>
      <c r="H98" s="67">
        <f t="shared" ref="H98" si="145">SUM(H94,H96:H97)</f>
        <v>33267.135729374997</v>
      </c>
      <c r="I98" s="67">
        <f t="shared" ref="I98" si="146">SUM(I94,I96:I97)</f>
        <v>37392.2605598175</v>
      </c>
      <c r="J98" s="67">
        <f t="shared" ref="J98" si="147">SUM(J94,J96:J97)</f>
        <v>41542.801481957242</v>
      </c>
    </row>
    <row r="100" spans="1:10" ht="15" customHeight="1" x14ac:dyDescent="0.45">
      <c r="B100" t="s">
        <v>111</v>
      </c>
      <c r="C100" s="68">
        <v>57309</v>
      </c>
      <c r="D100" s="68">
        <v>73860</v>
      </c>
      <c r="E100" s="68">
        <v>90331</v>
      </c>
      <c r="F100">
        <f>F73</f>
        <v>97711.404985166984</v>
      </c>
      <c r="G100">
        <f t="shared" ref="G100" si="148">G73</f>
        <v>107649.06410241064</v>
      </c>
      <c r="H100">
        <f t="shared" ref="H100:J100" si="149">H73</f>
        <v>120399.26902565756</v>
      </c>
      <c r="I100">
        <f t="shared" si="149"/>
        <v>135935.1066374669</v>
      </c>
      <c r="J100">
        <f t="shared" si="149"/>
        <v>154273.33440345834</v>
      </c>
    </row>
    <row r="101" spans="1:10" ht="15" customHeight="1" x14ac:dyDescent="0.45">
      <c r="B101" t="s">
        <v>33</v>
      </c>
      <c r="C101" s="67">
        <f>C98+C100</f>
        <v>115684</v>
      </c>
      <c r="D101" s="67">
        <f t="shared" ref="D101:F101" si="150">D98+D100</f>
        <v>133959</v>
      </c>
      <c r="E101" s="67">
        <f t="shared" si="150"/>
        <v>157461</v>
      </c>
      <c r="F101" s="67">
        <f t="shared" si="150"/>
        <v>123020.19248516698</v>
      </c>
      <c r="G101" s="67">
        <f t="shared" ref="G101" si="151">G98+G100</f>
        <v>136754.16972741066</v>
      </c>
      <c r="H101" s="67">
        <f t="shared" ref="H101:J101" si="152">H98+H100</f>
        <v>153666.40475503256</v>
      </c>
      <c r="I101" s="67">
        <f t="shared" si="152"/>
        <v>173327.36719728442</v>
      </c>
      <c r="J101" s="67">
        <f t="shared" si="152"/>
        <v>195816.1358854156</v>
      </c>
    </row>
    <row r="103" spans="1:10" ht="15" customHeight="1" x14ac:dyDescent="0.45">
      <c r="B103" t="s">
        <v>112</v>
      </c>
      <c r="C103">
        <f>C101-C90</f>
        <v>0</v>
      </c>
      <c r="D103">
        <f t="shared" ref="D103:F103" si="153">D101-D90</f>
        <v>0</v>
      </c>
      <c r="E103">
        <f>E101-E90</f>
        <v>0</v>
      </c>
      <c r="F103">
        <f t="shared" si="153"/>
        <v>0</v>
      </c>
      <c r="G103">
        <f t="shared" ref="G103" si="154">G101-G90</f>
        <v>0</v>
      </c>
      <c r="H103">
        <f t="shared" ref="H103:J103" si="155">H101-H90</f>
        <v>0</v>
      </c>
      <c r="I103">
        <f t="shared" si="155"/>
        <v>0</v>
      </c>
      <c r="J103">
        <f t="shared" si="155"/>
        <v>0</v>
      </c>
    </row>
    <row r="105" spans="1:10" ht="15" customHeight="1" x14ac:dyDescent="0.45">
      <c r="A105" s="16" t="s">
        <v>50</v>
      </c>
    </row>
    <row r="106" spans="1:10" ht="15" customHeight="1" x14ac:dyDescent="0.45">
      <c r="B106" t="s">
        <v>29</v>
      </c>
      <c r="F106">
        <f>F71</f>
        <v>17738.929158749994</v>
      </c>
      <c r="G106">
        <f t="shared" ref="G106" si="156">G71</f>
        <v>20399.768532562495</v>
      </c>
      <c r="H106">
        <f t="shared" ref="H106:J106" si="157">H71</f>
        <v>23316.935432718936</v>
      </c>
      <c r="I106">
        <f t="shared" si="157"/>
        <v>26208.235426376079</v>
      </c>
      <c r="J106">
        <f t="shared" si="157"/>
        <v>29117.349558703827</v>
      </c>
    </row>
    <row r="107" spans="1:10" ht="15" customHeight="1" x14ac:dyDescent="0.45">
      <c r="B107" t="s">
        <v>84</v>
      </c>
      <c r="F107">
        <f>F63*-1</f>
        <v>5019.768</v>
      </c>
      <c r="G107">
        <f t="shared" ref="G107" si="158">G63*-1</f>
        <v>6778.4002784999984</v>
      </c>
      <c r="H107">
        <f t="shared" ref="H107:J107" si="159">H63*-1</f>
        <v>8459.0075517569985</v>
      </c>
      <c r="I107">
        <f t="shared" si="159"/>
        <v>10065.046968600036</v>
      </c>
      <c r="J107">
        <f t="shared" si="159"/>
        <v>11558.224381456443</v>
      </c>
    </row>
    <row r="108" spans="1:10" ht="15" customHeight="1" x14ac:dyDescent="0.45">
      <c r="B108" t="s">
        <v>85</v>
      </c>
      <c r="F108">
        <f>F67*-1</f>
        <v>806</v>
      </c>
      <c r="G108">
        <f t="shared" ref="G108" si="160">G67*-1</f>
        <v>724</v>
      </c>
      <c r="H108">
        <f t="shared" ref="H108:J108" si="161">H67*-1</f>
        <v>637</v>
      </c>
      <c r="I108">
        <f t="shared" si="161"/>
        <v>528</v>
      </c>
      <c r="J108">
        <f t="shared" si="161"/>
        <v>434</v>
      </c>
    </row>
    <row r="109" spans="1:10" ht="15" customHeight="1" x14ac:dyDescent="0.45">
      <c r="B109" t="s">
        <v>63</v>
      </c>
      <c r="F109">
        <f>E77-F77</f>
        <v>228.43937499999811</v>
      </c>
      <c r="G109">
        <f t="shared" ref="G109" si="162">F77-G77</f>
        <v>189.81590625000172</v>
      </c>
      <c r="H109">
        <f t="shared" ref="H109:J109" si="163">G77-H77</f>
        <v>208.10150521874675</v>
      </c>
      <c r="I109">
        <f t="shared" si="163"/>
        <v>206.25624152212913</v>
      </c>
      <c r="J109">
        <f t="shared" si="163"/>
        <v>207.52704610698493</v>
      </c>
    </row>
    <row r="110" spans="1:10" ht="15" customHeight="1" x14ac:dyDescent="0.45">
      <c r="B110" t="s">
        <v>120</v>
      </c>
      <c r="F110">
        <f>E89-F89</f>
        <v>0</v>
      </c>
      <c r="G110">
        <f t="shared" ref="G110" si="164">F89-G89</f>
        <v>0</v>
      </c>
      <c r="H110">
        <f t="shared" ref="H110:J110" si="165">G89-H89</f>
        <v>0</v>
      </c>
      <c r="I110">
        <f t="shared" si="165"/>
        <v>0</v>
      </c>
      <c r="J110">
        <f t="shared" si="165"/>
        <v>0</v>
      </c>
    </row>
    <row r="111" spans="1:10" ht="15" customHeight="1" x14ac:dyDescent="0.45">
      <c r="B111" t="s">
        <v>121</v>
      </c>
      <c r="F111">
        <f>F97-E97</f>
        <v>1350.8231250000008</v>
      </c>
      <c r="G111">
        <f t="shared" ref="G111" si="166">G97-F97</f>
        <v>1075.6234687499982</v>
      </c>
      <c r="H111">
        <f t="shared" ref="H111:J111" si="167">H97-G97</f>
        <v>1179.2418629062504</v>
      </c>
      <c r="I111">
        <f t="shared" si="167"/>
        <v>1168.7853686253766</v>
      </c>
      <c r="J111">
        <f t="shared" si="167"/>
        <v>1175.98659460626</v>
      </c>
    </row>
    <row r="112" spans="1:10" ht="15" customHeight="1" x14ac:dyDescent="0.45">
      <c r="B112" t="s">
        <v>134</v>
      </c>
      <c r="F112">
        <f>SUM(F106:F111)</f>
        <v>25143.959658749991</v>
      </c>
      <c r="G112">
        <f t="shared" ref="G112" si="168">SUM(G106:G111)</f>
        <v>29167.608186062491</v>
      </c>
      <c r="H112">
        <f t="shared" ref="H112" si="169">SUM(H106:H111)</f>
        <v>33800.286352600931</v>
      </c>
      <c r="I112">
        <f t="shared" ref="I112" si="170">SUM(I106:I111)</f>
        <v>38176.324005123621</v>
      </c>
      <c r="J112">
        <f t="shared" ref="J112" si="171">SUM(J106:J111)</f>
        <v>42493.087580873515</v>
      </c>
    </row>
    <row r="114" spans="2:10" ht="15" customHeight="1" x14ac:dyDescent="0.45">
      <c r="B114" t="s">
        <v>54</v>
      </c>
      <c r="F114">
        <f>F62*-1</f>
        <v>-15185.272499999999</v>
      </c>
      <c r="G114">
        <f t="shared" ref="G114" si="172">G62*-1</f>
        <v>-16492.893187499998</v>
      </c>
      <c r="H114">
        <f t="shared" ref="H114:J114" si="173">H62*-1</f>
        <v>-17742.472388999999</v>
      </c>
      <c r="I114">
        <f t="shared" si="173"/>
        <v>-18696.13027990875</v>
      </c>
      <c r="J114">
        <f t="shared" si="173"/>
        <v>-19386.640691580047</v>
      </c>
    </row>
    <row r="115" spans="2:10" ht="15" customHeight="1" x14ac:dyDescent="0.45">
      <c r="B115" t="s">
        <v>122</v>
      </c>
      <c r="F115">
        <f>E81-F81</f>
        <v>0</v>
      </c>
      <c r="G115">
        <f t="shared" ref="G115" si="174">F81-G81</f>
        <v>0</v>
      </c>
      <c r="H115">
        <f t="shared" ref="H115:J115" si="175">G81-H81</f>
        <v>0</v>
      </c>
      <c r="I115">
        <f t="shared" si="175"/>
        <v>0</v>
      </c>
      <c r="J115">
        <f t="shared" si="175"/>
        <v>0</v>
      </c>
    </row>
    <row r="116" spans="2:10" ht="15" customHeight="1" x14ac:dyDescent="0.45">
      <c r="B116" t="s">
        <v>123</v>
      </c>
      <c r="F116">
        <f>E86-F86</f>
        <v>0</v>
      </c>
      <c r="G116">
        <f t="shared" ref="G116" si="176">F86-G86</f>
        <v>0</v>
      </c>
      <c r="H116">
        <f t="shared" ref="H116:J116" si="177">G86-H86</f>
        <v>0</v>
      </c>
      <c r="I116">
        <f t="shared" si="177"/>
        <v>0</v>
      </c>
      <c r="J116">
        <f t="shared" si="177"/>
        <v>0</v>
      </c>
    </row>
    <row r="117" spans="2:10" ht="15" customHeight="1" x14ac:dyDescent="0.45">
      <c r="B117" t="s">
        <v>135</v>
      </c>
      <c r="F117">
        <f>SUM(F114:F116)</f>
        <v>-15185.272499999999</v>
      </c>
      <c r="G117">
        <f t="shared" ref="G117" si="178">SUM(G114:G116)</f>
        <v>-16492.893187499998</v>
      </c>
      <c r="H117">
        <f t="shared" ref="H117" si="179">SUM(H114:H116)</f>
        <v>-17742.472388999999</v>
      </c>
      <c r="I117">
        <f t="shared" ref="I117" si="180">SUM(I114:I116)</f>
        <v>-18696.13027990875</v>
      </c>
      <c r="J117">
        <f t="shared" ref="J117" si="181">SUM(J114:J116)</f>
        <v>-19386.640691580047</v>
      </c>
    </row>
    <row r="119" spans="2:10" ht="15" customHeight="1" x14ac:dyDescent="0.45">
      <c r="B119" t="s">
        <v>136</v>
      </c>
      <c r="F119">
        <f t="shared" ref="F119" si="182">F92-E92</f>
        <v>-5225</v>
      </c>
      <c r="G119">
        <f t="shared" ref="G119" si="183">G92-F92</f>
        <v>0</v>
      </c>
      <c r="H119">
        <f t="shared" ref="H119" si="184">H92-G92</f>
        <v>0</v>
      </c>
      <c r="I119">
        <f t="shared" ref="I119" si="185">I92-H92</f>
        <v>0</v>
      </c>
      <c r="J119">
        <f t="shared" ref="J119" si="186">J92-I92</f>
        <v>0</v>
      </c>
    </row>
    <row r="120" spans="2:10" ht="15" customHeight="1" x14ac:dyDescent="0.45">
      <c r="B120" t="s">
        <v>137</v>
      </c>
      <c r="F120">
        <f t="shared" ref="F120" si="187">F96-E96</f>
        <v>-40000</v>
      </c>
      <c r="G120">
        <f t="shared" ref="G120" si="188">G96-F96</f>
        <v>0</v>
      </c>
      <c r="H120">
        <f t="shared" ref="H120" si="189">H96-G96</f>
        <v>0</v>
      </c>
      <c r="I120">
        <f t="shared" ref="I120" si="190">I96-H96</f>
        <v>0</v>
      </c>
      <c r="J120">
        <f t="shared" ref="J120" si="191">J96-I96</f>
        <v>0</v>
      </c>
    </row>
    <row r="121" spans="2:10" ht="15" customHeight="1" x14ac:dyDescent="0.45">
      <c r="B121" t="s">
        <v>131</v>
      </c>
      <c r="F121">
        <f>F72</f>
        <v>-10358.524173583</v>
      </c>
      <c r="G121">
        <f t="shared" ref="G121" si="192">G72</f>
        <v>-10462.10941531883</v>
      </c>
      <c r="H121">
        <f t="shared" ref="H121:J121" si="193">H72</f>
        <v>-10566.730509472018</v>
      </c>
      <c r="I121">
        <f t="shared" si="193"/>
        <v>-10672.397814566739</v>
      </c>
      <c r="J121">
        <f t="shared" si="193"/>
        <v>-10779.121792712405</v>
      </c>
    </row>
    <row r="122" spans="2:10" ht="15" customHeight="1" x14ac:dyDescent="0.45">
      <c r="B122" t="s">
        <v>132</v>
      </c>
      <c r="F122">
        <f>SUM(F119:F121)</f>
        <v>-55583.524173582999</v>
      </c>
      <c r="G122">
        <f t="shared" ref="G122" si="194">SUM(G119:G121)</f>
        <v>-10462.10941531883</v>
      </c>
      <c r="H122">
        <f t="shared" ref="H122" si="195">SUM(H119:H121)</f>
        <v>-10566.730509472018</v>
      </c>
      <c r="I122">
        <f t="shared" ref="I122" si="196">SUM(I119:I121)</f>
        <v>-10672.397814566739</v>
      </c>
      <c r="J122">
        <f t="shared" ref="J122" si="197">SUM(J119:J121)</f>
        <v>-10779.121792712405</v>
      </c>
    </row>
    <row r="124" spans="2:10" ht="15" customHeight="1" x14ac:dyDescent="0.45">
      <c r="B124" t="s">
        <v>162</v>
      </c>
      <c r="F124">
        <f>E126</f>
        <v>21549</v>
      </c>
      <c r="G124">
        <f t="shared" ref="G124" si="198">F126</f>
        <v>-24075.837014833007</v>
      </c>
      <c r="H124">
        <f t="shared" ref="H124:J124" si="199">G126</f>
        <v>-21863.231431589345</v>
      </c>
      <c r="I124">
        <f t="shared" si="199"/>
        <v>-16372.14797746043</v>
      </c>
      <c r="J124">
        <f t="shared" si="199"/>
        <v>-7564.3520668122983</v>
      </c>
    </row>
    <row r="125" spans="2:10" ht="15" customHeight="1" x14ac:dyDescent="0.45">
      <c r="B125" t="s">
        <v>133</v>
      </c>
      <c r="F125">
        <f>F112+F117+F122</f>
        <v>-45624.837014833007</v>
      </c>
      <c r="G125">
        <f t="shared" ref="G125" si="200">G112+G117+G122</f>
        <v>2212.6055832436632</v>
      </c>
      <c r="H125">
        <f t="shared" ref="H125:J125" si="201">H112+H117+H122</f>
        <v>5491.083454128915</v>
      </c>
      <c r="I125">
        <f t="shared" si="201"/>
        <v>8807.7959106481321</v>
      </c>
      <c r="J125">
        <f t="shared" si="201"/>
        <v>12327.325096581062</v>
      </c>
    </row>
    <row r="126" spans="2:10" ht="15" customHeight="1" x14ac:dyDescent="0.45">
      <c r="B126" t="s">
        <v>161</v>
      </c>
      <c r="E126">
        <f>E80</f>
        <v>21549</v>
      </c>
      <c r="F126">
        <f>SUM(F124:F125)</f>
        <v>-24075.837014833007</v>
      </c>
      <c r="G126">
        <f t="shared" ref="G126" si="202">SUM(G124:G125)</f>
        <v>-21863.231431589345</v>
      </c>
      <c r="H126">
        <f t="shared" ref="H126" si="203">SUM(H124:H125)</f>
        <v>-16372.14797746043</v>
      </c>
      <c r="I126">
        <f t="shared" ref="I126" si="204">SUM(I124:I125)</f>
        <v>-7564.3520668122983</v>
      </c>
      <c r="J126">
        <f t="shared" ref="J126" si="205">SUM(J124:J125)</f>
        <v>4762.9730297687638</v>
      </c>
    </row>
    <row r="128" spans="2:10" ht="15" customHeight="1" x14ac:dyDescent="0.45">
      <c r="B128" t="s">
        <v>112</v>
      </c>
      <c r="F128">
        <f>F126-F194</f>
        <v>-24075.837014833007</v>
      </c>
      <c r="G128">
        <f t="shared" ref="G128:J128" si="206">G126-G194</f>
        <v>-21863.231431589345</v>
      </c>
      <c r="H128">
        <f t="shared" si="206"/>
        <v>-16372.14797746043</v>
      </c>
      <c r="I128">
        <f t="shared" si="206"/>
        <v>-7564.3520668122983</v>
      </c>
      <c r="J128">
        <f t="shared" si="206"/>
        <v>4762.9730297687638</v>
      </c>
    </row>
    <row r="130" spans="1:10" ht="15" customHeight="1" x14ac:dyDescent="0.45">
      <c r="A130" s="16" t="s">
        <v>48</v>
      </c>
    </row>
    <row r="131" spans="1:10" ht="15" customHeight="1" x14ac:dyDescent="0.45">
      <c r="B131" t="s">
        <v>167</v>
      </c>
      <c r="F131" s="65">
        <v>-9000</v>
      </c>
      <c r="G131" s="65">
        <v>-6000</v>
      </c>
      <c r="H131" s="65">
        <v>0</v>
      </c>
      <c r="I131" s="65">
        <v>0</v>
      </c>
      <c r="J131" s="65">
        <v>0</v>
      </c>
    </row>
    <row r="132" spans="1:10" ht="15" customHeight="1" x14ac:dyDescent="0.45">
      <c r="B132" t="s">
        <v>164</v>
      </c>
      <c r="F132" s="65">
        <v>0</v>
      </c>
      <c r="G132" s="65">
        <v>0</v>
      </c>
      <c r="H132" s="65">
        <v>0</v>
      </c>
      <c r="I132" s="65">
        <v>-10000</v>
      </c>
      <c r="J132" s="65">
        <v>0</v>
      </c>
    </row>
    <row r="133" spans="1:10" ht="15" customHeight="1" x14ac:dyDescent="0.45">
      <c r="B133" t="s">
        <v>166</v>
      </c>
      <c r="F133" s="65">
        <v>0</v>
      </c>
      <c r="G133" s="65">
        <v>0</v>
      </c>
      <c r="H133" s="65">
        <v>0</v>
      </c>
      <c r="I133" s="65">
        <v>0</v>
      </c>
      <c r="J133" s="65">
        <v>0</v>
      </c>
    </row>
    <row r="134" spans="1:10" ht="15" customHeight="1" x14ac:dyDescent="0.45">
      <c r="B134" t="s">
        <v>156</v>
      </c>
      <c r="F134">
        <f>SUM(F131:F133)</f>
        <v>-9000</v>
      </c>
      <c r="G134">
        <f t="shared" ref="G134:J134" si="207">SUM(G131:G133)</f>
        <v>-6000</v>
      </c>
      <c r="H134">
        <f t="shared" si="207"/>
        <v>0</v>
      </c>
      <c r="I134">
        <f t="shared" si="207"/>
        <v>-10000</v>
      </c>
      <c r="J134">
        <f t="shared" si="207"/>
        <v>0</v>
      </c>
    </row>
    <row r="135" spans="1:10" ht="15" customHeight="1" x14ac:dyDescent="0.45">
      <c r="D135" s="62"/>
      <c r="E135" s="62"/>
      <c r="F135" s="62"/>
      <c r="G135" s="62"/>
      <c r="H135" s="62"/>
      <c r="I135" s="62"/>
      <c r="J135" s="62"/>
    </row>
    <row r="136" spans="1:10" ht="15" customHeight="1" x14ac:dyDescent="0.45">
      <c r="B136" t="s">
        <v>160</v>
      </c>
      <c r="D136" s="62"/>
      <c r="E136" s="62"/>
      <c r="F136" s="63">
        <v>0.01</v>
      </c>
      <c r="G136" s="63">
        <v>0.01</v>
      </c>
      <c r="H136" s="63">
        <v>0.01</v>
      </c>
      <c r="I136" s="63">
        <v>0.01</v>
      </c>
      <c r="J136" s="63">
        <v>0.01</v>
      </c>
    </row>
    <row r="137" spans="1:10" ht="15" customHeight="1" x14ac:dyDescent="0.45">
      <c r="B137" t="s">
        <v>119</v>
      </c>
      <c r="D137" s="62"/>
      <c r="E137" s="62"/>
      <c r="F137" s="63">
        <v>4.4999999999999998E-2</v>
      </c>
      <c r="G137" s="63">
        <v>4.4999999999999998E-2</v>
      </c>
      <c r="H137" s="63">
        <v>4.4999999999999998E-2</v>
      </c>
      <c r="I137" s="63">
        <v>4.4999999999999998E-2</v>
      </c>
      <c r="J137" s="63">
        <v>4.4999999999999998E-2</v>
      </c>
    </row>
    <row r="138" spans="1:10" ht="15" customHeight="1" x14ac:dyDescent="0.45">
      <c r="B138" t="s">
        <v>168</v>
      </c>
      <c r="D138" s="62"/>
      <c r="E138" s="62"/>
      <c r="F138" s="63">
        <v>4.6249999999999999E-2</v>
      </c>
      <c r="G138" s="63">
        <v>4.6249999999999999E-2</v>
      </c>
      <c r="H138" s="63">
        <v>4.6249999999999999E-2</v>
      </c>
      <c r="I138" s="63">
        <v>4.6249999999999999E-2</v>
      </c>
      <c r="J138" s="63">
        <v>4.6249999999999999E-2</v>
      </c>
    </row>
    <row r="139" spans="1:10" ht="15" customHeight="1" x14ac:dyDescent="0.45">
      <c r="B139" t="s">
        <v>165</v>
      </c>
      <c r="F139" s="63">
        <v>3.125E-2</v>
      </c>
      <c r="G139" s="63">
        <v>3.125E-2</v>
      </c>
      <c r="H139" s="63">
        <v>3.125E-2</v>
      </c>
      <c r="I139" s="63">
        <v>3.125E-2</v>
      </c>
      <c r="J139" s="63">
        <v>3.125E-2</v>
      </c>
    </row>
    <row r="140" spans="1:10" ht="15" customHeight="1" x14ac:dyDescent="0.45">
      <c r="B140" t="s">
        <v>169</v>
      </c>
      <c r="F140" s="63">
        <v>6.3750000000000001E-2</v>
      </c>
      <c r="G140" s="63">
        <v>6.3750000000000001E-2</v>
      </c>
      <c r="H140" s="63">
        <v>6.3750000000000001E-2</v>
      </c>
      <c r="I140" s="63">
        <v>6.3750000000000001E-2</v>
      </c>
      <c r="J140" s="63">
        <v>6.3750000000000001E-2</v>
      </c>
    </row>
    <row r="141" spans="1:10" ht="15" customHeight="1" x14ac:dyDescent="0.45">
      <c r="B141" t="s">
        <v>60</v>
      </c>
      <c r="F141" s="63">
        <v>2.5000000000000001E-2</v>
      </c>
      <c r="G141" s="63">
        <v>2.5000000000000001E-2</v>
      </c>
      <c r="H141" s="63">
        <v>2.5000000000000001E-2</v>
      </c>
      <c r="I141" s="63">
        <v>2.5000000000000001E-2</v>
      </c>
      <c r="J141" s="63">
        <v>2.5000000000000001E-2</v>
      </c>
    </row>
    <row r="143" spans="1:10" ht="15" customHeight="1" x14ac:dyDescent="0.45">
      <c r="A143" s="16" t="s">
        <v>51</v>
      </c>
    </row>
    <row r="144" spans="1:10" ht="15" customHeight="1" x14ac:dyDescent="0.45">
      <c r="B144" t="s">
        <v>150</v>
      </c>
      <c r="F144">
        <f>F112</f>
        <v>25143.959658749991</v>
      </c>
      <c r="G144">
        <f>G112</f>
        <v>29167.608186062491</v>
      </c>
      <c r="H144">
        <f>H112</f>
        <v>33800.286352600931</v>
      </c>
      <c r="I144">
        <f>I112</f>
        <v>38176.324005123621</v>
      </c>
      <c r="J144">
        <f>J112</f>
        <v>42493.087580873515</v>
      </c>
    </row>
    <row r="145" spans="2:10" ht="15" customHeight="1" x14ac:dyDescent="0.45">
      <c r="B145" t="s">
        <v>151</v>
      </c>
      <c r="F145">
        <f>F117</f>
        <v>-15185.272499999999</v>
      </c>
      <c r="G145">
        <f>G117</f>
        <v>-16492.893187499998</v>
      </c>
      <c r="H145">
        <f>H117</f>
        <v>-17742.472388999999</v>
      </c>
      <c r="I145">
        <f>I117</f>
        <v>-18696.13027990875</v>
      </c>
      <c r="J145">
        <f>J117</f>
        <v>-19386.640691580047</v>
      </c>
    </row>
    <row r="146" spans="2:10" ht="15" customHeight="1" x14ac:dyDescent="0.45">
      <c r="B146" t="s">
        <v>56</v>
      </c>
      <c r="F146">
        <f>F72</f>
        <v>-10358.524173583</v>
      </c>
      <c r="G146">
        <f>G72</f>
        <v>-10462.10941531883</v>
      </c>
      <c r="H146">
        <f>H72</f>
        <v>-10566.730509472018</v>
      </c>
      <c r="I146">
        <f>I72</f>
        <v>-10672.397814566739</v>
      </c>
      <c r="J146">
        <f>J72</f>
        <v>-10779.121792712405</v>
      </c>
    </row>
    <row r="147" spans="2:10" ht="15" customHeight="1" x14ac:dyDescent="0.45">
      <c r="B147" t="s">
        <v>62</v>
      </c>
      <c r="F147">
        <f>SUM(F144:F146)</f>
        <v>-399.83701483300865</v>
      </c>
      <c r="G147">
        <f t="shared" ref="G147" si="208">SUM(G144:G146)</f>
        <v>2212.6055832436632</v>
      </c>
      <c r="H147">
        <f t="shared" ref="H147" si="209">SUM(H144:H146)</f>
        <v>5491.083454128915</v>
      </c>
      <c r="I147">
        <f t="shared" ref="I147" si="210">SUM(I144:I146)</f>
        <v>8807.7959106481321</v>
      </c>
      <c r="J147">
        <f t="shared" ref="J147" si="211">SUM(J144:J146)</f>
        <v>12327.325096581062</v>
      </c>
    </row>
    <row r="149" spans="2:10" ht="15" customHeight="1" x14ac:dyDescent="0.45">
      <c r="B149" t="s">
        <v>35</v>
      </c>
      <c r="F149">
        <f>E80</f>
        <v>21549</v>
      </c>
      <c r="G149">
        <f>F80</f>
        <v>-24075.837014833007</v>
      </c>
      <c r="H149">
        <f>G80</f>
        <v>-21863.231431589345</v>
      </c>
      <c r="I149">
        <f>H80</f>
        <v>-16372.14797746043</v>
      </c>
      <c r="J149">
        <f>I80</f>
        <v>-7564.3520668122983</v>
      </c>
    </row>
    <row r="150" spans="2:10" ht="15" customHeight="1" x14ac:dyDescent="0.45">
      <c r="B150" t="s">
        <v>61</v>
      </c>
      <c r="F150">
        <f>SUM(F147:F149)</f>
        <v>21149.162985166993</v>
      </c>
      <c r="G150">
        <f t="shared" ref="G150" si="212">SUM(G147:G149)</f>
        <v>-21863.231431589345</v>
      </c>
      <c r="H150">
        <f t="shared" ref="H150" si="213">SUM(H147:H149)</f>
        <v>-16372.14797746043</v>
      </c>
      <c r="I150">
        <f t="shared" ref="I150" si="214">SUM(I147:I149)</f>
        <v>-7564.3520668122983</v>
      </c>
      <c r="J150">
        <f t="shared" ref="J150" si="215">SUM(J147:J149)</f>
        <v>4762.9730297687638</v>
      </c>
    </row>
    <row r="152" spans="2:10" ht="15" customHeight="1" x14ac:dyDescent="0.45">
      <c r="B152" t="s">
        <v>124</v>
      </c>
    </row>
    <row r="153" spans="2:10" ht="15" customHeight="1" x14ac:dyDescent="0.45">
      <c r="B153" t="s">
        <v>158</v>
      </c>
    </row>
    <row r="155" spans="2:10" ht="15" customHeight="1" x14ac:dyDescent="0.45">
      <c r="B155" t="s">
        <v>157</v>
      </c>
    </row>
    <row r="156" spans="2:10" ht="15" customHeight="1" x14ac:dyDescent="0.45">
      <c r="B156" t="s">
        <v>159</v>
      </c>
    </row>
    <row r="158" spans="2:10" ht="15" customHeight="1" x14ac:dyDescent="0.45">
      <c r="B158" t="s">
        <v>128</v>
      </c>
    </row>
    <row r="159" spans="2:10" ht="15" customHeight="1" x14ac:dyDescent="0.45">
      <c r="B159" t="s">
        <v>129</v>
      </c>
    </row>
    <row r="160" spans="2:10" ht="15" customHeight="1" x14ac:dyDescent="0.45">
      <c r="B160" t="s">
        <v>144</v>
      </c>
      <c r="E160" s="68">
        <v>5225</v>
      </c>
    </row>
    <row r="161" spans="2:10" ht="15" customHeight="1" x14ac:dyDescent="0.45">
      <c r="B161" t="s">
        <v>126</v>
      </c>
      <c r="F161" s="62"/>
      <c r="G161" s="62"/>
      <c r="H161" s="62"/>
      <c r="I161" s="62"/>
      <c r="J161" s="62"/>
    </row>
    <row r="162" spans="2:10" ht="15" customHeight="1" x14ac:dyDescent="0.45">
      <c r="B162" t="s">
        <v>45</v>
      </c>
    </row>
    <row r="164" spans="2:10" ht="15" customHeight="1" x14ac:dyDescent="0.45">
      <c r="B164" t="s">
        <v>143</v>
      </c>
    </row>
    <row r="166" spans="2:10" ht="15" customHeight="1" x14ac:dyDescent="0.45">
      <c r="B166" t="s">
        <v>170</v>
      </c>
      <c r="C166" t="s">
        <v>141</v>
      </c>
      <c r="E166" s="1">
        <v>1</v>
      </c>
    </row>
    <row r="167" spans="2:10" ht="15" customHeight="1" x14ac:dyDescent="0.45">
      <c r="B167" t="s">
        <v>125</v>
      </c>
    </row>
    <row r="168" spans="2:10" ht="15" customHeight="1" x14ac:dyDescent="0.45">
      <c r="B168" t="s">
        <v>142</v>
      </c>
    </row>
    <row r="169" spans="2:10" ht="15" customHeight="1" x14ac:dyDescent="0.45">
      <c r="B169" t="s">
        <v>171</v>
      </c>
      <c r="E169" s="61">
        <v>15000</v>
      </c>
    </row>
    <row r="170" spans="2:10" ht="15" customHeight="1" x14ac:dyDescent="0.45">
      <c r="B170" t="s">
        <v>126</v>
      </c>
      <c r="F170" s="62"/>
      <c r="G170" s="62"/>
      <c r="H170" s="62"/>
      <c r="I170" s="62"/>
      <c r="J170" s="62"/>
    </row>
    <row r="171" spans="2:10" ht="15" customHeight="1" x14ac:dyDescent="0.45">
      <c r="B171" t="s">
        <v>45</v>
      </c>
    </row>
    <row r="173" spans="2:10" ht="15" customHeight="1" x14ac:dyDescent="0.45">
      <c r="B173" t="s">
        <v>152</v>
      </c>
    </row>
    <row r="175" spans="2:10" ht="15" customHeight="1" x14ac:dyDescent="0.45">
      <c r="B175" t="s">
        <v>172</v>
      </c>
      <c r="E175" s="70"/>
    </row>
    <row r="176" spans="2:10" ht="15" customHeight="1" x14ac:dyDescent="0.45">
      <c r="B176" t="s">
        <v>125</v>
      </c>
    </row>
    <row r="177" spans="2:10" ht="15" customHeight="1" x14ac:dyDescent="0.45">
      <c r="B177" t="s">
        <v>173</v>
      </c>
      <c r="E177" s="61">
        <v>10000</v>
      </c>
    </row>
    <row r="178" spans="2:10" ht="15" customHeight="1" x14ac:dyDescent="0.45">
      <c r="B178" t="s">
        <v>126</v>
      </c>
      <c r="F178" s="62"/>
      <c r="G178" s="62"/>
      <c r="H178" s="62"/>
      <c r="I178" s="62"/>
      <c r="J178" s="62"/>
    </row>
    <row r="179" spans="2:10" ht="15" customHeight="1" x14ac:dyDescent="0.45">
      <c r="B179" t="s">
        <v>45</v>
      </c>
    </row>
    <row r="181" spans="2:10" ht="15" customHeight="1" x14ac:dyDescent="0.45">
      <c r="B181" t="s">
        <v>152</v>
      </c>
    </row>
    <row r="183" spans="2:10" ht="15" customHeight="1" x14ac:dyDescent="0.45">
      <c r="B183" t="s">
        <v>174</v>
      </c>
      <c r="C183" t="s">
        <v>141</v>
      </c>
      <c r="E183" s="1">
        <v>1</v>
      </c>
    </row>
    <row r="184" spans="2:10" ht="15" customHeight="1" x14ac:dyDescent="0.45">
      <c r="B184" t="s">
        <v>125</v>
      </c>
    </row>
    <row r="185" spans="2:10" ht="15" customHeight="1" x14ac:dyDescent="0.45">
      <c r="B185" t="s">
        <v>142</v>
      </c>
    </row>
    <row r="186" spans="2:10" ht="15" customHeight="1" x14ac:dyDescent="0.45">
      <c r="B186" t="s">
        <v>175</v>
      </c>
      <c r="E186" s="61">
        <v>15000</v>
      </c>
    </row>
    <row r="187" spans="2:10" ht="15" customHeight="1" x14ac:dyDescent="0.45">
      <c r="B187" t="s">
        <v>126</v>
      </c>
      <c r="F187" s="62"/>
      <c r="G187" s="62"/>
      <c r="H187" s="62"/>
      <c r="I187" s="62"/>
      <c r="J187" s="62"/>
    </row>
    <row r="188" spans="2:10" ht="15" customHeight="1" x14ac:dyDescent="0.45">
      <c r="B188" t="s">
        <v>45</v>
      </c>
    </row>
    <row r="190" spans="2:10" ht="15" customHeight="1" x14ac:dyDescent="0.45">
      <c r="B190" t="s">
        <v>178</v>
      </c>
    </row>
    <row r="192" spans="2:10" ht="15" customHeight="1" x14ac:dyDescent="0.45">
      <c r="B192" t="s">
        <v>35</v>
      </c>
    </row>
    <row r="193" spans="1:10" ht="15" customHeight="1" x14ac:dyDescent="0.45">
      <c r="B193" t="s">
        <v>34</v>
      </c>
    </row>
    <row r="194" spans="1:10" ht="15" customHeight="1" x14ac:dyDescent="0.45">
      <c r="B194" t="s">
        <v>36</v>
      </c>
      <c r="D194" s="72"/>
    </row>
    <row r="195" spans="1:10" ht="15" customHeight="1" x14ac:dyDescent="0.45">
      <c r="B195" t="str">
        <f>B81</f>
        <v>Short-term investments</v>
      </c>
      <c r="D195" s="72"/>
    </row>
    <row r="196" spans="1:10" ht="15" customHeight="1" x14ac:dyDescent="0.45">
      <c r="B196" t="s">
        <v>163</v>
      </c>
      <c r="D196" s="72"/>
    </row>
    <row r="197" spans="1:10" ht="15" customHeight="1" x14ac:dyDescent="0.45">
      <c r="B197" t="s">
        <v>126</v>
      </c>
      <c r="F197" s="62"/>
      <c r="G197" s="62"/>
      <c r="H197" s="62"/>
      <c r="I197" s="62"/>
      <c r="J197" s="62"/>
    </row>
    <row r="198" spans="1:10" ht="15" customHeight="1" x14ac:dyDescent="0.45">
      <c r="B198" t="s">
        <v>44</v>
      </c>
    </row>
    <row r="200" spans="1:10" ht="15" customHeight="1" x14ac:dyDescent="0.45">
      <c r="A200" s="16" t="s">
        <v>149</v>
      </c>
    </row>
    <row r="201" spans="1:10" ht="15" customHeight="1" x14ac:dyDescent="0.45">
      <c r="B201" t="s">
        <v>52</v>
      </c>
      <c r="C201" s="62"/>
      <c r="D201" s="62"/>
      <c r="E201" s="62"/>
      <c r="F201" s="62"/>
      <c r="G201" s="62"/>
      <c r="H201" s="62"/>
      <c r="I201" s="62"/>
      <c r="J201" s="62"/>
    </row>
    <row r="202" spans="1:10" ht="15" customHeight="1" x14ac:dyDescent="0.45">
      <c r="B202" t="s">
        <v>69</v>
      </c>
      <c r="C202" s="62"/>
      <c r="D202" s="62"/>
      <c r="E202" s="62"/>
      <c r="F202" s="62"/>
      <c r="G202" s="62"/>
      <c r="H202" s="62"/>
      <c r="I202" s="62"/>
      <c r="J202" s="62"/>
    </row>
    <row r="203" spans="1:10" ht="15" customHeight="1" x14ac:dyDescent="0.45">
      <c r="B203" t="s">
        <v>138</v>
      </c>
      <c r="C203" s="62"/>
      <c r="D203" s="62"/>
      <c r="E203" s="62"/>
      <c r="F203" s="62"/>
      <c r="G203" s="62"/>
      <c r="H203" s="62"/>
      <c r="I203" s="62"/>
      <c r="J203" s="62"/>
    </row>
    <row r="205" spans="1:10" ht="15" customHeight="1" x14ac:dyDescent="0.45">
      <c r="A205" s="16" t="s">
        <v>148</v>
      </c>
    </row>
    <row r="206" spans="1:10" ht="15" customHeight="1" x14ac:dyDescent="0.45">
      <c r="B206" t="s">
        <v>58</v>
      </c>
    </row>
    <row r="207" spans="1:10" ht="15" customHeight="1" x14ac:dyDescent="0.45">
      <c r="B207" t="s">
        <v>59</v>
      </c>
      <c r="C207" s="62"/>
      <c r="D207" s="62"/>
      <c r="E207" s="62"/>
      <c r="F207" s="62"/>
      <c r="G207" s="62"/>
      <c r="H207" s="62"/>
      <c r="I207" s="62"/>
      <c r="J207" s="62"/>
    </row>
    <row r="208" spans="1:10" ht="15" customHeight="1" x14ac:dyDescent="0.45">
      <c r="B208" t="s">
        <v>139</v>
      </c>
      <c r="C208" s="62"/>
      <c r="D208" s="62"/>
      <c r="E208" s="62"/>
      <c r="F208" s="62"/>
      <c r="G208" s="62"/>
      <c r="H208" s="62"/>
      <c r="I208" s="62"/>
      <c r="J208" s="62"/>
    </row>
    <row r="210" spans="1:10" ht="15" customHeight="1" x14ac:dyDescent="0.45">
      <c r="A210" s="16" t="s">
        <v>64</v>
      </c>
    </row>
    <row r="211" spans="1:10" ht="15" customHeight="1" x14ac:dyDescent="0.45">
      <c r="B211" t="s">
        <v>116</v>
      </c>
      <c r="D211" s="72"/>
      <c r="E211">
        <f>E160</f>
        <v>5225</v>
      </c>
      <c r="F211">
        <f>F160</f>
        <v>0</v>
      </c>
      <c r="G211">
        <f t="shared" ref="G211:J211" si="216">G160</f>
        <v>0</v>
      </c>
      <c r="H211">
        <f t="shared" si="216"/>
        <v>0</v>
      </c>
      <c r="I211">
        <f t="shared" si="216"/>
        <v>0</v>
      </c>
      <c r="J211">
        <f t="shared" si="216"/>
        <v>0</v>
      </c>
    </row>
    <row r="212" spans="1:10" ht="15" customHeight="1" x14ac:dyDescent="0.45">
      <c r="B212" t="s">
        <v>47</v>
      </c>
      <c r="D212" s="72"/>
      <c r="E212">
        <f t="shared" ref="E212:J212" si="217">E169+E177+E186</f>
        <v>40000</v>
      </c>
      <c r="F212">
        <f t="shared" si="217"/>
        <v>0</v>
      </c>
      <c r="G212">
        <f t="shared" si="217"/>
        <v>0</v>
      </c>
      <c r="H212">
        <f t="shared" si="217"/>
        <v>0</v>
      </c>
      <c r="I212">
        <f t="shared" si="217"/>
        <v>0</v>
      </c>
      <c r="J212">
        <f t="shared" si="217"/>
        <v>0</v>
      </c>
    </row>
    <row r="213" spans="1:10" ht="15" customHeight="1" x14ac:dyDescent="0.45">
      <c r="B213" t="s">
        <v>130</v>
      </c>
    </row>
    <row r="214" spans="1:10" ht="15" customHeight="1" x14ac:dyDescent="0.45">
      <c r="B214" t="s">
        <v>65</v>
      </c>
    </row>
    <row r="215" spans="1:10" ht="15" customHeight="1" x14ac:dyDescent="0.45">
      <c r="B215" t="s">
        <v>140</v>
      </c>
      <c r="E215" s="64"/>
      <c r="F215" s="64"/>
      <c r="G215" s="64"/>
      <c r="H215" s="64"/>
      <c r="I215" s="64"/>
      <c r="J215" s="73"/>
    </row>
    <row r="216" spans="1:10" ht="15" customHeight="1" x14ac:dyDescent="0.45">
      <c r="B216" t="s">
        <v>66</v>
      </c>
      <c r="E216" s="64"/>
      <c r="F216" s="64"/>
      <c r="G216" s="64"/>
      <c r="H216" s="64"/>
      <c r="I216" s="64"/>
      <c r="J216" s="64"/>
    </row>
    <row r="217" spans="1:10" ht="15" customHeight="1" x14ac:dyDescent="0.45">
      <c r="B217" t="s">
        <v>127</v>
      </c>
    </row>
    <row r="218" spans="1:10" ht="15" customHeight="1" x14ac:dyDescent="0.45">
      <c r="B218" t="s">
        <v>67</v>
      </c>
      <c r="F218" s="64"/>
      <c r="G218" s="64"/>
      <c r="H218" s="64"/>
      <c r="I218" s="64"/>
      <c r="J218" s="64"/>
    </row>
    <row r="219" spans="1:10" ht="15" customHeight="1" x14ac:dyDescent="0.45">
      <c r="B219" t="s">
        <v>68</v>
      </c>
      <c r="E219" s="62"/>
      <c r="F219" s="62"/>
      <c r="G219" s="62"/>
      <c r="H219" s="62"/>
      <c r="I219" s="62"/>
      <c r="J219" s="62"/>
    </row>
    <row r="221" spans="1:10" ht="15" customHeight="1" x14ac:dyDescent="0.45">
      <c r="A221" s="16" t="s">
        <v>147</v>
      </c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56" fitToHeight="0" orientation="landscape" cellComments="asDisplayed" horizontalDpi="2400" verticalDpi="2400" r:id="rId1"/>
  <headerFooter>
    <oddHeader xml:space="preserve">&amp;R&amp;10&amp;F 
&amp;A
</oddHeader>
    <oddFooter>&amp;L&amp;10© 2018&amp;C&amp;10Page &amp;P of &amp;N&amp;R&amp;G</oddFooter>
  </headerFooter>
  <rowBreaks count="4" manualBreakCount="4">
    <brk id="59" max="16383" man="1"/>
    <brk id="104" max="16383" man="1"/>
    <brk id="142" max="16383" man="1"/>
    <brk id="199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2" ma:contentTypeDescription="Create a new document." ma:contentTypeScope="" ma:versionID="51d2a264030a8bd8debbcd1bb3573ac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7f4cb5e2c427b59bdfe488449a10443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272755D8-B4EA-4EE2-A2DE-745C633B74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3D1AD6-5C90-4382-828C-E3604FF39C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3A9214-ED90-41D3-8610-6862103BFD02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Welcome</vt:lpstr>
      <vt:lpstr>Info</vt:lpstr>
      <vt:lpstr>Model 1</vt:lpstr>
      <vt:lpstr>'Model 1'!Print_Area</vt:lpstr>
      <vt:lpstr>'Model 1'!Print_Titles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Gerard Kelly</cp:lastModifiedBy>
  <cp:lastPrinted>2018-01-30T12:59:47Z</cp:lastPrinted>
  <dcterms:created xsi:type="dcterms:W3CDTF">2016-02-03T14:06:14Z</dcterms:created>
  <dcterms:modified xsi:type="dcterms:W3CDTF">2023-02-02T15:21:23Z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