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andrew_jones_fe_training/Documents/Content/Materials Changes/7092/"/>
    </mc:Choice>
  </mc:AlternateContent>
  <xr:revisionPtr revIDLastSave="82" documentId="8_{6BC13F82-939D-4F2F-9DE3-70E32F67F792}" xr6:coauthVersionLast="47" xr6:coauthVersionMax="47" xr10:uidLastSave="{85D80CAC-025F-459E-84F3-84A1641349F5}"/>
  <bookViews>
    <workbookView xWindow="-120" yWindow="-120" windowWidth="29040" windowHeight="15840" tabRatio="838" xr2:uid="{00000000-000D-0000-FFFF-FFFF00000000}"/>
  </bookViews>
  <sheets>
    <sheet name="Welcome" sheetId="2" r:id="rId1"/>
    <sheet name="Info" sheetId="3" r:id="rId2"/>
    <sheet name="LBO initial" sheetId="28" r:id="rId3"/>
    <sheet name="Add-on acquisition" sheetId="25" r:id="rId4"/>
    <sheet name="LBO add-on" sheetId="20" r:id="rId5"/>
    <sheet name="Recapitalization" sheetId="27" r:id="rId6"/>
    <sheet name="LBO recap" sheetId="29" r:id="rId7"/>
    <sheet name="Ratchet" sheetId="31" r:id="rId8"/>
    <sheet name="Factset codes" sheetId="22" state="hidden" r:id="rId9"/>
  </sheets>
  <externalReferences>
    <externalReference r:id="rId10"/>
    <externalReference r:id="rId11"/>
  </externalReferences>
  <definedNames>
    <definedName name="AddonSwitch" localSheetId="7">'[1]LBO add-on'!$C$6</definedName>
    <definedName name="AddonSwitch">'LBO add-on'!$C$6</definedName>
    <definedName name="AddonYear" localSheetId="7">'[1]Add-on acquisition'!$C$7</definedName>
    <definedName name="AddonYear">'Add-on acquisition'!$C$7</definedName>
    <definedName name="CIQWBGuid" hidden="1">"571ab0c3-d74c-43bc-a7ba-442a57d4d174"</definedName>
    <definedName name="Circswitch" localSheetId="7">[2]Info!$N$10</definedName>
    <definedName name="CircSwitch">Info!$N$10</definedName>
    <definedName name="COMP_CALENDARIZE_PERCENTAGES" localSheetId="8">'Factset codes'!$R$64:$V$64</definedName>
    <definedName name="COMP_EQ_VALUE" localSheetId="8">'Factset codes'!$R$10</definedName>
    <definedName name="COMP_EV" localSheetId="8">'Factset codes'!$L$10</definedName>
    <definedName name="Comp_MTR" localSheetId="8">'Factset codes'!$D$19</definedName>
    <definedName name="COMP_SHAREPRICE" localSheetId="8">'Factset codes'!$D$13</definedName>
    <definedName name="EBIT_LTM" localSheetId="8">'Factset codes'!$J$14</definedName>
    <definedName name="EBITDA_LTM" localSheetId="8">'Factset codes'!$J$13</definedName>
    <definedName name="EV_EBIT_CY1" localSheetId="8">'Factset codes'!$L$21</definedName>
    <definedName name="EV_EBIT_CY2" localSheetId="8">'Factset codes'!$N$21</definedName>
    <definedName name="EV_EBIT_CY3" localSheetId="8">'Factset codes'!$P$21</definedName>
    <definedName name="EV_EBIT_CY4" localSheetId="8">'Factset codes'!$R$21</definedName>
    <definedName name="EV_EBIT_LTM" localSheetId="8">'Factset codes'!$J$21</definedName>
    <definedName name="EV_EBITDA_CY1" localSheetId="8">'Factset codes'!$L$20</definedName>
    <definedName name="EV_EBITDA_CY2" localSheetId="8">'Factset codes'!$N$20</definedName>
    <definedName name="EV_EBITDA_CY3" localSheetId="8">'Factset codes'!$P$20</definedName>
    <definedName name="EV_EBITDA_CY4" localSheetId="8">'Factset codes'!$R$20</definedName>
    <definedName name="EV_EBITDA_LMT" localSheetId="8">'Factset codes'!$J$20</definedName>
    <definedName name="EV_REVENUE_CY1" localSheetId="8">'Factset codes'!$L$19</definedName>
    <definedName name="EV_REVENUE_CY2" localSheetId="8">'Factset codes'!$N$19</definedName>
    <definedName name="EV_REVENUE_CY3" localSheetId="8">'Factset codes'!$P$19</definedName>
    <definedName name="EV_REVENUE_CY4" localSheetId="8">'Factset codes'!$R$19</definedName>
    <definedName name="EV_REVENUE_LTM" localSheetId="8">'Factset codes'!$J$19</definedName>
    <definedName name="FCF_LTM" localSheetId="8">'Factset codes'!$J$15</definedName>
    <definedName name="GROSS_DEBT_LTM_EBITDA" localSheetId="8">#REF!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IQRBWSM104" localSheetId="3" hidden="1">#REF!</definedName>
    <definedName name="IQRBWSM104" hidden="1">#REF!</definedName>
    <definedName name="IQRDECKM104" localSheetId="3" hidden="1">#REF!</definedName>
    <definedName name="IQRDECKM104" hidden="1">#REF!</definedName>
    <definedName name="IQRDSWM104" localSheetId="3" hidden="1">#REF!</definedName>
    <definedName name="IQRDSWM104" hidden="1">#REF!</definedName>
    <definedName name="IQRFINLM104" localSheetId="3" hidden="1">#REF!</definedName>
    <definedName name="IQRFINLM104" hidden="1">#REF!</definedName>
    <definedName name="IQRGCOM104" localSheetId="3" hidden="1">#REF!</definedName>
    <definedName name="IQRGCOM104" hidden="1">#REF!</definedName>
    <definedName name="IQRSHOOM104" localSheetId="3" hidden="1">#REF!</definedName>
    <definedName name="IQRSHOOM104" hidden="1">#REF!</definedName>
    <definedName name="IQRSKXM104" localSheetId="3" hidden="1">#REF!</definedName>
    <definedName name="IQRSKXM104" hidden="1">#REF!</definedName>
    <definedName name="IQRTargetM104" localSheetId="3" hidden="1">#REF!</definedName>
    <definedName name="IQRTargetM104" hidden="1">#REF!</definedName>
    <definedName name="IQRTODM104" localSheetId="3" hidden="1">#REF!</definedName>
    <definedName name="IQRTODM104" hidden="1">#REF!</definedName>
    <definedName name="IQRWWWM104" localSheetId="3" hidden="1">#REF!</definedName>
    <definedName name="IQRWWWM104" hidden="1">#REF!</definedName>
    <definedName name="P_BV" localSheetId="8">#REF!</definedName>
    <definedName name="PE_CY1" localSheetId="8">'Factset codes'!$L$22</definedName>
    <definedName name="PE_CY2" localSheetId="8">'Factset codes'!$N$22</definedName>
    <definedName name="PE_CY3" localSheetId="8">'Factset codes'!$P$22</definedName>
    <definedName name="PE_CY4" localSheetId="8">'Factset codes'!$R$22</definedName>
    <definedName name="RecapSwitch" localSheetId="7">'[1]LBO recap'!$C$6</definedName>
    <definedName name="RecapSwitch">'LBO recap'!$C$6</definedName>
    <definedName name="RecapYear" localSheetId="7">[1]Recapitalization!$C$7</definedName>
    <definedName name="RecapYear">Recapitalization!$C$7</definedName>
    <definedName name="SALES_LTM" localSheetId="8">'Factset codes'!$J$12</definedName>
  </definedNames>
  <calcPr calcId="191029" calcMode="autoNoTable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2" i="20" l="1"/>
  <c r="I42" i="20"/>
  <c r="J42" i="20"/>
  <c r="K42" i="20"/>
  <c r="K44" i="20" s="1"/>
  <c r="L42" i="20"/>
  <c r="L44" i="20" s="1"/>
  <c r="M42" i="20"/>
  <c r="N42" i="20"/>
  <c r="O42" i="20"/>
  <c r="O44" i="20" s="1"/>
  <c r="H44" i="20"/>
  <c r="I44" i="20"/>
  <c r="J44" i="20"/>
  <c r="M44" i="20"/>
  <c r="N44" i="20"/>
  <c r="H45" i="20"/>
  <c r="I45" i="20"/>
  <c r="J45" i="20"/>
  <c r="K45" i="20"/>
  <c r="L45" i="20"/>
  <c r="L48" i="20" s="1"/>
  <c r="M45" i="20"/>
  <c r="N45" i="20"/>
  <c r="O45" i="20"/>
  <c r="H46" i="20"/>
  <c r="I46" i="20"/>
  <c r="J46" i="20"/>
  <c r="K46" i="20"/>
  <c r="L46" i="20"/>
  <c r="M46" i="20"/>
  <c r="N46" i="20"/>
  <c r="O46" i="20"/>
  <c r="H48" i="20"/>
  <c r="I48" i="20"/>
  <c r="J48" i="20"/>
  <c r="K48" i="20"/>
  <c r="M48" i="20"/>
  <c r="N48" i="20"/>
  <c r="O48" i="20"/>
  <c r="H57" i="20"/>
  <c r="I57" i="20"/>
  <c r="J57" i="20"/>
  <c r="K57" i="20"/>
  <c r="L57" i="20"/>
  <c r="M57" i="20"/>
  <c r="N57" i="20"/>
  <c r="O57" i="20"/>
  <c r="H59" i="20"/>
  <c r="I59" i="20"/>
  <c r="J59" i="20"/>
  <c r="K59" i="20"/>
  <c r="L59" i="20"/>
  <c r="M59" i="20"/>
  <c r="N59" i="20"/>
  <c r="O59" i="20"/>
  <c r="H61" i="20"/>
  <c r="I61" i="20"/>
  <c r="J61" i="20"/>
  <c r="K61" i="20"/>
  <c r="L61" i="20"/>
  <c r="M61" i="20"/>
  <c r="N61" i="20"/>
  <c r="O61" i="20"/>
  <c r="H102" i="20"/>
  <c r="I102" i="20"/>
  <c r="J102" i="20"/>
  <c r="K102" i="20"/>
  <c r="L102" i="20"/>
  <c r="L103" i="20" s="1"/>
  <c r="M102" i="20"/>
  <c r="N102" i="20"/>
  <c r="O102" i="20"/>
  <c r="H103" i="20"/>
  <c r="I103" i="20"/>
  <c r="J103" i="20"/>
  <c r="K103" i="20"/>
  <c r="M103" i="20"/>
  <c r="N103" i="20"/>
  <c r="O103" i="20"/>
  <c r="H108" i="20"/>
  <c r="I108" i="20"/>
  <c r="J108" i="20"/>
  <c r="L108" i="20"/>
  <c r="M108" i="20"/>
  <c r="N108" i="20"/>
  <c r="O108" i="20"/>
  <c r="G108" i="20"/>
  <c r="G103" i="20"/>
  <c r="G102" i="20"/>
  <c r="F97" i="20"/>
  <c r="G91" i="20"/>
  <c r="G83" i="20"/>
  <c r="F85" i="20"/>
  <c r="G69" i="20"/>
  <c r="F71" i="20"/>
  <c r="G65" i="20"/>
  <c r="G61" i="20"/>
  <c r="G59" i="20"/>
  <c r="G57" i="20"/>
  <c r="G48" i="20"/>
  <c r="G46" i="20"/>
  <c r="G45" i="20"/>
  <c r="G44" i="20"/>
  <c r="G42" i="20"/>
  <c r="H37" i="20"/>
  <c r="I37" i="20"/>
  <c r="J37" i="20"/>
  <c r="K37" i="20"/>
  <c r="L37" i="20"/>
  <c r="M37" i="20"/>
  <c r="N37" i="20"/>
  <c r="O37" i="20"/>
  <c r="G37" i="20"/>
  <c r="H35" i="20"/>
  <c r="I35" i="20"/>
  <c r="J35" i="20"/>
  <c r="K35" i="20"/>
  <c r="L35" i="20"/>
  <c r="M35" i="20"/>
  <c r="N35" i="20"/>
  <c r="O35" i="20"/>
  <c r="G35" i="20"/>
  <c r="H30" i="20"/>
  <c r="I30" i="20"/>
  <c r="J30" i="20"/>
  <c r="K30" i="20"/>
  <c r="L30" i="20"/>
  <c r="L31" i="20" s="1"/>
  <c r="L32" i="20" s="1"/>
  <c r="M30" i="20"/>
  <c r="N30" i="20"/>
  <c r="O30" i="20"/>
  <c r="H31" i="20"/>
  <c r="I31" i="20"/>
  <c r="J31" i="20"/>
  <c r="K31" i="20"/>
  <c r="M31" i="20"/>
  <c r="M32" i="20" s="1"/>
  <c r="N31" i="20"/>
  <c r="O31" i="20"/>
  <c r="H32" i="20"/>
  <c r="I32" i="20"/>
  <c r="J32" i="20"/>
  <c r="K32" i="20"/>
  <c r="N32" i="20"/>
  <c r="O32" i="20"/>
  <c r="H33" i="20"/>
  <c r="I33" i="20"/>
  <c r="J33" i="20"/>
  <c r="K33" i="20"/>
  <c r="L33" i="20"/>
  <c r="M33" i="20"/>
  <c r="N33" i="20"/>
  <c r="O33" i="20"/>
  <c r="G33" i="20"/>
  <c r="G32" i="20"/>
  <c r="G31" i="20"/>
  <c r="G30" i="20"/>
  <c r="H27" i="20"/>
  <c r="I27" i="20"/>
  <c r="J27" i="20"/>
  <c r="K27" i="20"/>
  <c r="L27" i="20"/>
  <c r="M27" i="20"/>
  <c r="N27" i="20"/>
  <c r="O27" i="20"/>
  <c r="G27" i="20"/>
  <c r="H25" i="20"/>
  <c r="I25" i="20" s="1"/>
  <c r="J25" i="20" s="1"/>
  <c r="K25" i="20" s="1"/>
  <c r="L25" i="20" s="1"/>
  <c r="M25" i="20" s="1"/>
  <c r="N25" i="20" s="1"/>
  <c r="O25" i="20" s="1"/>
  <c r="G25" i="20"/>
  <c r="H96" i="29"/>
  <c r="I96" i="29"/>
  <c r="J96" i="29"/>
  <c r="K96" i="29"/>
  <c r="L96" i="29"/>
  <c r="M96" i="29"/>
  <c r="N96" i="29"/>
  <c r="O96" i="29"/>
  <c r="H97" i="29"/>
  <c r="I97" i="29"/>
  <c r="J97" i="29"/>
  <c r="K97" i="29"/>
  <c r="L97" i="29"/>
  <c r="M97" i="29"/>
  <c r="N97" i="29"/>
  <c r="O97" i="29"/>
  <c r="H102" i="29"/>
  <c r="I102" i="29"/>
  <c r="J102" i="29"/>
  <c r="L102" i="29"/>
  <c r="M102" i="29"/>
  <c r="N102" i="29"/>
  <c r="O102" i="29"/>
  <c r="G102" i="29"/>
  <c r="G96" i="29"/>
  <c r="G97" i="29" s="1"/>
  <c r="H42" i="29"/>
  <c r="I42" i="29"/>
  <c r="J42" i="29"/>
  <c r="K42" i="29"/>
  <c r="L42" i="29"/>
  <c r="M42" i="29"/>
  <c r="N42" i="29"/>
  <c r="O42" i="29"/>
  <c r="H43" i="29"/>
  <c r="I43" i="29"/>
  <c r="J43" i="29"/>
  <c r="K43" i="29"/>
  <c r="L43" i="29"/>
  <c r="M43" i="29"/>
  <c r="N43" i="29"/>
  <c r="O43" i="29"/>
  <c r="H44" i="29"/>
  <c r="I44" i="29"/>
  <c r="J44" i="29"/>
  <c r="K44" i="29"/>
  <c r="L44" i="29"/>
  <c r="M44" i="29"/>
  <c r="N44" i="29"/>
  <c r="O44" i="29"/>
  <c r="H45" i="29"/>
  <c r="I45" i="29"/>
  <c r="J45" i="29"/>
  <c r="K45" i="29"/>
  <c r="L45" i="29"/>
  <c r="M45" i="29"/>
  <c r="N45" i="29"/>
  <c r="O45" i="29"/>
  <c r="H55" i="29"/>
  <c r="I55" i="29"/>
  <c r="J55" i="29"/>
  <c r="K55" i="29"/>
  <c r="L55" i="29"/>
  <c r="M55" i="29"/>
  <c r="N55" i="29"/>
  <c r="O55" i="29"/>
  <c r="H56" i="29"/>
  <c r="I56" i="29"/>
  <c r="J56" i="29"/>
  <c r="K56" i="29"/>
  <c r="L56" i="29"/>
  <c r="M56" i="29"/>
  <c r="N56" i="29"/>
  <c r="O56" i="29"/>
  <c r="H57" i="29"/>
  <c r="I57" i="29"/>
  <c r="J57" i="29"/>
  <c r="K57" i="29"/>
  <c r="L57" i="29"/>
  <c r="M57" i="29"/>
  <c r="N57" i="29"/>
  <c r="O57" i="29"/>
  <c r="G86" i="29"/>
  <c r="G73" i="29"/>
  <c r="G64" i="29"/>
  <c r="F68" i="29"/>
  <c r="N10" i="29"/>
  <c r="N9" i="29"/>
  <c r="F66" i="29" s="1"/>
  <c r="G60" i="29"/>
  <c r="G57" i="29"/>
  <c r="G56" i="29"/>
  <c r="G55" i="29"/>
  <c r="G45" i="29"/>
  <c r="G44" i="29"/>
  <c r="G43" i="29"/>
  <c r="G42" i="29"/>
  <c r="H37" i="29"/>
  <c r="I37" i="29"/>
  <c r="J37" i="29"/>
  <c r="K37" i="29"/>
  <c r="L37" i="29"/>
  <c r="M37" i="29"/>
  <c r="N37" i="29"/>
  <c r="O37" i="29"/>
  <c r="G37" i="29"/>
  <c r="H35" i="29"/>
  <c r="I35" i="29"/>
  <c r="J35" i="29"/>
  <c r="K35" i="29"/>
  <c r="L35" i="29"/>
  <c r="M35" i="29"/>
  <c r="N35" i="29"/>
  <c r="O35" i="29"/>
  <c r="G35" i="29"/>
  <c r="H30" i="29"/>
  <c r="I30" i="29"/>
  <c r="J30" i="29"/>
  <c r="K30" i="29"/>
  <c r="L30" i="29"/>
  <c r="M30" i="29"/>
  <c r="M31" i="29" s="1"/>
  <c r="M32" i="29" s="1"/>
  <c r="N30" i="29"/>
  <c r="O30" i="29"/>
  <c r="H31" i="29"/>
  <c r="I31" i="29"/>
  <c r="J31" i="29"/>
  <c r="K31" i="29"/>
  <c r="L31" i="29"/>
  <c r="N31" i="29"/>
  <c r="O31" i="29"/>
  <c r="H32" i="29"/>
  <c r="I32" i="29"/>
  <c r="J32" i="29"/>
  <c r="K32" i="29"/>
  <c r="L32" i="29"/>
  <c r="N32" i="29"/>
  <c r="O32" i="29"/>
  <c r="H33" i="29"/>
  <c r="I33" i="29"/>
  <c r="J33" i="29"/>
  <c r="K33" i="29"/>
  <c r="L33" i="29"/>
  <c r="M33" i="29"/>
  <c r="N33" i="29"/>
  <c r="O33" i="29"/>
  <c r="G33" i="29"/>
  <c r="G32" i="29"/>
  <c r="G31" i="29"/>
  <c r="G30" i="29"/>
  <c r="H27" i="29"/>
  <c r="I27" i="29"/>
  <c r="J27" i="29"/>
  <c r="K27" i="29"/>
  <c r="L27" i="29"/>
  <c r="M27" i="29"/>
  <c r="N27" i="29"/>
  <c r="O27" i="29"/>
  <c r="G27" i="29"/>
  <c r="H25" i="29"/>
  <c r="I25" i="29" s="1"/>
  <c r="J25" i="29" s="1"/>
  <c r="K25" i="29" s="1"/>
  <c r="L25" i="29" s="1"/>
  <c r="M25" i="29" s="1"/>
  <c r="N25" i="29" s="1"/>
  <c r="O25" i="29" s="1"/>
  <c r="G25" i="29"/>
  <c r="H16" i="27"/>
  <c r="I16" i="27" s="1"/>
  <c r="J16" i="27" s="1"/>
  <c r="K16" i="27" s="1"/>
  <c r="L16" i="27" s="1"/>
  <c r="M16" i="27" s="1"/>
  <c r="N16" i="27" s="1"/>
  <c r="O16" i="27" s="1"/>
  <c r="G16" i="27"/>
  <c r="G76" i="28" l="1"/>
  <c r="A1" i="25" l="1"/>
  <c r="G13" i="25"/>
  <c r="H13" i="25" s="1"/>
  <c r="I13" i="25" s="1"/>
  <c r="J13" i="25" s="1"/>
  <c r="K13" i="25" s="1"/>
  <c r="L13" i="25" s="1"/>
  <c r="M13" i="25" s="1"/>
  <c r="N13" i="25" s="1"/>
  <c r="O13" i="25" s="1"/>
  <c r="A4" i="25"/>
  <c r="B77" i="29"/>
  <c r="B68" i="29"/>
  <c r="A1" i="20"/>
  <c r="A1" i="29"/>
  <c r="A1" i="27"/>
  <c r="C110" i="29"/>
  <c r="C111" i="29" s="1"/>
  <c r="C112" i="29" s="1"/>
  <c r="C113" i="29" s="1"/>
  <c r="C114" i="29" s="1"/>
  <c r="C115" i="29" s="1"/>
  <c r="C116" i="29" s="1"/>
  <c r="C117" i="29" s="1"/>
  <c r="C118" i="29" s="1"/>
  <c r="C119" i="29" s="1"/>
  <c r="C120" i="29" s="1"/>
  <c r="C121" i="29" s="1"/>
  <c r="C122" i="29" s="1"/>
  <c r="C123" i="29" s="1"/>
  <c r="C124" i="29" s="1"/>
  <c r="C125" i="29" s="1"/>
  <c r="C126" i="29" s="1"/>
  <c r="G22" i="29"/>
  <c r="H22" i="29" s="1"/>
  <c r="F38" i="29"/>
  <c r="E38" i="29"/>
  <c r="F36" i="29"/>
  <c r="E36" i="29"/>
  <c r="D36" i="29"/>
  <c r="F34" i="29"/>
  <c r="E34" i="29"/>
  <c r="D34" i="29"/>
  <c r="H28" i="29"/>
  <c r="I28" i="29" s="1"/>
  <c r="J28" i="29" s="1"/>
  <c r="K28" i="29" s="1"/>
  <c r="L28" i="29" s="1"/>
  <c r="M28" i="29" s="1"/>
  <c r="N28" i="29" s="1"/>
  <c r="O28" i="29" s="1"/>
  <c r="F28" i="29"/>
  <c r="E28" i="29"/>
  <c r="H26" i="29"/>
  <c r="I26" i="29" s="1"/>
  <c r="J26" i="29" s="1"/>
  <c r="K26" i="29" s="1"/>
  <c r="L26" i="29" s="1"/>
  <c r="M26" i="29" s="1"/>
  <c r="N26" i="29" s="1"/>
  <c r="O26" i="29" s="1"/>
  <c r="F26" i="29"/>
  <c r="E26" i="29"/>
  <c r="F16" i="29"/>
  <c r="M10" i="29"/>
  <c r="F9" i="29"/>
  <c r="J9" i="29" s="1"/>
  <c r="A4" i="29"/>
  <c r="H3" i="29"/>
  <c r="I3" i="29" s="1"/>
  <c r="J3" i="29" s="1"/>
  <c r="K3" i="29" s="1"/>
  <c r="L3" i="29" s="1"/>
  <c r="M3" i="29" s="1"/>
  <c r="N3" i="29" s="1"/>
  <c r="O3" i="29" s="1"/>
  <c r="E3" i="29"/>
  <c r="D3" i="29" s="1"/>
  <c r="A1" i="28"/>
  <c r="C99" i="28"/>
  <c r="C100" i="28" s="1"/>
  <c r="C101" i="28" s="1"/>
  <c r="C102" i="28" s="1"/>
  <c r="C103" i="28" s="1"/>
  <c r="C104" i="28" s="1"/>
  <c r="C105" i="28" s="1"/>
  <c r="C106" i="28" s="1"/>
  <c r="C107" i="28" s="1"/>
  <c r="C108" i="28" s="1"/>
  <c r="C109" i="28" s="1"/>
  <c r="C110" i="28" s="1"/>
  <c r="C111" i="28" s="1"/>
  <c r="C112" i="28" s="1"/>
  <c r="C113" i="28" s="1"/>
  <c r="C114" i="28" s="1"/>
  <c r="C115" i="28" s="1"/>
  <c r="G20" i="28"/>
  <c r="H20" i="28" s="1"/>
  <c r="I20" i="28" s="1"/>
  <c r="I91" i="28" s="1"/>
  <c r="G57" i="28"/>
  <c r="F36" i="28"/>
  <c r="E36" i="28"/>
  <c r="F34" i="28"/>
  <c r="E34" i="28"/>
  <c r="D34" i="28"/>
  <c r="F32" i="28"/>
  <c r="E32" i="28"/>
  <c r="D32" i="28"/>
  <c r="H26" i="28"/>
  <c r="I26" i="28" s="1"/>
  <c r="J26" i="28" s="1"/>
  <c r="K26" i="28" s="1"/>
  <c r="L26" i="28" s="1"/>
  <c r="M26" i="28" s="1"/>
  <c r="N26" i="28" s="1"/>
  <c r="O26" i="28" s="1"/>
  <c r="F26" i="28"/>
  <c r="E26" i="28"/>
  <c r="H24" i="28"/>
  <c r="I24" i="28" s="1"/>
  <c r="J24" i="28" s="1"/>
  <c r="K24" i="28" s="1"/>
  <c r="L24" i="28" s="1"/>
  <c r="M24" i="28" s="1"/>
  <c r="N24" i="28" s="1"/>
  <c r="O24" i="28" s="1"/>
  <c r="F24" i="28"/>
  <c r="E24" i="28"/>
  <c r="G23" i="28"/>
  <c r="G31" i="28" s="1"/>
  <c r="G33" i="28" s="1"/>
  <c r="G52" i="28" s="1"/>
  <c r="F14" i="28"/>
  <c r="M8" i="28"/>
  <c r="F7" i="28"/>
  <c r="J7" i="28" s="1"/>
  <c r="J8" i="28" s="1"/>
  <c r="A4" i="28"/>
  <c r="H3" i="28"/>
  <c r="I3" i="28" s="1"/>
  <c r="J3" i="28" s="1"/>
  <c r="K3" i="28" s="1"/>
  <c r="L3" i="28" s="1"/>
  <c r="M3" i="28" s="1"/>
  <c r="N3" i="28" s="1"/>
  <c r="O3" i="28" s="1"/>
  <c r="E3" i="28"/>
  <c r="D3" i="28" s="1"/>
  <c r="F75" i="29" l="1"/>
  <c r="J10" i="29"/>
  <c r="J12" i="29" s="1"/>
  <c r="N11" i="29" s="1"/>
  <c r="F102" i="29" s="1"/>
  <c r="I22" i="29"/>
  <c r="H91" i="28"/>
  <c r="G91" i="28"/>
  <c r="N8" i="28"/>
  <c r="F70" i="28" s="1"/>
  <c r="N7" i="28"/>
  <c r="F63" i="28" s="1"/>
  <c r="G35" i="28"/>
  <c r="G53" i="28" s="1"/>
  <c r="H23" i="28"/>
  <c r="H40" i="28" s="1"/>
  <c r="J20" i="28"/>
  <c r="J91" i="28" s="1"/>
  <c r="G28" i="28"/>
  <c r="G42" i="28" s="1"/>
  <c r="G25" i="28"/>
  <c r="G40" i="28"/>
  <c r="G54" i="28"/>
  <c r="J10" i="28"/>
  <c r="F81" i="28" l="1"/>
  <c r="F77" i="29"/>
  <c r="F91" i="29" s="1"/>
  <c r="J22" i="29"/>
  <c r="H28" i="28"/>
  <c r="H42" i="28" s="1"/>
  <c r="G68" i="28"/>
  <c r="H31" i="28"/>
  <c r="H33" i="28" s="1"/>
  <c r="H52" i="28" s="1"/>
  <c r="H25" i="28"/>
  <c r="H35" i="28"/>
  <c r="H53" i="28" s="1"/>
  <c r="I23" i="28"/>
  <c r="I31" i="28" s="1"/>
  <c r="N9" i="28"/>
  <c r="F91" i="28" s="1"/>
  <c r="G29" i="28"/>
  <c r="G30" i="28" s="1"/>
  <c r="G41" i="28"/>
  <c r="G43" i="28" s="1"/>
  <c r="G86" i="28" s="1"/>
  <c r="G61" i="28"/>
  <c r="K20" i="28"/>
  <c r="K22" i="29" l="1"/>
  <c r="I35" i="28"/>
  <c r="I53" i="28" s="1"/>
  <c r="H54" i="28"/>
  <c r="I25" i="28"/>
  <c r="I28" i="28"/>
  <c r="I42" i="28" s="1"/>
  <c r="J23" i="28"/>
  <c r="J25" i="28" s="1"/>
  <c r="H29" i="28"/>
  <c r="H30" i="28" s="1"/>
  <c r="I40" i="28"/>
  <c r="N10" i="28"/>
  <c r="G87" i="28"/>
  <c r="H41" i="28"/>
  <c r="H43" i="28" s="1"/>
  <c r="H86" i="28" s="1"/>
  <c r="L20" i="28"/>
  <c r="L91" i="28" s="1"/>
  <c r="I33" i="28"/>
  <c r="I52" i="28" s="1"/>
  <c r="I54" i="28"/>
  <c r="L22" i="29" l="1"/>
  <c r="J31" i="28"/>
  <c r="J54" i="28" s="1"/>
  <c r="J28" i="28"/>
  <c r="J42" i="28" s="1"/>
  <c r="K23" i="28"/>
  <c r="K25" i="28" s="1"/>
  <c r="J40" i="28"/>
  <c r="I29" i="28"/>
  <c r="I30" i="28" s="1"/>
  <c r="J35" i="28"/>
  <c r="J53" i="28" s="1"/>
  <c r="I41" i="28"/>
  <c r="I43" i="28" s="1"/>
  <c r="M20" i="28"/>
  <c r="M91" i="28" s="1"/>
  <c r="H87" i="28"/>
  <c r="M22" i="29" l="1"/>
  <c r="I86" i="28"/>
  <c r="I87" i="28" s="1"/>
  <c r="J29" i="28"/>
  <c r="J30" i="28" s="1"/>
  <c r="J33" i="28"/>
  <c r="J52" i="28" s="1"/>
  <c r="K40" i="28"/>
  <c r="L23" i="28"/>
  <c r="M23" i="28" s="1"/>
  <c r="K35" i="28"/>
  <c r="K53" i="28" s="1"/>
  <c r="K28" i="28"/>
  <c r="K42" i="28" s="1"/>
  <c r="K31" i="28"/>
  <c r="K33" i="28" s="1"/>
  <c r="N20" i="28"/>
  <c r="N91" i="28" s="1"/>
  <c r="N22" i="29" l="1"/>
  <c r="K54" i="28"/>
  <c r="L35" i="28"/>
  <c r="L53" i="28" s="1"/>
  <c r="L40" i="28"/>
  <c r="J41" i="28"/>
  <c r="J43" i="28" s="1"/>
  <c r="L25" i="28"/>
  <c r="L31" i="28"/>
  <c r="L54" i="28" s="1"/>
  <c r="L28" i="28"/>
  <c r="L42" i="28" s="1"/>
  <c r="K52" i="28"/>
  <c r="K41" i="28"/>
  <c r="K43" i="28" s="1"/>
  <c r="K29" i="28"/>
  <c r="K30" i="28" s="1"/>
  <c r="M35" i="28"/>
  <c r="M31" i="28"/>
  <c r="N23" i="28"/>
  <c r="M28" i="28"/>
  <c r="M42" i="28" s="1"/>
  <c r="M25" i="28"/>
  <c r="M40" i="28"/>
  <c r="O20" i="28"/>
  <c r="O91" i="28" s="1"/>
  <c r="O22" i="29" l="1"/>
  <c r="K86" i="28"/>
  <c r="K87" i="28" s="1"/>
  <c r="M53" i="28"/>
  <c r="J86" i="28"/>
  <c r="J87" i="28" s="1"/>
  <c r="L29" i="28"/>
  <c r="L30" i="28" s="1"/>
  <c r="L33" i="28"/>
  <c r="L52" i="28" s="1"/>
  <c r="N40" i="28"/>
  <c r="N28" i="28"/>
  <c r="N42" i="28" s="1"/>
  <c r="O23" i="28"/>
  <c r="N35" i="28"/>
  <c r="N25" i="28"/>
  <c r="N31" i="28"/>
  <c r="M54" i="28"/>
  <c r="M33" i="28"/>
  <c r="M52" i="28" s="1"/>
  <c r="M29" i="28"/>
  <c r="M30" i="28" s="1"/>
  <c r="L41" i="28" l="1"/>
  <c r="L43" i="28" s="1"/>
  <c r="N33" i="28"/>
  <c r="N52" i="28" s="1"/>
  <c r="N54" i="28"/>
  <c r="N29" i="28"/>
  <c r="N30" i="28" s="1"/>
  <c r="M41" i="28"/>
  <c r="M43" i="28" s="1"/>
  <c r="M86" i="28" s="1"/>
  <c r="N53" i="28"/>
  <c r="O28" i="28"/>
  <c r="O42" i="28" s="1"/>
  <c r="O40" i="28"/>
  <c r="O25" i="28"/>
  <c r="O31" i="28"/>
  <c r="O35" i="28"/>
  <c r="O53" i="28" s="1"/>
  <c r="L86" i="28" l="1"/>
  <c r="L87" i="28" s="1"/>
  <c r="M87" i="28"/>
  <c r="O33" i="28"/>
  <c r="O52" i="28" s="1"/>
  <c r="O54" i="28"/>
  <c r="O29" i="28"/>
  <c r="O30" i="28" s="1"/>
  <c r="N41" i="28"/>
  <c r="N43" i="28" s="1"/>
  <c r="N86" i="28" s="1"/>
  <c r="O41" i="28" l="1"/>
  <c r="O43" i="28" s="1"/>
  <c r="N87" i="28"/>
  <c r="O86" i="28" l="1"/>
  <c r="O87" i="28" s="1"/>
  <c r="G22" i="20" l="1"/>
  <c r="H26" i="20"/>
  <c r="I26" i="20" s="1"/>
  <c r="J26" i="20" s="1"/>
  <c r="K26" i="20" s="1"/>
  <c r="L26" i="20" s="1"/>
  <c r="M26" i="20" s="1"/>
  <c r="N26" i="20" s="1"/>
  <c r="O26" i="20" s="1"/>
  <c r="B38" i="27"/>
  <c r="B37" i="27"/>
  <c r="B33" i="27"/>
  <c r="B32" i="27"/>
  <c r="H22" i="20" l="1"/>
  <c r="A4" i="27"/>
  <c r="A4" i="20"/>
  <c r="H3" i="27"/>
  <c r="E3" i="27"/>
  <c r="D3" i="27" s="1"/>
  <c r="I22" i="20" l="1"/>
  <c r="I3" i="27"/>
  <c r="J3" i="27" s="1"/>
  <c r="K3" i="27" s="1"/>
  <c r="L3" i="27" s="1"/>
  <c r="M3" i="27" s="1"/>
  <c r="N3" i="27" s="1"/>
  <c r="O3" i="27" s="1"/>
  <c r="J22" i="20" l="1"/>
  <c r="K22" i="20" l="1"/>
  <c r="L22" i="20" l="1"/>
  <c r="M22" i="20" l="1"/>
  <c r="N22" i="20" l="1"/>
  <c r="O22" i="20" l="1"/>
  <c r="G3" i="25"/>
  <c r="F3" i="25"/>
  <c r="F18" i="25"/>
  <c r="E18" i="25"/>
  <c r="F20" i="25"/>
  <c r="E20" i="25"/>
  <c r="F19" i="25"/>
  <c r="E19" i="25"/>
  <c r="F17" i="25"/>
  <c r="E17" i="25"/>
  <c r="D17" i="25"/>
  <c r="F16" i="25"/>
  <c r="E16" i="25"/>
  <c r="C9" i="25" l="1" a="1"/>
  <c r="C9" i="25" s="1"/>
  <c r="J7" i="25" s="1"/>
  <c r="C10" i="25" l="1"/>
  <c r="G7" i="25" s="1"/>
  <c r="G8" i="25" l="1"/>
  <c r="G9" i="25" s="1"/>
  <c r="J8" i="25" s="1"/>
  <c r="J9" i="25" l="1"/>
  <c r="F9" i="20" l="1"/>
  <c r="J9" i="20" s="1"/>
  <c r="F38" i="20"/>
  <c r="E38" i="20"/>
  <c r="F36" i="20"/>
  <c r="E36" i="20"/>
  <c r="D36" i="20"/>
  <c r="F34" i="20"/>
  <c r="E34" i="20"/>
  <c r="D34" i="20"/>
  <c r="F28" i="20"/>
  <c r="H28" i="20" s="1"/>
  <c r="I28" i="20" s="1"/>
  <c r="E28" i="20"/>
  <c r="E26" i="20"/>
  <c r="F26" i="20"/>
  <c r="E3" i="20"/>
  <c r="H3" i="20"/>
  <c r="I3" i="20" l="1"/>
  <c r="H3" i="25"/>
  <c r="D3" i="20"/>
  <c r="D3" i="25" s="1"/>
  <c r="E3" i="25"/>
  <c r="J28" i="20"/>
  <c r="N9" i="20"/>
  <c r="J10" i="20"/>
  <c r="J12" i="20" s="1"/>
  <c r="J3" i="20" l="1"/>
  <c r="I3" i="25"/>
  <c r="K28" i="20"/>
  <c r="K3" i="20" l="1"/>
  <c r="J3" i="25"/>
  <c r="L28" i="20"/>
  <c r="L3" i="20" l="1"/>
  <c r="K3" i="25"/>
  <c r="M28" i="20"/>
  <c r="M3" i="20" l="1"/>
  <c r="L3" i="25"/>
  <c r="N28" i="20"/>
  <c r="N3" i="20" l="1"/>
  <c r="M3" i="25"/>
  <c r="O28" i="20"/>
  <c r="O3" i="20" l="1"/>
  <c r="O3" i="25" s="1"/>
  <c r="N3" i="25"/>
  <c r="F16" i="20" l="1"/>
  <c r="M10" i="20" l="1"/>
  <c r="N10" i="20" s="1"/>
  <c r="N11" i="20" l="1"/>
  <c r="F108" i="20" s="1"/>
  <c r="N12" i="20" l="1"/>
  <c r="H44" i="22" l="1"/>
  <c r="F44" i="22"/>
  <c r="D44" i="22"/>
  <c r="R43" i="22"/>
  <c r="P43" i="22"/>
  <c r="N43" i="22"/>
  <c r="L43" i="22"/>
  <c r="L40" i="22"/>
  <c r="N40" i="22" s="1"/>
  <c r="P40" i="22" s="1"/>
  <c r="R40" i="22" s="1"/>
  <c r="F40" i="22"/>
  <c r="D40" i="22"/>
  <c r="B13" i="22"/>
  <c r="C116" i="20"/>
  <c r="C117" i="20" s="1"/>
  <c r="C118" i="20" s="1"/>
  <c r="C119" i="20" s="1"/>
  <c r="C120" i="20" s="1"/>
  <c r="A1" i="3"/>
  <c r="A7" i="2"/>
  <c r="C121" i="20" l="1"/>
  <c r="C122" i="20" s="1"/>
  <c r="C123" i="20" s="1"/>
  <c r="C124" i="20" s="1"/>
  <c r="C125" i="20" l="1"/>
  <c r="C126" i="20" s="1"/>
  <c r="C127" i="20" s="1"/>
  <c r="C128" i="20" s="1"/>
  <c r="C129" i="20" s="1"/>
  <c r="C130" i="20" s="1"/>
  <c r="C131" i="20" s="1"/>
  <c r="C132" i="20" s="1"/>
  <c r="G49" i="20" l="1"/>
  <c r="H49" i="20"/>
  <c r="I49" i="20"/>
  <c r="J49" i="20"/>
  <c r="K49" i="20"/>
  <c r="L49" i="20"/>
  <c r="M49" i="20"/>
  <c r="N49" i="20"/>
  <c r="O49" i="20"/>
  <c r="G50" i="20"/>
  <c r="H50" i="20"/>
  <c r="I50" i="20"/>
  <c r="J50" i="20"/>
  <c r="K50" i="20"/>
  <c r="L50" i="20"/>
  <c r="M50" i="20"/>
  <c r="N50" i="20"/>
  <c r="O50" i="20"/>
  <c r="G51" i="20"/>
  <c r="H51" i="20"/>
  <c r="I51" i="20"/>
  <c r="J51" i="20"/>
  <c r="K51" i="20"/>
  <c r="L51" i="20"/>
  <c r="M51" i="20"/>
  <c r="N51" i="20"/>
  <c r="O51" i="20"/>
  <c r="G52" i="20"/>
  <c r="H52" i="20"/>
  <c r="I52" i="20"/>
  <c r="J52" i="20"/>
  <c r="K52" i="20"/>
  <c r="L52" i="20"/>
  <c r="M52" i="20"/>
  <c r="N52" i="20"/>
  <c r="O52" i="20"/>
  <c r="G53" i="20"/>
  <c r="H53" i="20"/>
  <c r="I53" i="20"/>
  <c r="J53" i="20"/>
  <c r="K53" i="20"/>
  <c r="L53" i="20"/>
  <c r="M53" i="20"/>
  <c r="N53" i="20"/>
  <c r="O53" i="20"/>
  <c r="G56" i="20"/>
  <c r="H56" i="20"/>
  <c r="I56" i="20"/>
  <c r="J56" i="20"/>
  <c r="K56" i="20"/>
  <c r="L56" i="20"/>
  <c r="M56" i="20"/>
  <c r="N56" i="20"/>
  <c r="O56" i="20"/>
  <c r="G63" i="20"/>
  <c r="H63" i="20"/>
  <c r="I63" i="20"/>
  <c r="J63" i="20"/>
  <c r="K63" i="20"/>
  <c r="L63" i="20"/>
  <c r="M63" i="20"/>
  <c r="N63" i="20"/>
  <c r="O63" i="20"/>
  <c r="H65" i="20"/>
  <c r="I65" i="20"/>
  <c r="J65" i="20"/>
  <c r="K65" i="20"/>
  <c r="L65" i="20"/>
  <c r="M65" i="20"/>
  <c r="N65" i="20"/>
  <c r="O65" i="20"/>
  <c r="G66" i="20"/>
  <c r="H66" i="20"/>
  <c r="I66" i="20"/>
  <c r="J66" i="20"/>
  <c r="K66" i="20"/>
  <c r="L66" i="20"/>
  <c r="M66" i="20"/>
  <c r="N66" i="20"/>
  <c r="O66" i="20"/>
  <c r="H69" i="20"/>
  <c r="I69" i="20"/>
  <c r="J69" i="20"/>
  <c r="K69" i="20"/>
  <c r="L69" i="20"/>
  <c r="M69" i="20"/>
  <c r="N69" i="20"/>
  <c r="O69" i="20"/>
  <c r="G70" i="20"/>
  <c r="H70" i="20"/>
  <c r="I70" i="20"/>
  <c r="J70" i="20"/>
  <c r="K70" i="20"/>
  <c r="L70" i="20"/>
  <c r="M70" i="20"/>
  <c r="N70" i="20"/>
  <c r="O70" i="20"/>
  <c r="G71" i="20"/>
  <c r="H71" i="20"/>
  <c r="I71" i="20"/>
  <c r="J71" i="20"/>
  <c r="K71" i="20"/>
  <c r="L71" i="20"/>
  <c r="M71" i="20"/>
  <c r="N71" i="20"/>
  <c r="O71" i="20"/>
  <c r="G72" i="20"/>
  <c r="H72" i="20"/>
  <c r="I72" i="20"/>
  <c r="J72" i="20"/>
  <c r="K72" i="20"/>
  <c r="L72" i="20"/>
  <c r="M72" i="20"/>
  <c r="N72" i="20"/>
  <c r="O72" i="20"/>
  <c r="G81" i="20"/>
  <c r="H81" i="20"/>
  <c r="I81" i="20"/>
  <c r="J81" i="20"/>
  <c r="K81" i="20"/>
  <c r="L81" i="20"/>
  <c r="M81" i="20"/>
  <c r="N81" i="20"/>
  <c r="O81" i="20"/>
  <c r="H83" i="20"/>
  <c r="I83" i="20"/>
  <c r="J83" i="20"/>
  <c r="K83" i="20"/>
  <c r="L83" i="20"/>
  <c r="M83" i="20"/>
  <c r="N83" i="20"/>
  <c r="O83" i="20"/>
  <c r="G84" i="20"/>
  <c r="H84" i="20"/>
  <c r="I84" i="20"/>
  <c r="J84" i="20"/>
  <c r="K84" i="20"/>
  <c r="L84" i="20"/>
  <c r="M84" i="20"/>
  <c r="N84" i="20"/>
  <c r="O84" i="20"/>
  <c r="G85" i="20"/>
  <c r="H85" i="20"/>
  <c r="I85" i="20"/>
  <c r="J85" i="20"/>
  <c r="K85" i="20"/>
  <c r="L85" i="20"/>
  <c r="M85" i="20"/>
  <c r="N85" i="20"/>
  <c r="O85" i="20"/>
  <c r="G86" i="20"/>
  <c r="H86" i="20"/>
  <c r="I86" i="20"/>
  <c r="J86" i="20"/>
  <c r="K86" i="20"/>
  <c r="L86" i="20"/>
  <c r="M86" i="20"/>
  <c r="N86" i="20"/>
  <c r="O86" i="20"/>
  <c r="G88" i="20"/>
  <c r="H88" i="20"/>
  <c r="I88" i="20"/>
  <c r="J88" i="20"/>
  <c r="K88" i="20"/>
  <c r="L88" i="20"/>
  <c r="M88" i="20"/>
  <c r="N88" i="20"/>
  <c r="O88" i="20"/>
  <c r="G89" i="20"/>
  <c r="H89" i="20"/>
  <c r="I89" i="20"/>
  <c r="J89" i="20"/>
  <c r="K89" i="20"/>
  <c r="L89" i="20"/>
  <c r="M89" i="20"/>
  <c r="N89" i="20"/>
  <c r="O89" i="20"/>
  <c r="H91" i="20"/>
  <c r="I91" i="20"/>
  <c r="J91" i="20"/>
  <c r="K91" i="20"/>
  <c r="L91" i="20"/>
  <c r="M91" i="20"/>
  <c r="N91" i="20"/>
  <c r="O91" i="20"/>
  <c r="G92" i="20"/>
  <c r="H92" i="20"/>
  <c r="I92" i="20"/>
  <c r="J92" i="20"/>
  <c r="K92" i="20"/>
  <c r="L92" i="20"/>
  <c r="M92" i="20"/>
  <c r="N92" i="20"/>
  <c r="O92" i="20"/>
  <c r="G94" i="20"/>
  <c r="H94" i="20"/>
  <c r="I94" i="20"/>
  <c r="J94" i="20"/>
  <c r="K94" i="20"/>
  <c r="L94" i="20"/>
  <c r="M94" i="20"/>
  <c r="N94" i="20"/>
  <c r="O94" i="20"/>
  <c r="G95" i="20"/>
  <c r="H95" i="20"/>
  <c r="I95" i="20"/>
  <c r="J95" i="20"/>
  <c r="K95" i="20"/>
  <c r="L95" i="20"/>
  <c r="M95" i="20"/>
  <c r="N95" i="20"/>
  <c r="O95" i="20"/>
  <c r="G97" i="20"/>
  <c r="H97" i="20"/>
  <c r="I97" i="20"/>
  <c r="J97" i="20"/>
  <c r="K97" i="20"/>
  <c r="L97" i="20"/>
  <c r="M97" i="20"/>
  <c r="N97" i="20"/>
  <c r="O97" i="20"/>
  <c r="G98" i="20"/>
  <c r="H98" i="20"/>
  <c r="I98" i="20"/>
  <c r="J98" i="20"/>
  <c r="K98" i="20"/>
  <c r="L98" i="20"/>
  <c r="M98" i="20"/>
  <c r="N98" i="20"/>
  <c r="O98" i="20"/>
  <c r="G99" i="20"/>
  <c r="H99" i="20"/>
  <c r="I99" i="20"/>
  <c r="J99" i="20"/>
  <c r="K99" i="20"/>
  <c r="L99" i="20"/>
  <c r="M99" i="20"/>
  <c r="N99" i="20"/>
  <c r="O99" i="20"/>
  <c r="G104" i="20"/>
  <c r="H104" i="20"/>
  <c r="I104" i="20"/>
  <c r="J104" i="20"/>
  <c r="K104" i="20"/>
  <c r="L104" i="20"/>
  <c r="M104" i="20"/>
  <c r="N104" i="20"/>
  <c r="O104" i="20"/>
  <c r="G105" i="20"/>
  <c r="H105" i="20"/>
  <c r="I105" i="20"/>
  <c r="J105" i="20"/>
  <c r="K105" i="20"/>
  <c r="L105" i="20"/>
  <c r="M105" i="20"/>
  <c r="N105" i="20"/>
  <c r="O105" i="20"/>
  <c r="K108" i="20"/>
  <c r="F109" i="20"/>
  <c r="C114" i="20"/>
  <c r="G44" i="28"/>
  <c r="H44" i="28"/>
  <c r="I44" i="28"/>
  <c r="J44" i="28"/>
  <c r="K44" i="28"/>
  <c r="L44" i="28"/>
  <c r="M44" i="28"/>
  <c r="N44" i="28"/>
  <c r="O44" i="28"/>
  <c r="G45" i="28"/>
  <c r="H45" i="28"/>
  <c r="I45" i="28"/>
  <c r="J45" i="28"/>
  <c r="K45" i="28"/>
  <c r="L45" i="28"/>
  <c r="M45" i="28"/>
  <c r="N45" i="28"/>
  <c r="O45" i="28"/>
  <c r="G46" i="28"/>
  <c r="H46" i="28"/>
  <c r="I46" i="28"/>
  <c r="J46" i="28"/>
  <c r="K46" i="28"/>
  <c r="L46" i="28"/>
  <c r="M46" i="28"/>
  <c r="N46" i="28"/>
  <c r="O46" i="28"/>
  <c r="G47" i="28"/>
  <c r="H47" i="28"/>
  <c r="I47" i="28"/>
  <c r="J47" i="28"/>
  <c r="K47" i="28"/>
  <c r="L47" i="28"/>
  <c r="M47" i="28"/>
  <c r="N47" i="28"/>
  <c r="O47" i="28"/>
  <c r="G48" i="28"/>
  <c r="H48" i="28"/>
  <c r="I48" i="28"/>
  <c r="J48" i="28"/>
  <c r="K48" i="28"/>
  <c r="L48" i="28"/>
  <c r="M48" i="28"/>
  <c r="N48" i="28"/>
  <c r="O48" i="28"/>
  <c r="G51" i="28"/>
  <c r="H51" i="28"/>
  <c r="I51" i="28"/>
  <c r="J51" i="28"/>
  <c r="K51" i="28"/>
  <c r="L51" i="28"/>
  <c r="M51" i="28"/>
  <c r="N51" i="28"/>
  <c r="O51" i="28"/>
  <c r="G55" i="28"/>
  <c r="H55" i="28"/>
  <c r="I55" i="28"/>
  <c r="J55" i="28"/>
  <c r="K55" i="28"/>
  <c r="L55" i="28"/>
  <c r="M55" i="28"/>
  <c r="N55" i="28"/>
  <c r="O55" i="28"/>
  <c r="H57" i="28"/>
  <c r="I57" i="28"/>
  <c r="J57" i="28"/>
  <c r="K57" i="28"/>
  <c r="L57" i="28"/>
  <c r="M57" i="28"/>
  <c r="N57" i="28"/>
  <c r="O57" i="28"/>
  <c r="G58" i="28"/>
  <c r="H58" i="28"/>
  <c r="I58" i="28"/>
  <c r="J58" i="28"/>
  <c r="K58" i="28"/>
  <c r="L58" i="28"/>
  <c r="M58" i="28"/>
  <c r="N58" i="28"/>
  <c r="O58" i="28"/>
  <c r="H61" i="28"/>
  <c r="I61" i="28"/>
  <c r="J61" i="28"/>
  <c r="K61" i="28"/>
  <c r="L61" i="28"/>
  <c r="M61" i="28"/>
  <c r="N61" i="28"/>
  <c r="O61" i="28"/>
  <c r="G62" i="28"/>
  <c r="H62" i="28"/>
  <c r="I62" i="28"/>
  <c r="J62" i="28"/>
  <c r="K62" i="28"/>
  <c r="L62" i="28"/>
  <c r="M62" i="28"/>
  <c r="N62" i="28"/>
  <c r="O62" i="28"/>
  <c r="G63" i="28"/>
  <c r="H63" i="28"/>
  <c r="I63" i="28"/>
  <c r="J63" i="28"/>
  <c r="K63" i="28"/>
  <c r="L63" i="28"/>
  <c r="M63" i="28"/>
  <c r="N63" i="28"/>
  <c r="O63" i="28"/>
  <c r="G64" i="28"/>
  <c r="H64" i="28"/>
  <c r="I64" i="28"/>
  <c r="J64" i="28"/>
  <c r="K64" i="28"/>
  <c r="L64" i="28"/>
  <c r="M64" i="28"/>
  <c r="N64" i="28"/>
  <c r="O64" i="28"/>
  <c r="G66" i="28"/>
  <c r="H66" i="28"/>
  <c r="I66" i="28"/>
  <c r="J66" i="28"/>
  <c r="K66" i="28"/>
  <c r="L66" i="28"/>
  <c r="M66" i="28"/>
  <c r="N66" i="28"/>
  <c r="O66" i="28"/>
  <c r="H68" i="28"/>
  <c r="I68" i="28"/>
  <c r="J68" i="28"/>
  <c r="K68" i="28"/>
  <c r="L68" i="28"/>
  <c r="M68" i="28"/>
  <c r="N68" i="28"/>
  <c r="O68" i="28"/>
  <c r="G69" i="28"/>
  <c r="H69" i="28"/>
  <c r="I69" i="28"/>
  <c r="J69" i="28"/>
  <c r="K69" i="28"/>
  <c r="L69" i="28"/>
  <c r="M69" i="28"/>
  <c r="N69" i="28"/>
  <c r="O69" i="28"/>
  <c r="G70" i="28"/>
  <c r="H70" i="28"/>
  <c r="I70" i="28"/>
  <c r="J70" i="28"/>
  <c r="K70" i="28"/>
  <c r="L70" i="28"/>
  <c r="M70" i="28"/>
  <c r="N70" i="28"/>
  <c r="O70" i="28"/>
  <c r="G71" i="28"/>
  <c r="H71" i="28"/>
  <c r="I71" i="28"/>
  <c r="J71" i="28"/>
  <c r="K71" i="28"/>
  <c r="L71" i="28"/>
  <c r="M71" i="28"/>
  <c r="N71" i="28"/>
  <c r="O71" i="28"/>
  <c r="G73" i="28"/>
  <c r="H73" i="28"/>
  <c r="I73" i="28"/>
  <c r="J73" i="28"/>
  <c r="K73" i="28"/>
  <c r="L73" i="28"/>
  <c r="M73" i="28"/>
  <c r="N73" i="28"/>
  <c r="O73" i="28"/>
  <c r="G74" i="28"/>
  <c r="H74" i="28"/>
  <c r="I74" i="28"/>
  <c r="J74" i="28"/>
  <c r="K74" i="28"/>
  <c r="L74" i="28"/>
  <c r="M74" i="28"/>
  <c r="N74" i="28"/>
  <c r="O74" i="28"/>
  <c r="H76" i="28"/>
  <c r="I76" i="28"/>
  <c r="J76" i="28"/>
  <c r="K76" i="28"/>
  <c r="L76" i="28"/>
  <c r="M76" i="28"/>
  <c r="N76" i="28"/>
  <c r="O76" i="28"/>
  <c r="G77" i="28"/>
  <c r="H77" i="28"/>
  <c r="I77" i="28"/>
  <c r="J77" i="28"/>
  <c r="K77" i="28"/>
  <c r="L77" i="28"/>
  <c r="M77" i="28"/>
  <c r="N77" i="28"/>
  <c r="O77" i="28"/>
  <c r="G78" i="28"/>
  <c r="H78" i="28"/>
  <c r="I78" i="28"/>
  <c r="J78" i="28"/>
  <c r="K78" i="28"/>
  <c r="L78" i="28"/>
  <c r="M78" i="28"/>
  <c r="N78" i="28"/>
  <c r="O78" i="28"/>
  <c r="G79" i="28"/>
  <c r="H79" i="28"/>
  <c r="I79" i="28"/>
  <c r="J79" i="28"/>
  <c r="K79" i="28"/>
  <c r="L79" i="28"/>
  <c r="M79" i="28"/>
  <c r="N79" i="28"/>
  <c r="O79" i="28"/>
  <c r="G81" i="28"/>
  <c r="H81" i="28"/>
  <c r="I81" i="28"/>
  <c r="J81" i="28"/>
  <c r="K81" i="28"/>
  <c r="L81" i="28"/>
  <c r="M81" i="28"/>
  <c r="N81" i="28"/>
  <c r="O81" i="28"/>
  <c r="G82" i="28"/>
  <c r="H82" i="28"/>
  <c r="I82" i="28"/>
  <c r="J82" i="28"/>
  <c r="K82" i="28"/>
  <c r="L82" i="28"/>
  <c r="M82" i="28"/>
  <c r="N82" i="28"/>
  <c r="O82" i="28"/>
  <c r="G83" i="28"/>
  <c r="H83" i="28"/>
  <c r="I83" i="28"/>
  <c r="J83" i="28"/>
  <c r="K83" i="28"/>
  <c r="L83" i="28"/>
  <c r="M83" i="28"/>
  <c r="N83" i="28"/>
  <c r="O83" i="28"/>
  <c r="G88" i="28"/>
  <c r="H88" i="28"/>
  <c r="I88" i="28"/>
  <c r="J88" i="28"/>
  <c r="K88" i="28"/>
  <c r="L88" i="28"/>
  <c r="M88" i="28"/>
  <c r="N88" i="28"/>
  <c r="O88" i="28"/>
  <c r="G89" i="28"/>
  <c r="H89" i="28"/>
  <c r="I89" i="28"/>
  <c r="J89" i="28"/>
  <c r="K89" i="28"/>
  <c r="L89" i="28"/>
  <c r="M89" i="28"/>
  <c r="N89" i="28"/>
  <c r="O89" i="28"/>
  <c r="K91" i="28"/>
  <c r="F92" i="28"/>
  <c r="C97" i="28"/>
  <c r="G46" i="29"/>
  <c r="H46" i="29"/>
  <c r="I46" i="29"/>
  <c r="J46" i="29"/>
  <c r="K46" i="29"/>
  <c r="L46" i="29"/>
  <c r="M46" i="29"/>
  <c r="N46" i="29"/>
  <c r="O46" i="29"/>
  <c r="G47" i="29"/>
  <c r="H47" i="29"/>
  <c r="I47" i="29"/>
  <c r="J47" i="29"/>
  <c r="K47" i="29"/>
  <c r="L47" i="29"/>
  <c r="M47" i="29"/>
  <c r="N47" i="29"/>
  <c r="O47" i="29"/>
  <c r="G49" i="29"/>
  <c r="H49" i="29"/>
  <c r="I49" i="29"/>
  <c r="J49" i="29"/>
  <c r="K49" i="29"/>
  <c r="L49" i="29"/>
  <c r="M49" i="29"/>
  <c r="N49" i="29"/>
  <c r="O49" i="29"/>
  <c r="G50" i="29"/>
  <c r="H50" i="29"/>
  <c r="I50" i="29"/>
  <c r="J50" i="29"/>
  <c r="K50" i="29"/>
  <c r="L50" i="29"/>
  <c r="M50" i="29"/>
  <c r="N50" i="29"/>
  <c r="O50" i="29"/>
  <c r="G51" i="29"/>
  <c r="H51" i="29"/>
  <c r="I51" i="29"/>
  <c r="J51" i="29"/>
  <c r="K51" i="29"/>
  <c r="L51" i="29"/>
  <c r="M51" i="29"/>
  <c r="N51" i="29"/>
  <c r="O51" i="29"/>
  <c r="G54" i="29"/>
  <c r="H54" i="29"/>
  <c r="I54" i="29"/>
  <c r="J54" i="29"/>
  <c r="K54" i="29"/>
  <c r="L54" i="29"/>
  <c r="M54" i="29"/>
  <c r="N54" i="29"/>
  <c r="O54" i="29"/>
  <c r="G58" i="29"/>
  <c r="H58" i="29"/>
  <c r="I58" i="29"/>
  <c r="J58" i="29"/>
  <c r="K58" i="29"/>
  <c r="L58" i="29"/>
  <c r="M58" i="29"/>
  <c r="N58" i="29"/>
  <c r="O58" i="29"/>
  <c r="H60" i="29"/>
  <c r="I60" i="29"/>
  <c r="J60" i="29"/>
  <c r="K60" i="29"/>
  <c r="L60" i="29"/>
  <c r="M60" i="29"/>
  <c r="N60" i="29"/>
  <c r="O60" i="29"/>
  <c r="G61" i="29"/>
  <c r="H61" i="29"/>
  <c r="I61" i="29"/>
  <c r="J61" i="29"/>
  <c r="K61" i="29"/>
  <c r="L61" i="29"/>
  <c r="M61" i="29"/>
  <c r="N61" i="29"/>
  <c r="O61" i="29"/>
  <c r="H64" i="29"/>
  <c r="I64" i="29"/>
  <c r="J64" i="29"/>
  <c r="K64" i="29"/>
  <c r="L64" i="29"/>
  <c r="M64" i="29"/>
  <c r="N64" i="29"/>
  <c r="O64" i="29"/>
  <c r="G65" i="29"/>
  <c r="H65" i="29"/>
  <c r="I65" i="29"/>
  <c r="J65" i="29"/>
  <c r="K65" i="29"/>
  <c r="L65" i="29"/>
  <c r="M65" i="29"/>
  <c r="N65" i="29"/>
  <c r="O65" i="29"/>
  <c r="G66" i="29"/>
  <c r="H66" i="29"/>
  <c r="I66" i="29"/>
  <c r="J66" i="29"/>
  <c r="K66" i="29"/>
  <c r="L66" i="29"/>
  <c r="M66" i="29"/>
  <c r="N66" i="29"/>
  <c r="O66" i="29"/>
  <c r="G68" i="29"/>
  <c r="H68" i="29"/>
  <c r="I68" i="29"/>
  <c r="J68" i="29"/>
  <c r="K68" i="29"/>
  <c r="L68" i="29"/>
  <c r="M68" i="29"/>
  <c r="N68" i="29"/>
  <c r="O68" i="29"/>
  <c r="G69" i="29"/>
  <c r="H69" i="29"/>
  <c r="I69" i="29"/>
  <c r="J69" i="29"/>
  <c r="K69" i="29"/>
  <c r="L69" i="29"/>
  <c r="M69" i="29"/>
  <c r="N69" i="29"/>
  <c r="O69" i="29"/>
  <c r="G71" i="29"/>
  <c r="H71" i="29"/>
  <c r="I71" i="29"/>
  <c r="J71" i="29"/>
  <c r="K71" i="29"/>
  <c r="L71" i="29"/>
  <c r="M71" i="29"/>
  <c r="N71" i="29"/>
  <c r="O71" i="29"/>
  <c r="H73" i="29"/>
  <c r="I73" i="29"/>
  <c r="J73" i="29"/>
  <c r="K73" i="29"/>
  <c r="L73" i="29"/>
  <c r="M73" i="29"/>
  <c r="N73" i="29"/>
  <c r="O73" i="29"/>
  <c r="G74" i="29"/>
  <c r="H74" i="29"/>
  <c r="I74" i="29"/>
  <c r="J74" i="29"/>
  <c r="K74" i="29"/>
  <c r="L74" i="29"/>
  <c r="M74" i="29"/>
  <c r="N74" i="29"/>
  <c r="O74" i="29"/>
  <c r="G75" i="29"/>
  <c r="H75" i="29"/>
  <c r="I75" i="29"/>
  <c r="J75" i="29"/>
  <c r="K75" i="29"/>
  <c r="L75" i="29"/>
  <c r="M75" i="29"/>
  <c r="N75" i="29"/>
  <c r="O75" i="29"/>
  <c r="G77" i="29"/>
  <c r="H77" i="29"/>
  <c r="I77" i="29"/>
  <c r="J77" i="29"/>
  <c r="K77" i="29"/>
  <c r="L77" i="29"/>
  <c r="M77" i="29"/>
  <c r="N77" i="29"/>
  <c r="O77" i="29"/>
  <c r="G78" i="29"/>
  <c r="H78" i="29"/>
  <c r="I78" i="29"/>
  <c r="J78" i="29"/>
  <c r="K78" i="29"/>
  <c r="L78" i="29"/>
  <c r="M78" i="29"/>
  <c r="N78" i="29"/>
  <c r="O78" i="29"/>
  <c r="G83" i="29"/>
  <c r="H83" i="29"/>
  <c r="I83" i="29"/>
  <c r="J83" i="29"/>
  <c r="K83" i="29"/>
  <c r="L83" i="29"/>
  <c r="M83" i="29"/>
  <c r="N83" i="29"/>
  <c r="O83" i="29"/>
  <c r="G84" i="29"/>
  <c r="H84" i="29"/>
  <c r="I84" i="29"/>
  <c r="J84" i="29"/>
  <c r="K84" i="29"/>
  <c r="L84" i="29"/>
  <c r="M84" i="29"/>
  <c r="N84" i="29"/>
  <c r="O84" i="29"/>
  <c r="H86" i="29"/>
  <c r="I86" i="29"/>
  <c r="J86" i="29"/>
  <c r="K86" i="29"/>
  <c r="L86" i="29"/>
  <c r="M86" i="29"/>
  <c r="N86" i="29"/>
  <c r="O86" i="29"/>
  <c r="G87" i="29"/>
  <c r="H87" i="29"/>
  <c r="I87" i="29"/>
  <c r="J87" i="29"/>
  <c r="K87" i="29"/>
  <c r="L87" i="29"/>
  <c r="M87" i="29"/>
  <c r="N87" i="29"/>
  <c r="O87" i="29"/>
  <c r="G88" i="29"/>
  <c r="H88" i="29"/>
  <c r="I88" i="29"/>
  <c r="J88" i="29"/>
  <c r="K88" i="29"/>
  <c r="L88" i="29"/>
  <c r="M88" i="29"/>
  <c r="N88" i="29"/>
  <c r="O88" i="29"/>
  <c r="G89" i="29"/>
  <c r="H89" i="29"/>
  <c r="I89" i="29"/>
  <c r="J89" i="29"/>
  <c r="K89" i="29"/>
  <c r="L89" i="29"/>
  <c r="M89" i="29"/>
  <c r="N89" i="29"/>
  <c r="O89" i="29"/>
  <c r="G91" i="29"/>
  <c r="H91" i="29"/>
  <c r="I91" i="29"/>
  <c r="J91" i="29"/>
  <c r="K91" i="29"/>
  <c r="L91" i="29"/>
  <c r="M91" i="29"/>
  <c r="N91" i="29"/>
  <c r="O91" i="29"/>
  <c r="G92" i="29"/>
  <c r="H92" i="29"/>
  <c r="I92" i="29"/>
  <c r="J92" i="29"/>
  <c r="K92" i="29"/>
  <c r="L92" i="29"/>
  <c r="M92" i="29"/>
  <c r="N92" i="29"/>
  <c r="O92" i="29"/>
  <c r="G93" i="29"/>
  <c r="H93" i="29"/>
  <c r="I93" i="29"/>
  <c r="J93" i="29"/>
  <c r="K93" i="29"/>
  <c r="L93" i="29"/>
  <c r="M93" i="29"/>
  <c r="N93" i="29"/>
  <c r="O93" i="29"/>
  <c r="G98" i="29"/>
  <c r="H98" i="29"/>
  <c r="I98" i="29"/>
  <c r="J98" i="29"/>
  <c r="K98" i="29"/>
  <c r="L98" i="29"/>
  <c r="M98" i="29"/>
  <c r="N98" i="29"/>
  <c r="O98" i="29"/>
  <c r="G99" i="29"/>
  <c r="H99" i="29"/>
  <c r="I99" i="29"/>
  <c r="J99" i="29"/>
  <c r="K99" i="29"/>
  <c r="L99" i="29"/>
  <c r="M99" i="29"/>
  <c r="N99" i="29"/>
  <c r="O99" i="29"/>
  <c r="K102" i="29"/>
  <c r="F103" i="29"/>
  <c r="C108" i="29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<sst xmlns="http://schemas.openxmlformats.org/spreadsheetml/2006/main" count="611" uniqueCount="292">
  <si>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</si>
  <si>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</si>
  <si>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</si>
  <si>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</si>
  <si>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</si>
  <si>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◦</t>
  </si>
  <si>
    <t>Company name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</si>
  <si>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</si>
  <si>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</si>
  <si>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</si>
  <si>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</si>
  <si>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</si>
  <si>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</si>
  <si>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</si>
  <si>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</si>
  <si>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</si>
  <si>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</si>
  <si>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</si>
  <si>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</si>
  <si>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</si>
  <si>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Income statement</t>
  </si>
  <si>
    <t>Revenues</t>
  </si>
  <si>
    <t>EBIT</t>
  </si>
  <si>
    <t>Depreciation and amortization</t>
  </si>
  <si>
    <t>EBITDA</t>
  </si>
  <si>
    <t>Interest expense</t>
  </si>
  <si>
    <t>Profit before tax</t>
  </si>
  <si>
    <t>Tax expense</t>
  </si>
  <si>
    <t>Operating current assets</t>
  </si>
  <si>
    <t>Operating current liabilities</t>
  </si>
  <si>
    <t>Net debt</t>
  </si>
  <si>
    <t>EBITDA margin</t>
  </si>
  <si>
    <t>End</t>
  </si>
  <si>
    <t>Key data</t>
  </si>
  <si>
    <t>Ticker</t>
  </si>
  <si>
    <t>Country</t>
  </si>
  <si>
    <t>United States</t>
  </si>
  <si>
    <t>Analysis date</t>
  </si>
  <si>
    <t>Calendarize to</t>
  </si>
  <si>
    <t>Marginal tax rate</t>
  </si>
  <si>
    <t>Historical year end</t>
  </si>
  <si>
    <t>Home currency</t>
  </si>
  <si>
    <t>Sales</t>
  </si>
  <si>
    <t>52 week low</t>
  </si>
  <si>
    <t>52 week high</t>
  </si>
  <si>
    <t>Credit rating</t>
  </si>
  <si>
    <t>5 year EPS forward growth</t>
  </si>
  <si>
    <t>Tranche</t>
  </si>
  <si>
    <t>Number</t>
  </si>
  <si>
    <t>Basic shares outstanding</t>
  </si>
  <si>
    <t>Preferred equity</t>
  </si>
  <si>
    <t>Shareholders' equity</t>
  </si>
  <si>
    <t>Total</t>
  </si>
  <si>
    <t>Old 10-Q/Interim</t>
  </si>
  <si>
    <t>New 10-Q/interim</t>
  </si>
  <si>
    <t>FY +1</t>
  </si>
  <si>
    <t>FY +2</t>
  </si>
  <si>
    <t>FY +3</t>
  </si>
  <si>
    <t>FY +4</t>
  </si>
  <si>
    <t>NA</t>
  </si>
  <si>
    <t>LTM EBITDA</t>
  </si>
  <si>
    <t>Sales growth</t>
  </si>
  <si>
    <t>Interest rate on cash</t>
  </si>
  <si>
    <t>Depreciation</t>
  </si>
  <si>
    <t>Equity</t>
  </si>
  <si>
    <t>Net income</t>
  </si>
  <si>
    <t>Interest income</t>
  </si>
  <si>
    <t>(Increase) decrease in operating working capital</t>
  </si>
  <si>
    <t>(Capital expenditure)</t>
  </si>
  <si>
    <t>Ending cash</t>
  </si>
  <si>
    <t>Issuance (repayment)</t>
  </si>
  <si>
    <t>Long-term effective tax rate</t>
  </si>
  <si>
    <t>Enterprise value</t>
  </si>
  <si>
    <t>Risk free rate</t>
  </si>
  <si>
    <t>Synergies</t>
  </si>
  <si>
    <t>-</t>
  </si>
  <si>
    <t>Implied enterprise value</t>
  </si>
  <si>
    <t>Sources and uses of funds</t>
  </si>
  <si>
    <t>Fees</t>
  </si>
  <si>
    <t>Total uses of funds</t>
  </si>
  <si>
    <t>Total sources of funds</t>
  </si>
  <si>
    <t>Senior debt</t>
  </si>
  <si>
    <t>Max debt / EBITDA multiple</t>
  </si>
  <si>
    <t>Unsecured notes</t>
  </si>
  <si>
    <t>Max entry EV / LTM EBITDA multiple</t>
  </si>
  <si>
    <t>Cost of debt financing - spread</t>
  </si>
  <si>
    <t>Cost of senior debt</t>
  </si>
  <si>
    <t>Cost of unsecured notes</t>
  </si>
  <si>
    <t>Fees % of enterprise value</t>
  </si>
  <si>
    <t>Exit year</t>
  </si>
  <si>
    <t>Cost savings</t>
  </si>
  <si>
    <t>Adjusted EBITDA</t>
  </si>
  <si>
    <t>EBIT pre cost savings</t>
  </si>
  <si>
    <t>Cash flows to service debt</t>
  </si>
  <si>
    <t>Cash flow available for debt repayment</t>
  </si>
  <si>
    <t>Debt servicing</t>
  </si>
  <si>
    <t>Beginning senior debt balance</t>
  </si>
  <si>
    <t>Ending senior debt balance</t>
  </si>
  <si>
    <t>Beginning unsecured notes</t>
  </si>
  <si>
    <t>Ending unsecured notes</t>
  </si>
  <si>
    <t>Returns to equity holders</t>
  </si>
  <si>
    <t>Year count</t>
  </si>
  <si>
    <t>Equity value</t>
  </si>
  <si>
    <t>Cash flows to equity holders</t>
  </si>
  <si>
    <t>IRR</t>
  </si>
  <si>
    <t>Sensitivity analysis</t>
  </si>
  <si>
    <t>IRR assuming changes in entry multiple and exit year</t>
  </si>
  <si>
    <t>Entry multiple</t>
  </si>
  <si>
    <t>Factset codes</t>
  </si>
  <si>
    <t>Summary sheet code name</t>
  </si>
  <si>
    <t>Delete sheet on new target ticker</t>
  </si>
  <si>
    <t>TUMI-US</t>
  </si>
  <si>
    <t>31/12/2015</t>
  </si>
  <si>
    <t>Last filing date</t>
  </si>
  <si>
    <t>01-Jun-16</t>
  </si>
  <si>
    <t>Trading information</t>
  </si>
  <si>
    <t>Free float (MM)</t>
  </si>
  <si>
    <t>LTM dividend yield</t>
  </si>
  <si>
    <t>Historical 5 year beta</t>
  </si>
  <si>
    <t/>
  </si>
  <si>
    <t>Balance sheet data</t>
  </si>
  <si>
    <t>NCI book value</t>
  </si>
  <si>
    <t xml:space="preserve">Historical income statement NCI </t>
  </si>
  <si>
    <t>Balance sheet ST debt</t>
  </si>
  <si>
    <t>Balance sheet LT debt</t>
  </si>
  <si>
    <t>Financial derivative liabilities</t>
  </si>
  <si>
    <t>Balance sheet cash and equivalents</t>
  </si>
  <si>
    <t>ST financial investments</t>
  </si>
  <si>
    <t>LT financial investments</t>
  </si>
  <si>
    <t>Non-core assets</t>
  </si>
  <si>
    <t>Earnings and estimates</t>
  </si>
  <si>
    <t>Latest annual</t>
  </si>
  <si>
    <t>Gross interest expense</t>
  </si>
  <si>
    <t>Free cash flow</t>
  </si>
  <si>
    <t>Share options and restricted stock units</t>
  </si>
  <si>
    <t>WA strike price</t>
  </si>
  <si>
    <t>CapIQ - total options year end</t>
  </si>
  <si>
    <t>CapIQ - total options quarter end</t>
  </si>
  <si>
    <t>CapIQ options used</t>
  </si>
  <si>
    <t>Manual tranche 1</t>
  </si>
  <si>
    <t>Manual tranche 2</t>
  </si>
  <si>
    <t>Manual tranche 3</t>
  </si>
  <si>
    <t>Manual tranche 4</t>
  </si>
  <si>
    <t>Manual tranche 5</t>
  </si>
  <si>
    <t>Projected benefit obligation</t>
  </si>
  <si>
    <t>Fair value of plan assets</t>
  </si>
  <si>
    <t>Total pension and OPEB expense</t>
  </si>
  <si>
    <t>Pension service cost</t>
  </si>
  <si>
    <t>Return on plan assets</t>
  </si>
  <si>
    <t>LTM rent expense</t>
  </si>
  <si>
    <t>Cost savings % sales</t>
  </si>
  <si>
    <t>Adjusted EBITDA margin</t>
  </si>
  <si>
    <t>Max exit EV / LTM EBITDA multiple</t>
  </si>
  <si>
    <t>Beginning cash and equivalents</t>
  </si>
  <si>
    <t>Talisman LBO Assumptions</t>
  </si>
  <si>
    <t>Talisman key numbers</t>
  </si>
  <si>
    <t>Growth rate</t>
  </si>
  <si>
    <t>Capex % of revenues</t>
  </si>
  <si>
    <t>Capex</t>
  </si>
  <si>
    <t>Working capital as % of sales</t>
  </si>
  <si>
    <t>LBO &amp; Add On Acquisition</t>
  </si>
  <si>
    <t>Talisman</t>
  </si>
  <si>
    <t>Talisman Case Study</t>
  </si>
  <si>
    <t>Proj.</t>
  </si>
  <si>
    <t>Hist.</t>
  </si>
  <si>
    <t>EBITDA multiple</t>
  </si>
  <si>
    <t>Rate</t>
  </si>
  <si>
    <t>Total sources</t>
  </si>
  <si>
    <t>Capex % revenues</t>
  </si>
  <si>
    <t>Synergies as % of LTM revenue</t>
  </si>
  <si>
    <t>OWC</t>
  </si>
  <si>
    <t>Change in OWC</t>
  </si>
  <si>
    <t>Sales - add on</t>
  </si>
  <si>
    <t>Total sales</t>
  </si>
  <si>
    <t>EBIT - add on</t>
  </si>
  <si>
    <t>Total EBIT</t>
  </si>
  <si>
    <t>(Increase) decrease in operating working capital - add on</t>
  </si>
  <si>
    <t>Depreciation - add on</t>
  </si>
  <si>
    <t>(Capital expenditure) - add on</t>
  </si>
  <si>
    <t>Cash available for add-on debt, after senior debt repayment</t>
  </si>
  <si>
    <t>Beginning add-on senior debt balance</t>
  </si>
  <si>
    <t>Ending add-on senior debt balance</t>
  </si>
  <si>
    <t>Cash available for unsecured notes</t>
  </si>
  <si>
    <t>Equity injection for add-on</t>
  </si>
  <si>
    <t>Combo EBITDA</t>
  </si>
  <si>
    <t>Add-on acquisition switch</t>
  </si>
  <si>
    <t>EUR</t>
  </si>
  <si>
    <t>Arrangement fees</t>
  </si>
  <si>
    <t>Deal assumptions</t>
  </si>
  <si>
    <t>Existing debt facilities pre recapitalization</t>
  </si>
  <si>
    <t>Total debt</t>
  </si>
  <si>
    <t>Cash</t>
  </si>
  <si>
    <t>Prepayment fees</t>
  </si>
  <si>
    <t>Recapitalization amounts</t>
  </si>
  <si>
    <t>Total refinancing</t>
  </si>
  <si>
    <t>Use of recapitalization proceeds</t>
  </si>
  <si>
    <t>Arrangement fees on new debt</t>
  </si>
  <si>
    <t>Excess net proceeds</t>
  </si>
  <si>
    <t>% of proceeds available for dividend distribution</t>
  </si>
  <si>
    <t>Recap funds available for dividend distribution</t>
  </si>
  <si>
    <t>Total repayment</t>
  </si>
  <si>
    <t>Cash available for debt repayment</t>
  </si>
  <si>
    <t>Dividend recap</t>
  </si>
  <si>
    <t>LBO &amp; Recapitalization</t>
  </si>
  <si>
    <t>EBIT post cost savings</t>
  </si>
  <si>
    <t>Recapitalization switch</t>
  </si>
  <si>
    <t>Recapitalization year</t>
  </si>
  <si>
    <t>Recapitalization</t>
  </si>
  <si>
    <t>x LTM EBITDA</t>
  </si>
  <si>
    <t>x EBITDA</t>
  </si>
  <si>
    <t>Total uses</t>
  </si>
  <si>
    <t>Target valuation</t>
  </si>
  <si>
    <t>Target assumptions</t>
  </si>
  <si>
    <t>Target financials</t>
  </si>
  <si>
    <t>Dep as % of capex</t>
  </si>
  <si>
    <t>Max debt / LTM EBITDA multiple</t>
  </si>
  <si>
    <t>Financials for LBO model</t>
  </si>
  <si>
    <t>Basic LBO model</t>
  </si>
  <si>
    <t>Synergies from add-on year</t>
  </si>
  <si>
    <t>Pre recap</t>
  </si>
  <si>
    <t>Post recap</t>
  </si>
  <si>
    <t>Ending unsecured notes balance</t>
  </si>
  <si>
    <t>Debt and cash changes by recap scenario</t>
  </si>
  <si>
    <t>Leverage mutiples pre recapitalization</t>
  </si>
  <si>
    <t>Leverage mutiples post recapitalization</t>
  </si>
  <si>
    <t>Prepayment fees - senior debt</t>
  </si>
  <si>
    <t>Prepayment fees - unsecured notes</t>
  </si>
  <si>
    <t>Debt facilities post recapitalization</t>
  </si>
  <si>
    <t>Acquisition year (end of year)</t>
  </si>
  <si>
    <t>Ratchets</t>
  </si>
  <si>
    <t>Workout 1</t>
  </si>
  <si>
    <t>A PE fund is investing in a transaction with its following forecasts:</t>
  </si>
  <si>
    <t xml:space="preserve">LTM </t>
  </si>
  <si>
    <t>Year 1</t>
  </si>
  <si>
    <t>Year 2</t>
  </si>
  <si>
    <t>Year 3</t>
  </si>
  <si>
    <t>They can finance the deal with 6x LTM EBITDA of Debt.  They buy and sell the business on 8x LTM EBITDA, after repaying 200m of debt</t>
  </si>
  <si>
    <t>Assume and exit in year 3</t>
  </si>
  <si>
    <t>Entry</t>
  </si>
  <si>
    <t>Exit</t>
  </si>
  <si>
    <t>Common stock management</t>
  </si>
  <si>
    <t>Common stock institutions</t>
  </si>
  <si>
    <t>Preference shares institutions</t>
  </si>
  <si>
    <t>Debt</t>
  </si>
  <si>
    <t>EV</t>
  </si>
  <si>
    <t>Workout 2</t>
  </si>
  <si>
    <t xml:space="preserve">A management team invest 10m into an LBO transaction for 20% of the common equity.  The deal completes with total equity invested of 500m.  Any equity funding shortfall is made up of 10% PIK preference shares </t>
  </si>
  <si>
    <t>Assume the deal exits in 4 years at a total equity price of 1200m (including preference shares)</t>
  </si>
  <si>
    <t>The management have a ratchet mechanism activating after the PE fund reaches an IRR of 20%</t>
  </si>
  <si>
    <t>Any additional proceeds over the hurdle rate are split 50:50</t>
  </si>
  <si>
    <t>What are the returns to the PE fund?</t>
  </si>
  <si>
    <t>Exit 20%</t>
  </si>
  <si>
    <t>Ratchet</t>
  </si>
  <si>
    <t>Exit + ratchet</t>
  </si>
  <si>
    <t>Institutions IRR</t>
  </si>
  <si>
    <t>Workout 3</t>
  </si>
  <si>
    <t>A PE fund has a hurdle rate blended IRR of 25%</t>
  </si>
  <si>
    <t>The PE fund invested a total of 100m into a deal consisting of 80m in 10% PIK preference shares and 20m in common equity for a 75% ownership stake</t>
  </si>
  <si>
    <t>They agreed with the management team a ratchet mechanism where proceeds above their hurdle would be split 60% institutions and 40% management</t>
  </si>
  <si>
    <t>Exit 25%</t>
  </si>
  <si>
    <t>Refinancing terms</t>
  </si>
  <si>
    <t>Percentage of debt repaid</t>
  </si>
  <si>
    <t>Beginning debt repaid</t>
  </si>
  <si>
    <t>Senior debt repayment</t>
  </si>
  <si>
    <t>Unsecured notes repayment</t>
  </si>
  <si>
    <t>Ending debt repaid</t>
  </si>
  <si>
    <t>Debt / EBITDA</t>
  </si>
  <si>
    <t>Senior add-on debt</t>
  </si>
  <si>
    <t>Operating working capital</t>
  </si>
  <si>
    <t>Operating working capital as % of sales</t>
  </si>
  <si>
    <t>Dep / Capex</t>
  </si>
  <si>
    <t xml:space="preserve">Management can invest 5m for 20% of the common equity. Assume any funding shortfall is plugged using 12% PIK preference shares.  What is the fund's return? </t>
  </si>
  <si>
    <t>Entry and exit EV multiple</t>
  </si>
  <si>
    <t xml:space="preserve">Entry debt multiple </t>
  </si>
  <si>
    <t>Management common equity  (%)</t>
  </si>
  <si>
    <t>Preference shares interest rate (PIK)</t>
  </si>
  <si>
    <t xml:space="preserve">Exit year </t>
  </si>
  <si>
    <t>Management common equity  (m)</t>
  </si>
  <si>
    <t>Total equity investment (m)</t>
  </si>
  <si>
    <t>Preference share interest rate</t>
  </si>
  <si>
    <t>Exit exit value (m)</t>
  </si>
  <si>
    <t>Ratchet IRR hurdle</t>
  </si>
  <si>
    <t>Mgmt percentage of returns over hurdle</t>
  </si>
  <si>
    <t>Institutions total cash flows</t>
  </si>
  <si>
    <t xml:space="preserve">Assuming the total exit equity value (including preference shares) is 300m, what are the total proceeds to management and the IRR to the institutions </t>
  </si>
  <si>
    <t>assuming an exit in year 4?</t>
  </si>
  <si>
    <t>Blended IRR hurdle rate</t>
  </si>
  <si>
    <t xml:space="preserve">PE fund total entry investment </t>
  </si>
  <si>
    <t>PE Fund preference shares at entry</t>
  </si>
  <si>
    <t>Preference shares interest rate</t>
  </si>
  <si>
    <t>PE fund common equity ownership</t>
  </si>
  <si>
    <t>Total exit equity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</si>
</sst>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#,##0.0_);\(#,##0.0\);0.0_);@_)"/>
    <numFmt numFmtId="165" formatCode="#,##0.0_);\(#,##0.0\)\,0.0_);@_)"/>
    <numFmt numFmtId="166" formatCode="[$-409]d\-mmm\-yy"/>
    <numFmt numFmtId="167" formatCode="0.0%_);\(0.0%\)"/>
    <numFmt numFmtId="168" formatCode="#,##0.0\ \x_);\(#,##0.0\ \x\)"/>
    <numFmt numFmtId="169" formatCode="dd\-mmm\-yy_)"/>
    <numFmt numFmtId="170" formatCode="0.0%_);\(0.0%\);0.0%_);@_)"/>
    <numFmt numFmtId="171" formatCode="0.00%_);\(0.00%\)"/>
    <numFmt numFmtId="172" formatCode="[$-409]d\-mmm\-yy;@"/>
    <numFmt numFmtId="173" formatCode="#,##0.0\ \x_);\(#,##0.0\ \x\);"/>
    <numFmt numFmtId="174" formatCode="#,##0.000000_);\(#,##0.000000\);0.000000_);@_)"/>
  </numFmts>
  <fonts count="55" x14ac:knownFonts="1">
    <font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theme="1"/>
      <name val="Calibri"/>
      <family val="2"/>
    </font>
    <font>
      <sz val="22"/>
      <color theme="0"/>
      <name val="Calibri"/>
      <family val="2"/>
    </font>
    <font>
      <sz val="11"/>
      <name val="Arial"/>
      <family val="2"/>
    </font>
    <font>
      <sz val="18"/>
      <color theme="0"/>
      <name val="Calibri"/>
      <family val="2"/>
    </font>
    <font>
      <sz val="11"/>
      <color rgb="FF6E6E6E"/>
      <name val="Calibri"/>
      <family val="2"/>
    </font>
    <font>
      <b/>
      <sz val="12"/>
      <color rgb="FF163260"/>
      <name val="Calibri"/>
      <family val="2"/>
    </font>
    <font>
      <sz val="10"/>
      <color rgb="FF085393"/>
      <name val="Calibri"/>
      <family val="2"/>
    </font>
    <font>
      <sz val="11"/>
      <color rgb="FF085393"/>
      <name val="Calibri"/>
      <family val="2"/>
    </font>
    <font>
      <sz val="11"/>
      <color theme="1"/>
      <name val="Calibri"/>
      <family val="2"/>
    </font>
    <font>
      <u/>
      <sz val="11"/>
      <color theme="10"/>
      <name val="Arial"/>
      <family val="2"/>
    </font>
    <font>
      <sz val="14"/>
      <color theme="0"/>
      <name val="Calibri"/>
      <family val="2"/>
    </font>
    <font>
      <u/>
      <sz val="14"/>
      <color rgb="FF085393"/>
      <name val="Calibri"/>
      <family val="2"/>
    </font>
    <font>
      <sz val="11"/>
      <color rgb="FF0000FF"/>
      <name val="Calibri"/>
      <family val="2"/>
    </font>
    <font>
      <sz val="11"/>
      <color theme="0"/>
      <name val="Calibri"/>
      <family val="2"/>
    </font>
    <font>
      <b/>
      <sz val="11"/>
      <color theme="1"/>
      <name val="Calibri"/>
      <family val="2"/>
    </font>
    <font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sz val="20"/>
      <color rgb="FF006100"/>
      <name val="Calibri"/>
      <family val="2"/>
      <scheme val="minor"/>
    </font>
    <font>
      <sz val="20"/>
      <color rgb="FF9C0006"/>
      <name val="Calibri"/>
      <family val="2"/>
      <scheme val="minor"/>
    </font>
    <font>
      <sz val="20"/>
      <color rgb="FF9C5700"/>
      <name val="Calibri"/>
      <family val="2"/>
      <scheme val="minor"/>
    </font>
    <font>
      <b/>
      <sz val="20"/>
      <color rgb="FF3F3F3F"/>
      <name val="Calibri"/>
      <family val="2"/>
      <scheme val="minor"/>
    </font>
    <font>
      <b/>
      <sz val="20"/>
      <color rgb="FFFA7D00"/>
      <name val="Calibri"/>
      <family val="2"/>
      <scheme val="minor"/>
    </font>
    <font>
      <sz val="20"/>
      <color rgb="FFFA7D0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20"/>
      <color rgb="FFFF0000"/>
      <name val="Calibri"/>
      <family val="2"/>
      <scheme val="minor"/>
    </font>
    <font>
      <i/>
      <sz val="20"/>
      <color rgb="FF7F7F7F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2"/>
      <color theme="0"/>
      <name val="Calibri"/>
      <family val="2"/>
      <scheme val="major"/>
    </font>
    <font>
      <sz val="11"/>
      <color rgb="FF085393"/>
      <name val="Calibri"/>
      <family val="2"/>
      <scheme val="minor"/>
    </font>
    <font>
      <sz val="14"/>
      <color theme="0"/>
      <name val="Calibri"/>
      <family val="2"/>
      <scheme val="major"/>
    </font>
    <font>
      <sz val="16"/>
      <color theme="0"/>
      <name val="Calibri"/>
      <family val="2"/>
      <scheme val="major"/>
    </font>
    <font>
      <b/>
      <sz val="12"/>
      <color rgb="FF163260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Calibri"/>
      <family val="2"/>
    </font>
    <font>
      <sz val="18"/>
      <color theme="0"/>
      <name val="Calibri"/>
      <family val="2"/>
      <scheme val="minor"/>
    </font>
  </fonts>
  <fills count="44">
    <fill>
      <patternFill patternType="none"/>
    </fill>
    <fill>
      <patternFill patternType="gray125"/>
    </fill>
    <fill>
      <patternFill patternType="solid">
        <fgColor rgb="FF163260"/>
        <bgColor rgb="FF163260"/>
      </patternFill>
    </fill>
    <fill>
      <patternFill patternType="solid">
        <fgColor rgb="FF085393"/>
        <bgColor rgb="FF085393"/>
      </patternFill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BEEFD"/>
        <bgColor rgb="FFDBEEFD"/>
      </patternFill>
    </fill>
    <fill>
      <patternFill patternType="solid">
        <fgColor rgb="FFF0F8FE"/>
        <bgColor rgb="FFF0F8FE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rgb="FFDBEEFD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FFFF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D8D8D8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164" fontId="0" fillId="0" borderId="10"/>
    <xf numFmtId="164" fontId="34" fillId="0" borderId="10" applyNumberFormat="0" applyFill="0" applyBorder="0" applyAlignment="0" applyProtection="0"/>
    <xf numFmtId="164" fontId="33" fillId="0" borderId="10" applyNumberFormat="0" applyFill="0" applyBorder="0" applyAlignment="0" applyProtection="0"/>
    <xf numFmtId="167" fontId="31" fillId="19" borderId="10" applyFont="0" applyFill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0" applyNumberFormat="0" applyBorder="0" applyAlignment="0" applyProtection="0"/>
    <xf numFmtId="173" fontId="18" fillId="21" borderId="12" applyNumberFormat="0">
      <protection locked="0"/>
    </xf>
    <xf numFmtId="0" fontId="23" fillId="11" borderId="14" applyNumberFormat="0" applyAlignment="0" applyProtection="0"/>
    <xf numFmtId="0" fontId="24" fillId="11" borderId="13" applyNumberFormat="0" applyAlignment="0" applyProtection="0"/>
    <xf numFmtId="0" fontId="25" fillId="0" borderId="15" applyNumberFormat="0" applyFill="0" applyAlignment="0" applyProtection="0"/>
    <xf numFmtId="0" fontId="26" fillId="12" borderId="16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10" applyNumberFormat="0" applyFont="0" applyAlignment="0" applyProtection="0">
      <alignment vertical="top"/>
    </xf>
    <xf numFmtId="165" fontId="30" fillId="19" borderId="10" applyNumberFormat="0" applyBorder="0" applyProtection="0">
      <alignment horizontal="center"/>
    </xf>
    <xf numFmtId="169" fontId="31" fillId="0" borderId="10" applyFont="0" applyFill="0" applyBorder="0" applyAlignment="0" applyProtection="0"/>
    <xf numFmtId="172" fontId="32" fillId="20" borderId="10">
      <alignment horizontal="center"/>
    </xf>
    <xf numFmtId="165" fontId="18" fillId="19" borderId="10" applyNumberFormat="0" applyFill="0" applyBorder="0" applyAlignment="0" applyProtection="0"/>
    <xf numFmtId="165" fontId="30" fillId="20" borderId="10">
      <alignment horizontal="center"/>
    </xf>
    <xf numFmtId="168" fontId="19" fillId="0" borderId="10" applyFont="0" applyFill="0" applyBorder="0" applyAlignment="0" applyProtection="0"/>
    <xf numFmtId="0" fontId="35" fillId="19" borderId="10" applyNumberFormat="0">
      <alignment horizontal="left"/>
    </xf>
    <xf numFmtId="165" fontId="36" fillId="0" borderId="10">
      <alignment vertical="top"/>
    </xf>
    <xf numFmtId="0" fontId="37" fillId="20" borderId="10" applyNumberFormat="0" applyAlignment="0">
      <alignment horizontal="left"/>
    </xf>
    <xf numFmtId="0" fontId="38" fillId="20" borderId="10" applyNumberFormat="0" applyAlignment="0">
      <alignment horizontal="left"/>
    </xf>
    <xf numFmtId="0" fontId="39" fillId="0" borderId="10" applyNumberFormat="0" applyFill="0" applyBorder="0">
      <alignment horizontal="left" vertical="center"/>
    </xf>
    <xf numFmtId="0" fontId="40" fillId="0" borderId="0" applyNumberFormat="0" applyFill="0" applyBorder="0" applyAlignment="0" applyProtection="0"/>
    <xf numFmtId="0" fontId="41" fillId="0" borderId="17" applyNumberFormat="0" applyFill="0" applyAlignment="0" applyProtection="0"/>
    <xf numFmtId="0" fontId="42" fillId="0" borderId="18" applyNumberFormat="0" applyFill="0" applyAlignment="0" applyProtection="0"/>
    <xf numFmtId="0" fontId="43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44" fillId="0" borderId="20" applyNumberFormat="0" applyFill="0" applyAlignment="0" applyProtection="0"/>
    <xf numFmtId="0" fontId="45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45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45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45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4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0" fontId="48" fillId="0" borderId="10">
      <alignment horizontal="left" vertical="center"/>
    </xf>
    <xf numFmtId="164" fontId="31" fillId="0" borderId="10" applyFill="0" applyBorder="0" applyAlignment="0" applyProtection="0"/>
    <xf numFmtId="165" fontId="30" fillId="19" borderId="10">
      <alignment horizontal="center"/>
    </xf>
    <xf numFmtId="172" fontId="31" fillId="0" borderId="10" applyFont="0" applyFill="0" applyBorder="0" applyAlignment="0" applyProtection="0"/>
    <xf numFmtId="173" fontId="18" fillId="41" borderId="12" applyNumberFormat="0">
      <protection locked="0"/>
    </xf>
    <xf numFmtId="167" fontId="19" fillId="0" borderId="10" applyFont="0" applyFill="0" applyBorder="0" applyAlignment="0" applyProtection="0"/>
    <xf numFmtId="173" fontId="19" fillId="0" borderId="10" applyFont="0" applyFill="0" applyBorder="0" applyAlignment="0" applyProtection="0"/>
    <xf numFmtId="164" fontId="51" fillId="0" borderId="10"/>
    <xf numFmtId="164" fontId="31" fillId="42" borderId="10" applyNumberFormat="0" applyFont="0" applyBorder="0" applyAlignment="0" applyProtection="0"/>
  </cellStyleXfs>
  <cellXfs count="142">
    <xf numFmtId="164" fontId="0" fillId="0" borderId="10" xfId="0"/>
    <xf numFmtId="172" fontId="32" fillId="20" borderId="10" xfId="22">
      <alignment horizontal="center"/>
    </xf>
    <xf numFmtId="0" fontId="3" fillId="0" borderId="10" xfId="0" applyNumberFormat="1" applyFont="1"/>
    <xf numFmtId="164" fontId="6" fillId="0" borderId="10" xfId="0" applyFont="1"/>
    <xf numFmtId="164" fontId="7" fillId="0" borderId="10" xfId="0" applyFont="1" applyAlignment="1">
      <alignment vertical="top"/>
    </xf>
    <xf numFmtId="164" fontId="7" fillId="0" borderId="10" xfId="0" applyFont="1"/>
    <xf numFmtId="164" fontId="8" fillId="0" borderId="10" xfId="0" applyFont="1" applyAlignment="1">
      <alignment vertical="center"/>
    </xf>
    <xf numFmtId="164" fontId="9" fillId="0" borderId="10" xfId="0" applyFont="1" applyAlignment="1">
      <alignment vertical="center" wrapText="1"/>
    </xf>
    <xf numFmtId="165" fontId="7" fillId="4" borderId="4" xfId="0" applyNumberFormat="1" applyFont="1" applyFill="1" applyBorder="1" applyAlignment="1">
      <alignment horizontal="left" vertical="top"/>
    </xf>
    <xf numFmtId="165" fontId="10" fillId="4" borderId="4" xfId="0" applyNumberFormat="1" applyFont="1" applyFill="1" applyBorder="1" applyAlignment="1">
      <alignment horizontal="center" vertical="top"/>
    </xf>
    <xf numFmtId="165" fontId="7" fillId="4" borderId="4" xfId="0" applyNumberFormat="1" applyFont="1" applyFill="1" applyBorder="1"/>
    <xf numFmtId="165" fontId="9" fillId="4" borderId="4" xfId="0" applyNumberFormat="1" applyFont="1" applyFill="1" applyBorder="1" applyAlignment="1">
      <alignment vertical="center" wrapText="1"/>
    </xf>
    <xf numFmtId="164" fontId="7" fillId="4" borderId="11" xfId="0" applyFont="1" applyFill="1" applyBorder="1" applyAlignment="1">
      <alignment vertical="top"/>
    </xf>
    <xf numFmtId="164" fontId="10" fillId="4" borderId="11" xfId="0" applyFont="1" applyFill="1" applyBorder="1" applyAlignment="1">
      <alignment horizontal="center" vertical="top"/>
    </xf>
    <xf numFmtId="164" fontId="7" fillId="4" borderId="11" xfId="0" applyFont="1" applyFill="1" applyBorder="1"/>
    <xf numFmtId="164" fontId="9" fillId="4" borderId="11" xfId="0" applyFont="1" applyFill="1" applyBorder="1" applyAlignment="1">
      <alignment vertical="center" wrapText="1"/>
    </xf>
    <xf numFmtId="164" fontId="11" fillId="0" borderId="10" xfId="0" applyFont="1"/>
    <xf numFmtId="165" fontId="4" fillId="2" borderId="4" xfId="0" applyNumberFormat="1" applyFont="1" applyFill="1" applyBorder="1"/>
    <xf numFmtId="164" fontId="6" fillId="2" borderId="4" xfId="0" applyFont="1" applyFill="1" applyBorder="1"/>
    <xf numFmtId="165" fontId="13" fillId="3" borderId="4" xfId="0" applyNumberFormat="1" applyFont="1" applyFill="1" applyBorder="1"/>
    <xf numFmtId="164" fontId="13" fillId="3" borderId="4" xfId="0" applyFont="1" applyFill="1" applyBorder="1"/>
    <xf numFmtId="164" fontId="7" fillId="5" borderId="4" xfId="0" applyFont="1" applyFill="1" applyBorder="1"/>
    <xf numFmtId="164" fontId="7" fillId="4" borderId="4" xfId="0" applyFont="1" applyFill="1" applyBorder="1"/>
    <xf numFmtId="164" fontId="7" fillId="4" borderId="4" xfId="0" applyFont="1" applyFill="1" applyBorder="1" applyAlignment="1">
      <alignment horizontal="left" vertical="top"/>
    </xf>
    <xf numFmtId="164" fontId="10" fillId="4" borderId="4" xfId="0" applyFont="1" applyFill="1" applyBorder="1" applyAlignment="1">
      <alignment horizontal="center" vertical="top"/>
    </xf>
    <xf numFmtId="164" fontId="11" fillId="4" borderId="4" xfId="0" applyFont="1" applyFill="1" applyBorder="1"/>
    <xf numFmtId="164" fontId="7" fillId="4" borderId="4" xfId="0" applyFont="1" applyFill="1" applyBorder="1" applyAlignment="1">
      <alignment vertical="top"/>
    </xf>
    <xf numFmtId="164" fontId="10" fillId="4" borderId="4" xfId="0" applyFont="1" applyFill="1" applyBorder="1" applyAlignment="1">
      <alignment vertical="top"/>
    </xf>
    <xf numFmtId="164" fontId="7" fillId="4" borderId="4" xfId="0" applyFont="1" applyFill="1" applyBorder="1" applyAlignment="1">
      <alignment vertical="top" wrapText="1"/>
    </xf>
    <xf numFmtId="165" fontId="7" fillId="4" borderId="4" xfId="0" applyNumberFormat="1" applyFont="1" applyFill="1" applyBorder="1" applyAlignment="1">
      <alignment vertical="top"/>
    </xf>
    <xf numFmtId="165" fontId="14" fillId="4" borderId="4" xfId="0" applyNumberFormat="1" applyFont="1" applyFill="1" applyBorder="1" applyAlignment="1">
      <alignment vertical="center" wrapText="1"/>
    </xf>
    <xf numFmtId="164" fontId="8" fillId="4" borderId="4" xfId="0" applyFont="1" applyFill="1" applyBorder="1" applyAlignment="1">
      <alignment vertical="center"/>
    </xf>
    <xf numFmtId="164" fontId="10" fillId="0" borderId="10" xfId="0" applyFont="1" applyAlignment="1">
      <alignment horizontal="center" vertical="top"/>
    </xf>
    <xf numFmtId="165" fontId="15" fillId="6" borderId="12" xfId="0" applyNumberFormat="1" applyFont="1" applyFill="1" applyBorder="1"/>
    <xf numFmtId="165" fontId="15" fillId="0" borderId="10" xfId="0" applyNumberFormat="1" applyFont="1" applyAlignment="1">
      <alignment vertical="top"/>
    </xf>
    <xf numFmtId="165" fontId="7" fillId="0" borderId="10" xfId="0" applyNumberFormat="1" applyFont="1"/>
    <xf numFmtId="165" fontId="8" fillId="0" borderId="10" xfId="0" applyNumberFormat="1" applyFont="1" applyAlignment="1">
      <alignment horizontal="left" vertical="center"/>
    </xf>
    <xf numFmtId="164" fontId="8" fillId="0" borderId="10" xfId="0" applyFont="1" applyAlignment="1">
      <alignment horizontal="left" vertical="center"/>
    </xf>
    <xf numFmtId="164" fontId="11" fillId="0" borderId="10" xfId="0" applyFont="1" applyAlignment="1">
      <alignment horizontal="right"/>
    </xf>
    <xf numFmtId="167" fontId="11" fillId="0" borderId="10" xfId="0" applyNumberFormat="1" applyFont="1"/>
    <xf numFmtId="168" fontId="11" fillId="0" borderId="10" xfId="0" applyNumberFormat="1" applyFont="1"/>
    <xf numFmtId="164" fontId="4" fillId="2" borderId="4" xfId="0" applyFont="1" applyFill="1" applyBorder="1" applyAlignment="1">
      <alignment horizontal="left"/>
    </xf>
    <xf numFmtId="164" fontId="6" fillId="0" borderId="10" xfId="0" applyFont="1" applyAlignment="1">
      <alignment vertical="center"/>
    </xf>
    <xf numFmtId="164" fontId="13" fillId="0" borderId="10" xfId="0" applyFont="1"/>
    <xf numFmtId="164" fontId="15" fillId="6" borderId="12" xfId="0" applyFont="1" applyFill="1" applyBorder="1"/>
    <xf numFmtId="169" fontId="11" fillId="0" borderId="10" xfId="0" applyNumberFormat="1" applyFont="1"/>
    <xf numFmtId="166" fontId="11" fillId="0" borderId="10" xfId="0" applyNumberFormat="1" applyFont="1"/>
    <xf numFmtId="164" fontId="15" fillId="6" borderId="4" xfId="0" applyFont="1" applyFill="1" applyBorder="1"/>
    <xf numFmtId="165" fontId="16" fillId="3" borderId="4" xfId="0" applyNumberFormat="1" applyFont="1" applyFill="1" applyBorder="1" applyAlignment="1">
      <alignment horizontal="center"/>
    </xf>
    <xf numFmtId="167" fontId="11" fillId="0" borderId="10" xfId="0" applyNumberFormat="1" applyFont="1" applyAlignment="1">
      <alignment horizontal="right"/>
    </xf>
    <xf numFmtId="164" fontId="3" fillId="0" borderId="10" xfId="0" applyFont="1"/>
    <xf numFmtId="169" fontId="16" fillId="3" borderId="4" xfId="0" applyNumberFormat="1" applyFont="1" applyFill="1" applyBorder="1" applyAlignment="1">
      <alignment horizontal="center"/>
    </xf>
    <xf numFmtId="167" fontId="15" fillId="6" borderId="12" xfId="0" applyNumberFormat="1" applyFont="1" applyFill="1" applyBorder="1"/>
    <xf numFmtId="170" fontId="11" fillId="0" borderId="10" xfId="0" applyNumberFormat="1" applyFont="1"/>
    <xf numFmtId="168" fontId="15" fillId="6" borderId="12" xfId="0" applyNumberFormat="1" applyFont="1" applyFill="1" applyBorder="1"/>
    <xf numFmtId="168" fontId="16" fillId="3" borderId="4" xfId="0" applyNumberFormat="1" applyFont="1" applyFill="1" applyBorder="1" applyAlignment="1">
      <alignment horizontal="center"/>
    </xf>
    <xf numFmtId="165" fontId="16" fillId="3" borderId="4" xfId="0" applyNumberFormat="1" applyFont="1" applyFill="1" applyBorder="1" applyAlignment="1">
      <alignment horizontal="right"/>
    </xf>
    <xf numFmtId="171" fontId="15" fillId="6" borderId="12" xfId="0" applyNumberFormat="1" applyFont="1" applyFill="1" applyBorder="1"/>
    <xf numFmtId="165" fontId="13" fillId="3" borderId="4" xfId="0" applyNumberFormat="1" applyFont="1" applyFill="1" applyBorder="1" applyAlignment="1">
      <alignment horizontal="left" vertical="center"/>
    </xf>
    <xf numFmtId="166" fontId="15" fillId="6" borderId="4" xfId="0" applyNumberFormat="1" applyFont="1" applyFill="1" applyBorder="1"/>
    <xf numFmtId="164" fontId="11" fillId="7" borderId="4" xfId="0" applyFont="1" applyFill="1" applyBorder="1"/>
    <xf numFmtId="164" fontId="15" fillId="7" borderId="4" xfId="0" applyFont="1" applyFill="1" applyBorder="1"/>
    <xf numFmtId="164" fontId="11" fillId="6" borderId="4" xfId="0" applyFont="1" applyFill="1" applyBorder="1"/>
    <xf numFmtId="165" fontId="11" fillId="0" borderId="10" xfId="0" applyNumberFormat="1" applyFont="1" applyAlignment="1">
      <alignment horizontal="right"/>
    </xf>
    <xf numFmtId="164" fontId="11" fillId="0" borderId="10" xfId="0" applyFont="1" applyAlignment="1">
      <alignment horizontal="right" vertical="top" wrapText="1"/>
    </xf>
    <xf numFmtId="169" fontId="15" fillId="7" borderId="4" xfId="0" applyNumberFormat="1" applyFont="1" applyFill="1" applyBorder="1"/>
    <xf numFmtId="164" fontId="18" fillId="0" borderId="10" xfId="23" applyNumberFormat="1" applyFill="1"/>
    <xf numFmtId="168" fontId="18" fillId="21" borderId="12" xfId="7" applyNumberFormat="1">
      <protection locked="0"/>
    </xf>
    <xf numFmtId="164" fontId="3" fillId="0" borderId="10" xfId="0" applyFont="1" applyAlignment="1">
      <alignment horizontal="right"/>
    </xf>
    <xf numFmtId="167" fontId="0" fillId="0" borderId="10" xfId="3" applyFont="1" applyFill="1"/>
    <xf numFmtId="167" fontId="18" fillId="21" borderId="12" xfId="7" applyNumberFormat="1">
      <protection locked="0"/>
    </xf>
    <xf numFmtId="0" fontId="47" fillId="0" borderId="10" xfId="0" applyNumberFormat="1" applyFont="1"/>
    <xf numFmtId="164" fontId="47" fillId="0" borderId="10" xfId="0" applyFont="1"/>
    <xf numFmtId="170" fontId="47" fillId="0" borderId="10" xfId="0" applyNumberFormat="1" applyFont="1"/>
    <xf numFmtId="164" fontId="17" fillId="0" borderId="10" xfId="0" applyFont="1"/>
    <xf numFmtId="165" fontId="18" fillId="0" borderId="10" xfId="23" applyFill="1" applyAlignment="1">
      <alignment vertical="top"/>
    </xf>
    <xf numFmtId="170" fontId="31" fillId="0" borderId="10" xfId="23" applyNumberFormat="1" applyFont="1" applyFill="1" applyAlignment="1">
      <alignment vertical="top"/>
    </xf>
    <xf numFmtId="165" fontId="0" fillId="0" borderId="10" xfId="27" applyFont="1">
      <alignment vertical="top"/>
    </xf>
    <xf numFmtId="167" fontId="47" fillId="0" borderId="10" xfId="3" applyFont="1" applyFill="1"/>
    <xf numFmtId="171" fontId="47" fillId="0" borderId="10" xfId="0" applyNumberFormat="1" applyFont="1"/>
    <xf numFmtId="168" fontId="47" fillId="0" borderId="10" xfId="25" applyFont="1"/>
    <xf numFmtId="167" fontId="47" fillId="0" borderId="10" xfId="0" applyNumberFormat="1" applyFont="1" applyAlignment="1">
      <alignment horizontal="center"/>
    </xf>
    <xf numFmtId="165" fontId="35" fillId="19" borderId="10" xfId="26" applyNumberFormat="1">
      <alignment horizontal="left"/>
    </xf>
    <xf numFmtId="164" fontId="31" fillId="0" borderId="10" xfId="57"/>
    <xf numFmtId="165" fontId="38" fillId="20" borderId="10" xfId="29" applyNumberFormat="1" applyAlignment="1"/>
    <xf numFmtId="164" fontId="49" fillId="20" borderId="10" xfId="57" applyFont="1" applyFill="1" applyBorder="1" applyAlignment="1"/>
    <xf numFmtId="164" fontId="46" fillId="0" borderId="10" xfId="57" applyFont="1"/>
    <xf numFmtId="164" fontId="31" fillId="0" borderId="10" xfId="57" applyAlignment="1">
      <alignment horizontal="center"/>
    </xf>
    <xf numFmtId="173" fontId="0" fillId="0" borderId="10" xfId="62" applyFont="1"/>
    <xf numFmtId="165" fontId="50" fillId="0" borderId="10" xfId="30" applyNumberFormat="1" applyFont="1">
      <alignment horizontal="left" vertical="center"/>
    </xf>
    <xf numFmtId="170" fontId="31" fillId="0" borderId="10" xfId="57" applyNumberFormat="1" applyFill="1"/>
    <xf numFmtId="164" fontId="50" fillId="0" borderId="10" xfId="30" applyNumberFormat="1" applyFont="1" applyFill="1">
      <alignment horizontal="left" vertical="center"/>
    </xf>
    <xf numFmtId="167" fontId="3" fillId="0" borderId="10" xfId="0" applyNumberFormat="1" applyFont="1"/>
    <xf numFmtId="164" fontId="3" fillId="4" borderId="4" xfId="0" applyFont="1" applyFill="1" applyBorder="1"/>
    <xf numFmtId="164" fontId="35" fillId="19" borderId="10" xfId="26" applyNumberFormat="1">
      <alignment horizontal="left"/>
    </xf>
    <xf numFmtId="164" fontId="39" fillId="0" borderId="10" xfId="30" applyNumberFormat="1">
      <alignment horizontal="left" vertical="center"/>
    </xf>
    <xf numFmtId="164" fontId="18" fillId="21" borderId="12" xfId="7" applyNumberFormat="1">
      <protection locked="0"/>
    </xf>
    <xf numFmtId="168" fontId="0" fillId="0" borderId="10" xfId="25" applyFont="1"/>
    <xf numFmtId="164" fontId="53" fillId="0" borderId="10" xfId="0" applyFont="1"/>
    <xf numFmtId="174" fontId="0" fillId="0" borderId="10" xfId="0" applyNumberFormat="1"/>
    <xf numFmtId="164" fontId="47" fillId="0" borderId="10" xfId="0" applyFont="1" applyAlignment="1">
      <alignment horizontal="centerContinuous"/>
    </xf>
    <xf numFmtId="164" fontId="11" fillId="0" borderId="10" xfId="0" applyFont="1" applyAlignment="1">
      <alignment horizontal="centerContinuous"/>
    </xf>
    <xf numFmtId="173" fontId="18" fillId="21" borderId="12" xfId="7">
      <protection locked="0"/>
    </xf>
    <xf numFmtId="171" fontId="18" fillId="21" borderId="12" xfId="7" applyNumberFormat="1">
      <protection locked="0"/>
    </xf>
    <xf numFmtId="172" fontId="16" fillId="20" borderId="10" xfId="22" applyFont="1">
      <alignment horizontal="center"/>
    </xf>
    <xf numFmtId="164" fontId="31" fillId="18" borderId="10" xfId="19" applyNumberFormat="1" applyFont="1" applyAlignment="1"/>
    <xf numFmtId="167" fontId="31" fillId="0" borderId="10" xfId="3" applyFill="1"/>
    <xf numFmtId="165" fontId="30" fillId="20" borderId="10" xfId="24">
      <alignment horizontal="center"/>
    </xf>
    <xf numFmtId="165" fontId="30" fillId="19" borderId="10" xfId="58">
      <alignment horizontal="center"/>
    </xf>
    <xf numFmtId="165" fontId="39" fillId="0" borderId="10" xfId="30" applyNumberFormat="1">
      <alignment horizontal="left" vertical="center"/>
    </xf>
    <xf numFmtId="165" fontId="36" fillId="0" borderId="10" xfId="27">
      <alignment vertical="top"/>
    </xf>
    <xf numFmtId="165" fontId="36" fillId="0" borderId="10" xfId="27" applyAlignment="1">
      <alignment horizontal="right" vertical="top"/>
    </xf>
    <xf numFmtId="164" fontId="3" fillId="0" borderId="10" xfId="0" quotePrefix="1" applyFont="1"/>
    <xf numFmtId="164" fontId="54" fillId="19" borderId="10" xfId="0" applyFont="1" applyFill="1" applyAlignment="1">
      <alignment vertical="center"/>
    </xf>
    <xf numFmtId="164" fontId="54" fillId="0" borderId="10" xfId="0" applyFont="1" applyAlignment="1">
      <alignment vertical="center"/>
    </xf>
    <xf numFmtId="164" fontId="49" fillId="20" borderId="10" xfId="0" applyFont="1" applyFill="1"/>
    <xf numFmtId="164" fontId="49" fillId="0" borderId="10" xfId="0" applyFont="1"/>
    <xf numFmtId="164" fontId="0" fillId="0" borderId="10" xfId="0" applyAlignment="1">
      <alignment horizontal="right"/>
    </xf>
    <xf numFmtId="168" fontId="18" fillId="0" borderId="10" xfId="23" applyNumberFormat="1" applyFill="1"/>
    <xf numFmtId="167" fontId="18" fillId="0" borderId="10" xfId="23" applyNumberFormat="1" applyFill="1"/>
    <xf numFmtId="167" fontId="18" fillId="0" borderId="10" xfId="3" applyFont="1" applyFill="1"/>
    <xf numFmtId="164" fontId="52" fillId="43" borderId="10" xfId="0" applyFont="1" applyFill="1"/>
    <xf numFmtId="164" fontId="53" fillId="43" borderId="10" xfId="0" applyFont="1" applyFill="1"/>
    <xf numFmtId="164" fontId="47" fillId="43" borderId="10" xfId="0" applyFont="1" applyFill="1"/>
    <xf numFmtId="165" fontId="12" fillId="4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Border="1"/>
    <xf numFmtId="0" fontId="5" fillId="0" borderId="3" xfId="0" applyNumberFormat="1" applyFont="1" applyBorder="1"/>
    <xf numFmtId="165" fontId="4" fillId="2" borderId="1" xfId="0" applyNumberFormat="1" applyFont="1" applyFill="1" applyBorder="1" applyAlignment="1">
      <alignment horizontal="center"/>
    </xf>
    <xf numFmtId="165" fontId="4" fillId="3" borderId="1" xfId="0" applyNumberFormat="1" applyFont="1" applyFill="1" applyBorder="1" applyAlignment="1">
      <alignment horizontal="center" vertical="center"/>
    </xf>
    <xf numFmtId="165" fontId="7" fillId="4" borderId="1" xfId="0" applyNumberFormat="1" applyFont="1" applyFill="1" applyBorder="1" applyAlignment="1">
      <alignment horizontal="left" vertical="top"/>
    </xf>
    <xf numFmtId="165" fontId="11" fillId="4" borderId="5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Border="1"/>
    <xf numFmtId="0" fontId="5" fillId="0" borderId="7" xfId="0" applyNumberFormat="1" applyFont="1" applyBorder="1"/>
    <xf numFmtId="0" fontId="5" fillId="0" borderId="8" xfId="0" applyNumberFormat="1" applyFont="1" applyBorder="1"/>
    <xf numFmtId="0" fontId="5" fillId="0" borderId="9" xfId="0" applyNumberFormat="1" applyFont="1" applyBorder="1"/>
    <xf numFmtId="0" fontId="5" fillId="0" borderId="10" xfId="0" applyNumberFormat="1" applyFont="1"/>
    <xf numFmtId="165" fontId="11" fillId="4" borderId="1" xfId="0" applyNumberFormat="1" applyFont="1" applyFill="1" applyBorder="1" applyAlignment="1">
      <alignment horizontal="center" vertical="center" wrapText="1"/>
    </xf>
    <xf numFmtId="164" fontId="11" fillId="4" borderId="1" xfId="0" applyFont="1" applyFill="1" applyBorder="1" applyAlignment="1">
      <alignment horizontal="left"/>
    </xf>
    <xf numFmtId="164" fontId="8" fillId="4" borderId="1" xfId="0" applyFont="1" applyFill="1" applyBorder="1" applyAlignment="1">
      <alignment horizontal="left" vertical="center"/>
    </xf>
    <xf numFmtId="164" fontId="11" fillId="4" borderId="1" xfId="0" applyFont="1" applyFill="1" applyBorder="1"/>
    <xf numFmtId="166" fontId="11" fillId="4" borderId="1" xfId="0" applyNumberFormat="1" applyFont="1" applyFill="1" applyBorder="1" applyAlignment="1">
      <alignment horizontal="left"/>
    </xf>
    <xf numFmtId="164" fontId="3" fillId="4" borderId="1" xfId="0" applyFont="1" applyFill="1" applyBorder="1"/>
  </cellXfs>
  <cellStyles count="65">
    <cellStyle name="20% - Accent1" xfId="14" builtinId="30" hidden="1"/>
    <cellStyle name="20% - Accent2" xfId="15" builtinId="34" hidden="1"/>
    <cellStyle name="20% - Accent3" xfId="16" builtinId="38" hidden="1"/>
    <cellStyle name="20% - Accent4" xfId="17" builtinId="42" hidden="1"/>
    <cellStyle name="20% - Accent5" xfId="18" builtinId="46" hidden="1"/>
    <cellStyle name="20% - Accent6" xfId="53" builtinId="50" hidden="1"/>
    <cellStyle name="40% - Accent1" xfId="38" builtinId="31" hidden="1"/>
    <cellStyle name="40% - Accent2" xfId="41" builtinId="35" hidden="1"/>
    <cellStyle name="40% - Accent3" xfId="44" builtinId="39" hidden="1"/>
    <cellStyle name="40% - Accent4" xfId="47" builtinId="43" hidden="1"/>
    <cellStyle name="40% - Accent5" xfId="50" builtinId="47" hidden="1"/>
    <cellStyle name="40% - Accent6" xfId="54" builtinId="51" hidden="1"/>
    <cellStyle name="60% - Accent1" xfId="39" builtinId="32" hidden="1"/>
    <cellStyle name="60% - Accent2" xfId="42" builtinId="36" hidden="1"/>
    <cellStyle name="60% - Accent3" xfId="45" builtinId="40" hidden="1"/>
    <cellStyle name="60% - Accent4" xfId="48" builtinId="44" hidden="1"/>
    <cellStyle name="60% - Accent5" xfId="51" builtinId="48" hidden="1"/>
    <cellStyle name="60% - Accent6" xfId="55" builtinId="52" hidden="1"/>
    <cellStyle name="A" xfId="56" xr:uid="{5ABA4130-B76F-4FAC-A941-580B3CE5DFD8}"/>
    <cellStyle name="Accent1" xfId="37" builtinId="29" hidden="1"/>
    <cellStyle name="Accent2" xfId="40" builtinId="33" hidden="1"/>
    <cellStyle name="Accent3" xfId="43" builtinId="37" hidden="1"/>
    <cellStyle name="Accent4" xfId="46" builtinId="41" hidden="1"/>
    <cellStyle name="Accent5" xfId="49" builtinId="45" hidden="1"/>
    <cellStyle name="Accent6" xfId="52" builtinId="49" hidden="1"/>
    <cellStyle name="Background Fill" xfId="19" xr:uid="{D191FE50-09C8-424C-B523-D5D33B56345E}"/>
    <cellStyle name="Bad" xfId="5" builtinId="27" hidden="1"/>
    <cellStyle name="Calculation" xfId="9" builtinId="22" hidden="1"/>
    <cellStyle name="Check Cell" xfId="11" builtinId="23" hidden="1"/>
    <cellStyle name="Column Heading" xfId="20" xr:uid="{8CE03F7A-D579-4116-BD76-5386275F696F}"/>
    <cellStyle name="Date" xfId="21" xr:uid="{FA95EFB7-623E-4156-84B8-31B8752CCC36}"/>
    <cellStyle name="Date 2" xfId="59" xr:uid="{2E213CEA-DC99-4082-9451-1D0223EF648C}"/>
    <cellStyle name="Date Heading" xfId="22" xr:uid="{44984087-7F5A-4DE4-9F41-09BCF05F1D03}"/>
    <cellStyle name="Explanatory Text" xfId="13" builtinId="53" hidden="1"/>
    <cellStyle name="Followed Hyperlink" xfId="2" builtinId="9" hidden="1" customBuiltin="1"/>
    <cellStyle name="Good" xfId="4" builtinId="26" hidden="1"/>
    <cellStyle name="Hard Coded Number" xfId="23" xr:uid="{82755E70-246C-4CB7-9303-88EF5B451766}"/>
    <cellStyle name="Heading" xfId="24" xr:uid="{C8A98528-CED2-4D7C-97E6-776B729BE0F9}"/>
    <cellStyle name="Heading 1" xfId="32" builtinId="16" hidden="1"/>
    <cellStyle name="Heading 2" xfId="33" builtinId="17" hidden="1"/>
    <cellStyle name="Heading 3" xfId="34" builtinId="18" hidden="1"/>
    <cellStyle name="Heading 4" xfId="35" builtinId="19" hidden="1"/>
    <cellStyle name="Highlight" xfId="64" xr:uid="{15284887-C561-4E4D-9E84-4CFC07DBCE2F}"/>
    <cellStyle name="Hist Proj Title" xfId="58" xr:uid="{E9FC07E9-BE70-4B3D-B295-D2B3B8962153}"/>
    <cellStyle name="Hyperlink" xfId="1" builtinId="8" hidden="1" customBuiltin="1"/>
    <cellStyle name="Input" xfId="7" builtinId="20" customBuiltin="1"/>
    <cellStyle name="Input 2" xfId="60" xr:uid="{2D7A73B7-F056-47C8-AFEC-B1B0914BAD18}"/>
    <cellStyle name="Linked Cell" xfId="10" builtinId="24" hidden="1"/>
    <cellStyle name="Multiple" xfId="25" xr:uid="{7924ABA2-E6A2-45F9-B328-713CA1055226}"/>
    <cellStyle name="Multiple 2" xfId="62" xr:uid="{147A0443-1741-4E78-957D-1BC819B00E95}"/>
    <cellStyle name="Neutral" xfId="6" builtinId="28" hidden="1"/>
    <cellStyle name="Normal" xfId="0" builtinId="0" customBuiltin="1"/>
    <cellStyle name="Normal 2" xfId="57" xr:uid="{97FAFF66-7CDB-4472-BC21-26322BD0B8DD}"/>
    <cellStyle name="Normal 3" xfId="63" xr:uid="{F7894333-065F-43EE-A717-47C3B16ADDB3}"/>
    <cellStyle name="Output" xfId="8" builtinId="21" hidden="1"/>
    <cellStyle name="P" xfId="61" xr:uid="{B0CB4B34-53BC-47E0-9D23-674D68E806F1}"/>
    <cellStyle name="Percent" xfId="3" builtinId="5" customBuiltin="1"/>
    <cellStyle name="Primary Title" xfId="26" xr:uid="{6B18F1F5-1555-429C-AD8E-4077B9A3BD34}"/>
    <cellStyle name="Row Label" xfId="27" xr:uid="{D7DA1831-295C-4F01-AD59-B99A4E11427B}"/>
    <cellStyle name="Secondary Title" xfId="28" xr:uid="{85E7E940-8AA6-49D5-9D0B-C04186ADEBA4}"/>
    <cellStyle name="Secondary Title 2" xfId="29" xr:uid="{AF875E53-4F1C-41A6-A38E-E85B6E689DE7}"/>
    <cellStyle name="Tertiary Title" xfId="30" xr:uid="{E083078C-9C44-412C-A3EE-BC4704FC53AB}"/>
    <cellStyle name="Title" xfId="31" builtinId="15" hidden="1"/>
    <cellStyle name="Total" xfId="36" builtinId="25" hidden="1"/>
    <cellStyle name="Warning Text" xfId="12" builtinId="11" hidden="1"/>
  </cellStyles>
  <dxfs count="0"/>
  <tableStyles count="0" defaultTableStyle="TableStyleMedium2" defaultPivotStyle="PivotStyleLight16"/>
  <colors>
    <mruColors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19050</xdr:colOff>
      <xdr:row>0</xdr:row>
      <xdr:rowOff>1019175</xdr:rowOff>
    </xdr:from>
    <xdr:ext cx="359092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1914514</xdr:colOff>
      <xdr:row>0</xdr:row>
      <xdr:rowOff>114300</xdr:rowOff>
    </xdr:from>
    <xdr:ext cx="352425" cy="3429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843827" y="114300"/>
          <a:ext cx="352425" cy="342900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ibhero.sharepoint.com/FE%20Materials/Materials%20Development/7092%20Additional%20Complex%20LBO%20Components/LBO%20Analysis%20Complex%20Components%20Full.xlsx" TargetMode="External"/><Relationship Id="rId1" Type="http://schemas.openxmlformats.org/officeDocument/2006/relationships/externalLinkPath" Target="https://ibhero.sharepoint.com/FE%20Materials/Final%20Materials/7000%20Deal%20Analysis%20FE/7092%20Additional%20Complex%20LBO%20Components%20FE/Classroom%20-%20Final/LBO%20Analysis%20Complex%20Components%20Ful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bhero.sharepoint.com/FE%20Materials/Final%20Materials/7000%20Deal%20Analysis%20FE/7092%20Additional%20Complex%20LBO%20Components%20FE/Classroom%20-%20Final/LBO%20Add%20On%20Aquisition%20Empty%20v3%20(JC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Welcome"/>
      <sheetName val="Info"/>
      <sheetName val="LBO initial"/>
      <sheetName val="Add-on acquisition"/>
      <sheetName val="LBO add-on"/>
      <sheetName val="Recapitalization"/>
      <sheetName val="LBO recap"/>
      <sheetName val="Ratchet"/>
      <sheetName val="Factset codes"/>
    </sheetNames>
    <sheetDataSet>
      <sheetData sheetId="0"/>
      <sheetData sheetId="1"/>
      <sheetData sheetId="2"/>
      <sheetData sheetId="3">
        <row r="7">
          <cell r="C7">
            <v>5</v>
          </cell>
        </row>
      </sheetData>
      <sheetData sheetId="4">
        <row r="6">
          <cell r="C6">
            <v>1</v>
          </cell>
        </row>
      </sheetData>
      <sheetData sheetId="5">
        <row r="7">
          <cell r="C7">
            <v>3</v>
          </cell>
        </row>
      </sheetData>
      <sheetData sheetId="6">
        <row r="6">
          <cell r="C6">
            <v>1</v>
          </cell>
        </row>
      </sheetData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elcome"/>
      <sheetName val="Info"/>
      <sheetName val="Ratchet"/>
      <sheetName val="LBO"/>
      <sheetName val="Add on acquisition"/>
      <sheetName val="Recapitalization"/>
      <sheetName val="Factset codes"/>
    </sheetNames>
    <sheetDataSet>
      <sheetData sheetId="0" refreshError="1"/>
      <sheetData sheetId="1">
        <row r="10">
          <cell r="N10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3F3F3F"/>
      </a:dk1>
      <a:lt1>
        <a:srgbClr val="FFFFFF"/>
      </a:lt1>
      <a:dk2>
        <a:srgbClr val="3F3F3F"/>
      </a:dk2>
      <a:lt2>
        <a:srgbClr val="FFFFFF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085393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9"/>
  <sheetViews>
    <sheetView showGridLines="0" tabSelected="1" zoomScaleNormal="100" workbookViewId="0">
      <selection sqref="A1:N1"/>
    </sheetView>
  </sheetViews>
  <sheetFormatPr defaultColWidth="12.5703125" defaultRowHeight="15" customHeight="1" x14ac:dyDescent="0.25"/>
  <cols>
    <col min="1" max="1" width="8.5703125" customWidth="1"/>
    <col min="2" max="13" width="8" customWidth="1"/>
    <col min="14" max="14" width="8.5703125" customWidth="1"/>
    <col min="15" max="26" width="8" customWidth="1"/>
  </cols>
  <sheetData>
    <row r="1" spans="1:26" ht="189.75" customHeight="1" x14ac:dyDescent="0.45">
      <c r="A1" s="127"/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6"/>
      <c r="V1" s="3"/>
      <c r="W1" s="3"/>
      <c r="X1" s="3"/>
      <c r="Y1" s="3"/>
      <c r="Z1" s="3"/>
    </row>
    <row r="2" spans="1:26" ht="75" customHeight="1" x14ac:dyDescent="0.25">
      <c r="A2" s="128" t="s">
        <v>162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6"/>
      <c r="V2" s="4"/>
      <c r="W2" s="4"/>
      <c r="X2" s="4"/>
      <c r="Y2" s="4"/>
      <c r="Z2" s="4"/>
    </row>
    <row r="3" spans="1:26" ht="7.5" customHeight="1" x14ac:dyDescent="0.25">
      <c r="A3" s="5"/>
      <c r="B3" s="6"/>
      <c r="C3" s="6"/>
      <c r="D3" s="5"/>
      <c r="E3" s="5"/>
      <c r="F3" s="7"/>
      <c r="G3" s="7"/>
      <c r="H3" s="7"/>
      <c r="I3" s="7"/>
      <c r="J3" s="7"/>
      <c r="K3" s="7"/>
      <c r="L3" s="5"/>
      <c r="M3" s="5"/>
      <c r="N3" s="5"/>
      <c r="V3" s="5"/>
      <c r="W3" s="5"/>
      <c r="X3" s="5"/>
      <c r="Y3" s="5"/>
      <c r="Z3" s="5"/>
    </row>
    <row r="4" spans="1:26" ht="15" customHeight="1" x14ac:dyDescent="0.25">
      <c r="A4" s="8"/>
      <c r="B4" s="9"/>
      <c r="C4" s="129"/>
      <c r="D4" s="126"/>
      <c r="E4" s="10"/>
      <c r="F4" s="11"/>
      <c r="G4" s="11"/>
      <c r="H4" s="11"/>
      <c r="I4" s="11"/>
      <c r="J4" s="11"/>
      <c r="K4" s="11"/>
      <c r="L4" s="10"/>
      <c r="M4" s="10"/>
      <c r="N4" s="10"/>
      <c r="V4" s="5"/>
      <c r="W4" s="5"/>
      <c r="X4" s="5"/>
      <c r="Y4" s="5"/>
      <c r="Z4" s="5"/>
    </row>
    <row r="5" spans="1:26" ht="15" customHeight="1" x14ac:dyDescent="0.25">
      <c r="A5" s="130" t="s">
        <v>0</v>
      </c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2"/>
      <c r="V5" s="5"/>
      <c r="W5" s="5"/>
      <c r="X5" s="5"/>
      <c r="Y5" s="5"/>
      <c r="Z5" s="5"/>
    </row>
    <row r="6" spans="1:26" ht="15" customHeight="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34"/>
      <c r="N6" s="135"/>
      <c r="V6" s="5"/>
      <c r="W6" s="5"/>
      <c r="X6" s="5"/>
      <c r="Y6" s="5"/>
      <c r="Z6" s="5"/>
    </row>
    <row r="7" spans="1:26" ht="15" customHeight="1" x14ac:dyDescent="0.25">
      <c r="A7" s="136" t="str">
        <f ca="1">"© "&amp;YEAR(TODAY())&amp;" Financial Edge Training"</f>
        <v>© 2023 Financial Edge Training</v>
      </c>
      <c r="B7" s="125"/>
      <c r="C7" s="125"/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6"/>
      <c r="V7" s="5"/>
      <c r="W7" s="5"/>
      <c r="X7" s="5"/>
      <c r="Y7" s="5"/>
      <c r="Z7" s="5"/>
    </row>
    <row r="8" spans="1:26" ht="15" customHeight="1" x14ac:dyDescent="0.25">
      <c r="A8" s="124" t="s">
        <v>1</v>
      </c>
      <c r="B8" s="125"/>
      <c r="C8" s="125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6"/>
      <c r="V8" s="5"/>
      <c r="W8" s="5"/>
      <c r="X8" s="5"/>
      <c r="Y8" s="5"/>
      <c r="Z8" s="5"/>
    </row>
    <row r="9" spans="1:26" ht="15" customHeight="1" x14ac:dyDescent="0.25">
      <c r="A9" s="12"/>
      <c r="B9" s="13"/>
      <c r="C9" s="12"/>
      <c r="D9" s="12"/>
      <c r="E9" s="14"/>
      <c r="F9" s="15"/>
      <c r="G9" s="15"/>
      <c r="H9" s="15"/>
      <c r="I9" s="15"/>
      <c r="J9" s="15"/>
      <c r="K9" s="15"/>
      <c r="L9" s="14"/>
      <c r="M9" s="14"/>
      <c r="N9" s="14"/>
      <c r="V9" s="5"/>
      <c r="W9" s="5"/>
      <c r="X9" s="5"/>
      <c r="Y9" s="5"/>
      <c r="Z9" s="5"/>
    </row>
  </sheetData>
  <mergeCells count="6">
    <mergeCell ref="A8:N8"/>
    <mergeCell ref="A1:N1"/>
    <mergeCell ref="A2:N2"/>
    <mergeCell ref="C4:D4"/>
    <mergeCell ref="A5:N6"/>
    <mergeCell ref="A7:N7"/>
  </mergeCells>
  <hyperlinks>
    <hyperlink ref="A8" r:id="rId1" xr:uid="{00000000-0004-0000-0100-000000000000}"/>
  </hyperlinks>
  <pageMargins left="0.7" right="0.7" top="0.75" bottom="0.75" header="0" footer="0"/>
  <pageSetup paperSize="9" scale="98" orientation="landscape" r:id="rId2"/>
  <headerFooter>
    <oddHeader>&amp;R&amp;F  &amp;A</oddHeader>
    <oddFooter>&amp;L© 2019&amp;CPage &amp;P of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J1000"/>
  <sheetViews>
    <sheetView showGridLines="0" zoomScaleNormal="100" workbookViewId="0"/>
  </sheetViews>
  <sheetFormatPr defaultColWidth="12.5703125" defaultRowHeight="15" customHeight="1" x14ac:dyDescent="0.25"/>
  <cols>
    <col min="1" max="1" width="1.140625" customWidth="1"/>
    <col min="2" max="2" width="2.5703125" customWidth="1"/>
    <col min="3" max="3" width="11.5703125" customWidth="1"/>
    <col min="4" max="4" width="2.5703125" customWidth="1"/>
    <col min="5" max="7" width="1.140625" customWidth="1"/>
    <col min="8" max="8" width="2.5703125" customWidth="1"/>
    <col min="9" max="9" width="37.5703125" customWidth="1"/>
    <col min="10" max="11" width="1.140625" customWidth="1"/>
    <col min="12" max="12" width="13.5703125" customWidth="1"/>
    <col min="13" max="14" width="1.140625" customWidth="1"/>
    <col min="15" max="15" width="2.5703125" customWidth="1"/>
    <col min="16" max="16" width="28.5703125" customWidth="1"/>
    <col min="17" max="17" width="2.5703125" customWidth="1"/>
    <col min="18" max="18" width="1.140625" customWidth="1"/>
    <col min="19" max="36" width="8" customWidth="1"/>
  </cols>
  <sheetData>
    <row r="1" spans="1:36" ht="45" customHeight="1" x14ac:dyDescent="0.45">
      <c r="A1" s="17" t="str">
        <f>Welcome!A2</f>
        <v>Talisman Case Study</v>
      </c>
      <c r="B1" s="17"/>
      <c r="C1" s="17"/>
      <c r="D1" s="17"/>
      <c r="E1" s="17"/>
      <c r="F1" s="17"/>
      <c r="G1" s="17"/>
      <c r="H1" s="17"/>
      <c r="I1" s="17"/>
      <c r="J1" s="18"/>
      <c r="K1" s="18"/>
      <c r="L1" s="18"/>
      <c r="M1" s="18"/>
      <c r="N1" s="18"/>
      <c r="O1" s="18"/>
      <c r="P1" s="18"/>
      <c r="Q1" s="18"/>
      <c r="R1" s="18"/>
    </row>
    <row r="2" spans="1:36" ht="30" customHeight="1" x14ac:dyDescent="0.3">
      <c r="A2" s="19" t="s">
        <v>2</v>
      </c>
      <c r="B2" s="19"/>
      <c r="C2" s="19"/>
      <c r="D2" s="19"/>
      <c r="E2" s="19"/>
      <c r="F2" s="19"/>
      <c r="G2" s="19"/>
      <c r="H2" s="19"/>
      <c r="I2" s="19"/>
      <c r="J2" s="20"/>
      <c r="K2" s="20"/>
      <c r="L2" s="20"/>
      <c r="M2" s="20"/>
      <c r="N2" s="20"/>
      <c r="O2" s="20"/>
      <c r="P2" s="20"/>
      <c r="Q2" s="20"/>
      <c r="R2" s="20"/>
    </row>
    <row r="3" spans="1:36" ht="7.5" customHeight="1" x14ac:dyDescent="0.2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</row>
    <row r="4" spans="1:36" ht="22.5" customHeight="1" x14ac:dyDescent="0.25">
      <c r="A4" s="22"/>
      <c r="B4" s="138" t="s">
        <v>3</v>
      </c>
      <c r="C4" s="125"/>
      <c r="D4" s="125"/>
      <c r="E4" s="125"/>
      <c r="F4" s="125"/>
      <c r="G4" s="125"/>
      <c r="H4" s="125"/>
      <c r="I4" s="126"/>
      <c r="J4" s="21"/>
      <c r="K4" s="22"/>
      <c r="L4" s="138" t="s">
        <v>4</v>
      </c>
      <c r="M4" s="125"/>
      <c r="N4" s="125"/>
      <c r="O4" s="125"/>
      <c r="P4" s="126"/>
      <c r="Q4" s="11"/>
      <c r="R4" s="1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</row>
    <row r="5" spans="1:36" ht="15" customHeight="1" x14ac:dyDescent="0.25">
      <c r="A5" s="23"/>
      <c r="B5" s="24" t="s">
        <v>5</v>
      </c>
      <c r="C5" s="93" t="s">
        <v>217</v>
      </c>
      <c r="D5" s="26"/>
      <c r="E5" s="26"/>
      <c r="F5" s="26"/>
      <c r="G5" s="26"/>
      <c r="H5" s="26"/>
      <c r="I5" s="26"/>
      <c r="J5" s="21"/>
      <c r="K5" s="22"/>
      <c r="L5" s="27" t="s">
        <v>6</v>
      </c>
      <c r="M5" s="27"/>
      <c r="N5" s="139" t="s">
        <v>161</v>
      </c>
      <c r="O5" s="125"/>
      <c r="P5" s="125"/>
      <c r="Q5" s="126"/>
      <c r="R5" s="1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</row>
    <row r="6" spans="1:36" ht="15" customHeight="1" x14ac:dyDescent="0.25">
      <c r="A6" s="28"/>
      <c r="B6" s="24" t="s">
        <v>5</v>
      </c>
      <c r="C6" s="25" t="s">
        <v>160</v>
      </c>
      <c r="D6" s="26"/>
      <c r="E6" s="26"/>
      <c r="F6" s="26"/>
      <c r="G6" s="26"/>
      <c r="H6" s="26"/>
      <c r="I6" s="26"/>
      <c r="J6" s="21"/>
      <c r="K6" s="23"/>
      <c r="L6" s="27" t="s">
        <v>7</v>
      </c>
      <c r="M6" s="27"/>
      <c r="N6" s="140">
        <v>44926</v>
      </c>
      <c r="O6" s="125"/>
      <c r="P6" s="125"/>
      <c r="Q6" s="126"/>
      <c r="R6" s="1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</row>
    <row r="7" spans="1:36" ht="15" customHeight="1" x14ac:dyDescent="0.25">
      <c r="A7" s="26"/>
      <c r="B7" s="24" t="s">
        <v>5</v>
      </c>
      <c r="C7" s="93" t="s">
        <v>203</v>
      </c>
      <c r="D7" s="26"/>
      <c r="E7" s="26"/>
      <c r="F7" s="26"/>
      <c r="G7" s="26"/>
      <c r="H7" s="26"/>
      <c r="I7" s="26"/>
      <c r="J7" s="21"/>
      <c r="K7" s="28"/>
      <c r="L7" s="27" t="s">
        <v>8</v>
      </c>
      <c r="M7" s="27"/>
      <c r="N7" s="141" t="s">
        <v>186</v>
      </c>
      <c r="O7" s="125"/>
      <c r="P7" s="125"/>
      <c r="Q7" s="126"/>
      <c r="R7" s="1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</row>
    <row r="8" spans="1:36" ht="15" customHeight="1" x14ac:dyDescent="0.25">
      <c r="A8" s="26"/>
      <c r="B8" s="24"/>
      <c r="C8" s="25"/>
      <c r="D8" s="26"/>
      <c r="E8" s="26"/>
      <c r="F8" s="26"/>
      <c r="G8" s="26"/>
      <c r="H8" s="26"/>
      <c r="I8" s="26"/>
      <c r="J8" s="21"/>
      <c r="K8" s="26"/>
      <c r="L8" s="27" t="s">
        <v>10</v>
      </c>
      <c r="M8" s="27"/>
      <c r="N8" s="139" t="s">
        <v>11</v>
      </c>
      <c r="O8" s="125"/>
      <c r="P8" s="125"/>
      <c r="Q8" s="126"/>
      <c r="R8" s="1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</row>
    <row r="9" spans="1:36" ht="15" customHeight="1" x14ac:dyDescent="0.25">
      <c r="A9" s="29"/>
      <c r="B9" s="24"/>
      <c r="C9" s="25"/>
      <c r="D9" s="29"/>
      <c r="E9" s="29"/>
      <c r="F9" s="29"/>
      <c r="G9" s="29"/>
      <c r="H9" s="29"/>
      <c r="I9" s="29"/>
      <c r="J9" s="21"/>
      <c r="K9" s="26"/>
      <c r="L9" s="27" t="s">
        <v>12</v>
      </c>
      <c r="M9" s="27"/>
      <c r="N9" s="139" t="s">
        <v>13</v>
      </c>
      <c r="O9" s="125"/>
      <c r="P9" s="125"/>
      <c r="Q9" s="126"/>
      <c r="R9" s="1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</row>
    <row r="10" spans="1:36" ht="1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21"/>
      <c r="K10" s="26"/>
      <c r="L10" s="27" t="s">
        <v>14</v>
      </c>
      <c r="M10" s="27"/>
      <c r="N10" s="137">
        <v>1</v>
      </c>
      <c r="O10" s="125"/>
      <c r="P10" s="125"/>
      <c r="Q10" s="126"/>
      <c r="R10" s="30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</row>
    <row r="11" spans="1:36" ht="15" customHeight="1" x14ac:dyDescent="0.25">
      <c r="A11" s="12"/>
      <c r="B11" s="12"/>
      <c r="C11" s="12"/>
      <c r="D11" s="12"/>
      <c r="E11" s="12"/>
      <c r="F11" s="12"/>
      <c r="G11" s="12"/>
      <c r="H11" s="12"/>
      <c r="I11" s="12"/>
      <c r="J11" s="21"/>
      <c r="K11" s="12"/>
      <c r="L11" s="12"/>
      <c r="M11" s="12"/>
      <c r="N11" s="12"/>
      <c r="O11" s="12"/>
      <c r="P11" s="12"/>
      <c r="Q11" s="12"/>
      <c r="R11" s="12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</row>
    <row r="12" spans="1:36" ht="7.5" customHeight="1" x14ac:dyDescent="0.25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7"/>
      <c r="L12" s="7"/>
      <c r="M12" s="7"/>
      <c r="N12" s="7"/>
      <c r="O12" s="7"/>
      <c r="P12" s="7"/>
      <c r="Q12" s="7"/>
      <c r="R12" s="7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</row>
    <row r="13" spans="1:36" ht="22.5" customHeight="1" x14ac:dyDescent="0.25">
      <c r="A13" s="25"/>
      <c r="B13" s="138" t="s">
        <v>15</v>
      </c>
      <c r="C13" s="125"/>
      <c r="D13" s="125"/>
      <c r="E13" s="125"/>
      <c r="F13" s="125"/>
      <c r="G13" s="125"/>
      <c r="H13" s="125"/>
      <c r="I13" s="125"/>
      <c r="J13" s="125"/>
      <c r="K13" s="125"/>
      <c r="L13" s="126"/>
      <c r="M13" s="21"/>
      <c r="N13" s="22"/>
      <c r="O13" s="138" t="s">
        <v>16</v>
      </c>
      <c r="P13" s="125"/>
      <c r="Q13" s="126"/>
      <c r="R13" s="3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</row>
    <row r="14" spans="1:36" ht="15" customHeight="1" x14ac:dyDescent="0.25">
      <c r="A14" s="26"/>
      <c r="B14" s="137"/>
      <c r="C14" s="126"/>
      <c r="D14" s="137"/>
      <c r="E14" s="125"/>
      <c r="F14" s="125"/>
      <c r="G14" s="125"/>
      <c r="H14" s="125"/>
      <c r="I14" s="125"/>
      <c r="J14" s="125"/>
      <c r="K14" s="125"/>
      <c r="L14" s="126"/>
      <c r="M14" s="21"/>
      <c r="N14" s="23"/>
      <c r="O14" s="32"/>
      <c r="P14" s="4"/>
      <c r="Q14" s="4"/>
      <c r="R14" s="26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15" customHeight="1" x14ac:dyDescent="0.25">
      <c r="A15" s="26"/>
      <c r="B15" s="137"/>
      <c r="C15" s="126"/>
      <c r="D15" s="137"/>
      <c r="E15" s="125"/>
      <c r="F15" s="125"/>
      <c r="G15" s="125"/>
      <c r="H15" s="125"/>
      <c r="I15" s="125"/>
      <c r="J15" s="125"/>
      <c r="K15" s="125"/>
      <c r="L15" s="126"/>
      <c r="M15" s="21"/>
      <c r="N15" s="28"/>
      <c r="O15" s="32"/>
      <c r="P15" s="33" t="s">
        <v>17</v>
      </c>
      <c r="Q15" s="4"/>
      <c r="R15" s="26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ht="15" customHeight="1" x14ac:dyDescent="0.25">
      <c r="A16" s="26"/>
      <c r="B16" s="137"/>
      <c r="C16" s="126"/>
      <c r="D16" s="137"/>
      <c r="E16" s="125"/>
      <c r="F16" s="125"/>
      <c r="G16" s="125"/>
      <c r="H16" s="125"/>
      <c r="I16" s="125"/>
      <c r="J16" s="125"/>
      <c r="K16" s="125"/>
      <c r="L16" s="126"/>
      <c r="M16" s="21"/>
      <c r="N16" s="26"/>
      <c r="O16" s="32"/>
      <c r="P16" s="34" t="s">
        <v>18</v>
      </c>
      <c r="Q16" s="4"/>
      <c r="R16" s="26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</row>
    <row r="17" spans="1:36" ht="15" customHeight="1" x14ac:dyDescent="0.25">
      <c r="A17" s="26"/>
      <c r="B17" s="137"/>
      <c r="C17" s="126"/>
      <c r="D17" s="137"/>
      <c r="E17" s="125"/>
      <c r="F17" s="125"/>
      <c r="G17" s="125"/>
      <c r="H17" s="125"/>
      <c r="I17" s="125"/>
      <c r="J17" s="125"/>
      <c r="K17" s="125"/>
      <c r="L17" s="126"/>
      <c r="M17" s="21"/>
      <c r="N17" s="26"/>
      <c r="O17" s="32"/>
      <c r="P17" s="2" t="s">
        <v>19</v>
      </c>
      <c r="Q17" s="4"/>
      <c r="R17" s="26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</row>
    <row r="18" spans="1:36" ht="15" customHeight="1" x14ac:dyDescent="0.25">
      <c r="A18" s="10"/>
      <c r="B18" s="137"/>
      <c r="C18" s="126"/>
      <c r="D18" s="137"/>
      <c r="E18" s="125"/>
      <c r="F18" s="125"/>
      <c r="G18" s="125"/>
      <c r="H18" s="125"/>
      <c r="I18" s="125"/>
      <c r="J18" s="125"/>
      <c r="K18" s="125"/>
      <c r="L18" s="126"/>
      <c r="M18" s="21"/>
      <c r="N18" s="10"/>
      <c r="O18" s="35"/>
      <c r="P18" s="35"/>
      <c r="Q18" s="35"/>
      <c r="R18" s="10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</row>
    <row r="19" spans="1:36" ht="14.25" customHeight="1" x14ac:dyDescent="0.25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N19" s="12"/>
      <c r="O19" s="12"/>
      <c r="P19" s="12"/>
      <c r="Q19" s="12"/>
      <c r="R19" s="12"/>
    </row>
    <row r="20" spans="1:36" ht="14.25" customHeight="1" x14ac:dyDescent="0.25">
      <c r="Q20" s="5"/>
    </row>
    <row r="21" spans="1:36" ht="14.25" customHeight="1" x14ac:dyDescent="0.25"/>
    <row r="22" spans="1:36" ht="14.25" customHeight="1" x14ac:dyDescent="0.25"/>
    <row r="23" spans="1:36" ht="14.25" customHeight="1" x14ac:dyDescent="0.25"/>
    <row r="24" spans="1:36" ht="14.25" customHeight="1" x14ac:dyDescent="0.25"/>
    <row r="25" spans="1:36" ht="14.25" customHeight="1" x14ac:dyDescent="0.25"/>
    <row r="26" spans="1:36" ht="14.25" customHeight="1" x14ac:dyDescent="0.25"/>
    <row r="27" spans="1:36" ht="14.25" customHeight="1" x14ac:dyDescent="0.25"/>
    <row r="28" spans="1:36" ht="14.25" customHeight="1" x14ac:dyDescent="0.25"/>
    <row r="29" spans="1:36" ht="14.25" customHeight="1" x14ac:dyDescent="0.25"/>
    <row r="30" spans="1:36" ht="14.25" customHeight="1" x14ac:dyDescent="0.25"/>
    <row r="31" spans="1:36" ht="14.25" customHeight="1" x14ac:dyDescent="0.25"/>
    <row r="32" spans="1:36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20">
    <mergeCell ref="B4:I4"/>
    <mergeCell ref="L4:P4"/>
    <mergeCell ref="N5:Q5"/>
    <mergeCell ref="N6:Q6"/>
    <mergeCell ref="N7:Q7"/>
    <mergeCell ref="N8:Q8"/>
    <mergeCell ref="N9:Q9"/>
    <mergeCell ref="B16:C16"/>
    <mergeCell ref="D16:L16"/>
    <mergeCell ref="B17:C17"/>
    <mergeCell ref="D17:L17"/>
    <mergeCell ref="B18:C18"/>
    <mergeCell ref="D18:L18"/>
    <mergeCell ref="N10:Q10"/>
    <mergeCell ref="B13:L13"/>
    <mergeCell ref="O13:Q13"/>
    <mergeCell ref="B14:C14"/>
    <mergeCell ref="D14:L14"/>
    <mergeCell ref="B15:C15"/>
    <mergeCell ref="D15:L15"/>
  </mergeCells>
  <pageMargins left="0.7" right="0.7" top="0.75" bottom="0.75" header="0" footer="0"/>
  <pageSetup paperSize="9" orientation="landscape" r:id="rId1"/>
  <headerFooter>
    <oddHeader>&amp;R&amp;F  &amp;A</oddHeader>
    <oddFooter>&amp;L© 2017&amp;CPage &amp;P of</oddFooter>
  </headerFooter>
  <colBreaks count="1" manualBreakCount="1">
    <brk id="1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AA13A-F400-4332-BA4D-F4620B08B036}">
  <sheetPr>
    <tabColor theme="4"/>
    <pageSetUpPr fitToPage="1"/>
  </sheetPr>
  <dimension ref="A1:Z117"/>
  <sheetViews>
    <sheetView zoomScaleNormal="100" workbookViewId="0">
      <pane xSplit="2" ySplit="3" topLeftCell="C4" activePane="bottomRight" state="frozen"/>
      <selection activeCell="B36" sqref="B36"/>
      <selection pane="topRight" activeCell="B36" sqref="B36"/>
      <selection pane="bottomLeft" activeCell="B36" sqref="B36"/>
      <selection pane="bottomRight"/>
    </sheetView>
  </sheetViews>
  <sheetFormatPr defaultColWidth="12.5703125" defaultRowHeight="15" customHeight="1" x14ac:dyDescent="0.25"/>
  <cols>
    <col min="1" max="1" width="1.140625" customWidth="1"/>
    <col min="2" max="2" width="49.42578125" bestFit="1" customWidth="1"/>
    <col min="3" max="15" width="10.28515625" customWidth="1"/>
    <col min="16" max="16" width="29" bestFit="1" customWidth="1"/>
    <col min="17" max="26" width="8" customWidth="1"/>
  </cols>
  <sheetData>
    <row r="1" spans="1:26" ht="45" customHeight="1" x14ac:dyDescent="0.45">
      <c r="A1" s="94" t="str">
        <f>Info!N5&amp;" LBO Analysis"</f>
        <v>Talisman LBO Analysis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3">
      <c r="A2" s="48"/>
      <c r="B2" s="48"/>
      <c r="C2" s="48"/>
      <c r="D2" s="48" t="s">
        <v>164</v>
      </c>
      <c r="E2" s="48" t="s">
        <v>164</v>
      </c>
      <c r="F2" s="48" t="s">
        <v>164</v>
      </c>
      <c r="G2" s="48" t="s">
        <v>163</v>
      </c>
      <c r="H2" s="48" t="s">
        <v>163</v>
      </c>
      <c r="I2" s="48" t="s">
        <v>163</v>
      </c>
      <c r="J2" s="48" t="s">
        <v>163</v>
      </c>
      <c r="K2" s="48" t="s">
        <v>163</v>
      </c>
      <c r="L2" s="48" t="s">
        <v>163</v>
      </c>
      <c r="M2" s="48" t="s">
        <v>163</v>
      </c>
      <c r="N2" s="48" t="s">
        <v>163</v>
      </c>
      <c r="O2" s="48" t="s">
        <v>163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25">
      <c r="A3" s="48"/>
      <c r="B3" s="48"/>
      <c r="C3" s="51"/>
      <c r="D3" s="51">
        <f t="shared" ref="D3" si="0">DATE(YEAR(E3)-1,MONTH(E3),DAY(E3))</f>
        <v>44196</v>
      </c>
      <c r="E3" s="51">
        <f>DATE(YEAR(F3)-1,MONTH(F3),DAY(F3))</f>
        <v>44561</v>
      </c>
      <c r="F3" s="51">
        <v>44926</v>
      </c>
      <c r="G3" s="51">
        <v>45291</v>
      </c>
      <c r="H3" s="51">
        <f>DATE(YEAR(G3)+1,MONTH(G3),DAY(G3))</f>
        <v>45657</v>
      </c>
      <c r="I3" s="51">
        <f t="shared" ref="I3:O3" si="1">DATE(YEAR(H3)+1,MONTH(H3),DAY(H3))</f>
        <v>46022</v>
      </c>
      <c r="J3" s="51">
        <f t="shared" si="1"/>
        <v>46387</v>
      </c>
      <c r="K3" s="51">
        <f t="shared" si="1"/>
        <v>46752</v>
      </c>
      <c r="L3" s="51">
        <f t="shared" si="1"/>
        <v>47118</v>
      </c>
      <c r="M3" s="51">
        <f t="shared" si="1"/>
        <v>47483</v>
      </c>
      <c r="N3" s="51">
        <f t="shared" si="1"/>
        <v>47848</v>
      </c>
      <c r="O3" s="51">
        <f t="shared" si="1"/>
        <v>48213</v>
      </c>
    </row>
    <row r="4" spans="1:26" ht="15" customHeight="1" x14ac:dyDescent="0.25">
      <c r="A4" s="71" t="str">
        <f>"All numbers in "&amp;Info!$N$7&amp;LOWER(LEFT(Info!$N$8,1))&amp;" unless otherwise stated"</f>
        <v>All numbers in EURm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2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25">
      <c r="A6" s="37" t="s">
        <v>154</v>
      </c>
      <c r="B6" s="16"/>
      <c r="C6" s="16"/>
      <c r="D6" s="16"/>
      <c r="E6" s="16"/>
      <c r="F6" s="16"/>
      <c r="G6" s="37" t="s">
        <v>77</v>
      </c>
      <c r="H6" s="16"/>
      <c r="I6" s="16"/>
      <c r="J6" s="16"/>
      <c r="K6" s="16"/>
      <c r="L6" s="16"/>
      <c r="M6" s="71" t="s">
        <v>208</v>
      </c>
      <c r="N6" s="16"/>
      <c r="O6" s="16"/>
      <c r="P6" s="50"/>
    </row>
    <row r="7" spans="1:26" ht="15" customHeight="1" x14ac:dyDescent="0.25">
      <c r="A7" s="37"/>
      <c r="B7" s="71" t="s">
        <v>60</v>
      </c>
      <c r="C7" s="16"/>
      <c r="D7" s="16"/>
      <c r="E7" s="68"/>
      <c r="F7" s="72">
        <f>+F25</f>
        <v>281.3</v>
      </c>
      <c r="G7" s="71" t="s">
        <v>72</v>
      </c>
      <c r="H7" s="72"/>
      <c r="I7" s="72"/>
      <c r="J7" s="72">
        <f>+F7*F9</f>
        <v>3094.3</v>
      </c>
      <c r="K7" s="71" t="s">
        <v>81</v>
      </c>
      <c r="L7" s="16"/>
      <c r="M7" s="54">
        <v>4</v>
      </c>
      <c r="N7" s="72">
        <f>+M7*$F$7</f>
        <v>1125.2</v>
      </c>
      <c r="O7" s="16"/>
      <c r="P7" s="50"/>
    </row>
    <row r="8" spans="1:26" ht="15" customHeight="1" x14ac:dyDescent="0.25">
      <c r="A8" s="37"/>
      <c r="B8" s="71" t="s">
        <v>82</v>
      </c>
      <c r="C8" s="16"/>
      <c r="D8" s="16"/>
      <c r="E8" s="50"/>
      <c r="F8" s="54">
        <v>6</v>
      </c>
      <c r="G8" s="71" t="s">
        <v>78</v>
      </c>
      <c r="H8" s="72"/>
      <c r="I8" s="72"/>
      <c r="J8" s="72">
        <f>+F17*J7</f>
        <v>30.943000000000001</v>
      </c>
      <c r="K8" s="72" t="s">
        <v>83</v>
      </c>
      <c r="L8" s="16"/>
      <c r="M8" s="80">
        <f>+F8-M7</f>
        <v>2</v>
      </c>
      <c r="N8" s="72">
        <f>+M8*$F$7</f>
        <v>562.6</v>
      </c>
      <c r="O8" s="16"/>
      <c r="P8" s="16"/>
    </row>
    <row r="9" spans="1:26" ht="15" customHeight="1" x14ac:dyDescent="0.25">
      <c r="A9" s="37"/>
      <c r="B9" s="72" t="s">
        <v>84</v>
      </c>
      <c r="C9" s="16"/>
      <c r="D9" s="16"/>
      <c r="E9" s="40"/>
      <c r="F9" s="67">
        <v>11</v>
      </c>
      <c r="K9" s="71" t="s">
        <v>64</v>
      </c>
      <c r="L9" s="16"/>
      <c r="M9" s="16"/>
      <c r="N9" s="72">
        <f>+J10-N8-N7</f>
        <v>1437.4430000000004</v>
      </c>
      <c r="O9" s="16"/>
      <c r="P9" s="16"/>
    </row>
    <row r="10" spans="1:26" ht="15" customHeight="1" x14ac:dyDescent="0.25">
      <c r="A10" s="37"/>
      <c r="B10" s="72" t="s">
        <v>152</v>
      </c>
      <c r="F10" s="67">
        <v>11</v>
      </c>
      <c r="G10" s="71" t="s">
        <v>79</v>
      </c>
      <c r="H10" s="72"/>
      <c r="I10" s="72"/>
      <c r="J10" s="72">
        <f>SUM(J7:J8)</f>
        <v>3125.2430000000004</v>
      </c>
      <c r="K10" s="71" t="s">
        <v>80</v>
      </c>
      <c r="L10" s="16"/>
      <c r="M10" s="16"/>
      <c r="N10" s="72">
        <f>SUM(N7:N9)</f>
        <v>3125.2430000000004</v>
      </c>
      <c r="O10" s="16"/>
      <c r="P10" s="16"/>
    </row>
    <row r="11" spans="1:26" ht="15" customHeight="1" x14ac:dyDescent="0.25">
      <c r="A11" s="37"/>
      <c r="B11" s="72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</row>
    <row r="12" spans="1:26" ht="15" customHeight="1" x14ac:dyDescent="0.25">
      <c r="A12" s="37"/>
      <c r="B12" s="71" t="s">
        <v>85</v>
      </c>
      <c r="C12" s="16"/>
      <c r="D12" s="16"/>
      <c r="F12" s="57">
        <v>2.4178000000000002E-2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</row>
    <row r="13" spans="1:26" ht="15" customHeight="1" x14ac:dyDescent="0.25">
      <c r="A13" s="37"/>
      <c r="B13" s="71" t="s">
        <v>73</v>
      </c>
      <c r="C13" s="16"/>
      <c r="D13" s="16"/>
      <c r="F13" s="57">
        <v>2.5000000000000001E-2</v>
      </c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25">
      <c r="A14" s="37"/>
      <c r="B14" s="71" t="s">
        <v>86</v>
      </c>
      <c r="C14" s="16"/>
      <c r="D14" s="16"/>
      <c r="F14" s="79">
        <f>SUM(F12:F13)</f>
        <v>4.9177999999999999E-2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25">
      <c r="A15" s="37"/>
      <c r="B15" s="72" t="s">
        <v>87</v>
      </c>
      <c r="C15" s="16"/>
      <c r="D15" s="16"/>
      <c r="F15" s="57">
        <v>7.0000000000000007E-2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ht="15" customHeight="1" x14ac:dyDescent="0.25">
      <c r="A16" s="37"/>
      <c r="B16" s="72" t="s">
        <v>62</v>
      </c>
      <c r="C16" s="16"/>
      <c r="D16" s="16"/>
      <c r="F16" s="57">
        <v>3.0000000000000001E-3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ht="15" customHeight="1" x14ac:dyDescent="0.25">
      <c r="A17" s="37"/>
      <c r="B17" s="71" t="s">
        <v>88</v>
      </c>
      <c r="C17" s="16"/>
      <c r="D17" s="16"/>
      <c r="F17" s="57">
        <v>0.01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</row>
    <row r="18" spans="1:26" ht="15" customHeight="1" x14ac:dyDescent="0.25">
      <c r="A18" s="37"/>
      <c r="B18" s="71" t="s">
        <v>89</v>
      </c>
      <c r="C18" s="16"/>
      <c r="D18" s="16"/>
      <c r="F18" s="44">
        <v>5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spans="1:26" ht="15" customHeight="1" x14ac:dyDescent="0.25">
      <c r="A19" s="37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25">
      <c r="A20" s="37"/>
      <c r="B20" s="71" t="s">
        <v>101</v>
      </c>
      <c r="C20" s="72"/>
      <c r="D20" s="72"/>
      <c r="E20" s="72"/>
      <c r="G20" s="72">
        <f>F20+1</f>
        <v>1</v>
      </c>
      <c r="H20" s="72">
        <f t="shared" ref="H20:O20" si="2">G20+1</f>
        <v>2</v>
      </c>
      <c r="I20" s="72">
        <f t="shared" si="2"/>
        <v>3</v>
      </c>
      <c r="J20" s="72">
        <f t="shared" si="2"/>
        <v>4</v>
      </c>
      <c r="K20" s="72">
        <f t="shared" si="2"/>
        <v>5</v>
      </c>
      <c r="L20" s="72">
        <f t="shared" si="2"/>
        <v>6</v>
      </c>
      <c r="M20" s="72">
        <f t="shared" si="2"/>
        <v>7</v>
      </c>
      <c r="N20" s="72">
        <f t="shared" si="2"/>
        <v>8</v>
      </c>
      <c r="O20" s="72">
        <f t="shared" si="2"/>
        <v>9</v>
      </c>
      <c r="P20" s="16"/>
    </row>
    <row r="21" spans="1:26" ht="15" customHeight="1" x14ac:dyDescent="0.2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25">
      <c r="A22" s="37" t="s">
        <v>155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</row>
    <row r="23" spans="1:26" ht="15" customHeight="1" x14ac:dyDescent="0.25">
      <c r="A23" s="37"/>
      <c r="B23" s="72" t="s">
        <v>42</v>
      </c>
      <c r="C23" s="16"/>
      <c r="D23" s="75">
        <v>1168.595</v>
      </c>
      <c r="E23" s="75">
        <v>1317.9849999999999</v>
      </c>
      <c r="F23" s="75">
        <v>1469.1375</v>
      </c>
      <c r="G23">
        <f>+F23*(1+G24)</f>
        <v>1616.0512500000002</v>
      </c>
      <c r="H23">
        <f t="shared" ref="H23:O23" si="3">+G23*(1+H24)</f>
        <v>1761.4958625000004</v>
      </c>
      <c r="I23">
        <f t="shared" si="3"/>
        <v>1902.4155315000005</v>
      </c>
      <c r="J23">
        <f t="shared" si="3"/>
        <v>2035.5846187050006</v>
      </c>
      <c r="K23">
        <f t="shared" si="3"/>
        <v>2157.7196958273007</v>
      </c>
      <c r="L23">
        <f t="shared" si="3"/>
        <v>2265.6056806186657</v>
      </c>
      <c r="M23">
        <f t="shared" si="3"/>
        <v>2356.2299078434125</v>
      </c>
      <c r="N23">
        <f t="shared" si="3"/>
        <v>2426.9168050787148</v>
      </c>
      <c r="O23">
        <f t="shared" si="3"/>
        <v>2475.455141180289</v>
      </c>
      <c r="P23" s="16"/>
    </row>
    <row r="24" spans="1:26" ht="15" customHeight="1" x14ac:dyDescent="0.25">
      <c r="A24" s="37"/>
      <c r="B24" s="72" t="s">
        <v>156</v>
      </c>
      <c r="C24" s="16"/>
      <c r="D24" s="75"/>
      <c r="E24" s="76">
        <f>+E23/D23-1</f>
        <v>0.1278372746759997</v>
      </c>
      <c r="F24" s="76">
        <f>+F23/E23-1</f>
        <v>0.11468453738092621</v>
      </c>
      <c r="G24" s="70">
        <v>0.1</v>
      </c>
      <c r="H24" s="70">
        <f>G24-1%</f>
        <v>9.0000000000000011E-2</v>
      </c>
      <c r="I24" s="70">
        <f t="shared" ref="I24:O24" si="4">H24-1%</f>
        <v>8.0000000000000016E-2</v>
      </c>
      <c r="J24" s="70">
        <f t="shared" si="4"/>
        <v>7.0000000000000021E-2</v>
      </c>
      <c r="K24" s="70">
        <f t="shared" si="4"/>
        <v>6.0000000000000019E-2</v>
      </c>
      <c r="L24" s="70">
        <f t="shared" si="4"/>
        <v>5.0000000000000017E-2</v>
      </c>
      <c r="M24" s="70">
        <f t="shared" si="4"/>
        <v>4.0000000000000015E-2</v>
      </c>
      <c r="N24" s="70">
        <f t="shared" si="4"/>
        <v>3.0000000000000013E-2</v>
      </c>
      <c r="O24" s="70">
        <f t="shared" si="4"/>
        <v>2.0000000000000011E-2</v>
      </c>
      <c r="P24" s="16"/>
    </row>
    <row r="25" spans="1:26" ht="15" customHeight="1" x14ac:dyDescent="0.25">
      <c r="A25" s="37"/>
      <c r="B25" s="72" t="s">
        <v>24</v>
      </c>
      <c r="C25" s="16"/>
      <c r="D25" s="75">
        <v>250.96750000000009</v>
      </c>
      <c r="E25" s="75">
        <v>278.55749999999989</v>
      </c>
      <c r="F25" s="75">
        <v>281.3</v>
      </c>
      <c r="G25">
        <f>+G23*G26</f>
        <v>339.37076250000001</v>
      </c>
      <c r="H25">
        <f t="shared" ref="H25:O25" si="5">+H23*H26</f>
        <v>369.91413112500004</v>
      </c>
      <c r="I25">
        <f t="shared" si="5"/>
        <v>399.50726161500006</v>
      </c>
      <c r="J25">
        <f t="shared" si="5"/>
        <v>427.47276992805013</v>
      </c>
      <c r="K25">
        <f t="shared" si="5"/>
        <v>453.12113612373315</v>
      </c>
      <c r="L25">
        <f t="shared" si="5"/>
        <v>475.77719292991981</v>
      </c>
      <c r="M25">
        <f t="shared" si="5"/>
        <v>494.80828064711659</v>
      </c>
      <c r="N25">
        <f t="shared" si="5"/>
        <v>509.65252906653006</v>
      </c>
      <c r="O25">
        <f t="shared" si="5"/>
        <v>519.84557964786063</v>
      </c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</row>
    <row r="26" spans="1:26" ht="15" customHeight="1" x14ac:dyDescent="0.25">
      <c r="A26" s="37"/>
      <c r="B26" s="72" t="s">
        <v>31</v>
      </c>
      <c r="C26" s="16"/>
      <c r="D26" s="16"/>
      <c r="E26" s="73">
        <f>+E25/E23</f>
        <v>0.21135103965523122</v>
      </c>
      <c r="F26" s="73">
        <f>+F25/F23</f>
        <v>0.19147288800401596</v>
      </c>
      <c r="G26" s="52">
        <v>0.21</v>
      </c>
      <c r="H26" s="52">
        <f t="shared" ref="H26:O26" si="6">+G26</f>
        <v>0.21</v>
      </c>
      <c r="I26" s="52">
        <f t="shared" si="6"/>
        <v>0.21</v>
      </c>
      <c r="J26" s="52">
        <f t="shared" si="6"/>
        <v>0.21</v>
      </c>
      <c r="K26" s="52">
        <f t="shared" si="6"/>
        <v>0.21</v>
      </c>
      <c r="L26" s="52">
        <f t="shared" si="6"/>
        <v>0.21</v>
      </c>
      <c r="M26" s="52">
        <f t="shared" si="6"/>
        <v>0.21</v>
      </c>
      <c r="N26" s="52">
        <f t="shared" si="6"/>
        <v>0.21</v>
      </c>
      <c r="O26" s="52">
        <f t="shared" si="6"/>
        <v>0.21</v>
      </c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spans="1:26" ht="15" customHeight="1" x14ac:dyDescent="0.25">
      <c r="A27" s="37"/>
      <c r="B27" s="72" t="s">
        <v>150</v>
      </c>
      <c r="C27" s="16"/>
      <c r="D27" s="16"/>
      <c r="E27" s="53"/>
      <c r="F27" s="53"/>
      <c r="G27" s="52">
        <v>0.02</v>
      </c>
      <c r="H27" s="52">
        <v>0.02</v>
      </c>
      <c r="I27" s="52">
        <v>0.02</v>
      </c>
      <c r="J27" s="52">
        <v>0.02</v>
      </c>
      <c r="K27" s="52">
        <v>0.02</v>
      </c>
      <c r="L27" s="52">
        <v>0.02</v>
      </c>
      <c r="M27" s="52">
        <v>0.02</v>
      </c>
      <c r="N27" s="52">
        <v>0.02</v>
      </c>
      <c r="O27" s="52">
        <v>0.02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25">
      <c r="A28" s="37"/>
      <c r="B28" s="72" t="s">
        <v>90</v>
      </c>
      <c r="C28" s="16"/>
      <c r="D28" s="16"/>
      <c r="E28" s="16"/>
      <c r="F28" s="16"/>
      <c r="G28" s="72">
        <f>+G27*G23</f>
        <v>32.321025000000006</v>
      </c>
      <c r="H28" s="72">
        <f t="shared" ref="H28:O28" si="7">+H27*H23</f>
        <v>35.229917250000007</v>
      </c>
      <c r="I28" s="72">
        <f t="shared" si="7"/>
        <v>38.04831063000001</v>
      </c>
      <c r="J28" s="72">
        <f t="shared" si="7"/>
        <v>40.711692374100011</v>
      </c>
      <c r="K28" s="72">
        <f t="shared" si="7"/>
        <v>43.154393916546013</v>
      </c>
      <c r="L28" s="72">
        <f t="shared" si="7"/>
        <v>45.312113612373317</v>
      </c>
      <c r="M28" s="72">
        <f t="shared" si="7"/>
        <v>47.124598156868252</v>
      </c>
      <c r="N28" s="72">
        <f t="shared" si="7"/>
        <v>48.538336101574295</v>
      </c>
      <c r="O28" s="72">
        <f t="shared" si="7"/>
        <v>49.50910282360578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25">
      <c r="A29" s="37"/>
      <c r="B29" s="71" t="s">
        <v>91</v>
      </c>
      <c r="C29" s="16"/>
      <c r="D29" s="16"/>
      <c r="E29" s="16"/>
      <c r="F29" s="16"/>
      <c r="G29" s="72">
        <f>+G25+G28</f>
        <v>371.69178750000003</v>
      </c>
      <c r="H29" s="72">
        <f t="shared" ref="H29:O29" si="8">+H25+H28</f>
        <v>405.14404837500007</v>
      </c>
      <c r="I29" s="72">
        <f t="shared" si="8"/>
        <v>437.55557224500006</v>
      </c>
      <c r="J29" s="72">
        <f t="shared" si="8"/>
        <v>468.18446230215011</v>
      </c>
      <c r="K29" s="72">
        <f t="shared" si="8"/>
        <v>496.27553004027914</v>
      </c>
      <c r="L29" s="72">
        <f t="shared" si="8"/>
        <v>521.08930654229312</v>
      </c>
      <c r="M29" s="72">
        <f t="shared" si="8"/>
        <v>541.93287880398486</v>
      </c>
      <c r="N29" s="72">
        <f t="shared" si="8"/>
        <v>558.19086516810432</v>
      </c>
      <c r="O29" s="72">
        <f t="shared" si="8"/>
        <v>569.35468247146639</v>
      </c>
      <c r="P29" s="16"/>
    </row>
    <row r="30" spans="1:26" ht="15" customHeight="1" x14ac:dyDescent="0.25">
      <c r="A30" s="36"/>
      <c r="B30" s="72" t="s">
        <v>151</v>
      </c>
      <c r="C30" s="16"/>
      <c r="D30" s="16"/>
      <c r="E30" s="16"/>
      <c r="F30" s="16"/>
      <c r="G30" s="73">
        <f>+G29/G23</f>
        <v>0.22999999999999998</v>
      </c>
      <c r="H30" s="73">
        <f t="shared" ref="H30:O30" si="9">+H29/H23</f>
        <v>0.22999999999999998</v>
      </c>
      <c r="I30" s="73">
        <f t="shared" si="9"/>
        <v>0.22999999999999998</v>
      </c>
      <c r="J30" s="73">
        <f t="shared" si="9"/>
        <v>0.22999999999999998</v>
      </c>
      <c r="K30" s="73">
        <f t="shared" si="9"/>
        <v>0.22999999999999998</v>
      </c>
      <c r="L30" s="73">
        <f t="shared" si="9"/>
        <v>0.23</v>
      </c>
      <c r="M30" s="73">
        <f t="shared" si="9"/>
        <v>0.22999999999999998</v>
      </c>
      <c r="N30" s="73">
        <f t="shared" si="9"/>
        <v>0.22999999999999995</v>
      </c>
      <c r="O30" s="73">
        <f t="shared" si="9"/>
        <v>0.22999999999999995</v>
      </c>
      <c r="P30" s="16"/>
    </row>
    <row r="31" spans="1:26" ht="15" customHeight="1" x14ac:dyDescent="0.25">
      <c r="A31" s="36"/>
      <c r="B31" s="72" t="s">
        <v>158</v>
      </c>
      <c r="C31" s="16"/>
      <c r="D31" s="75">
        <v>63.6</v>
      </c>
      <c r="E31" s="75">
        <v>91.44</v>
      </c>
      <c r="F31" s="75">
        <v>77.034999999999997</v>
      </c>
      <c r="G31">
        <f>+G32*G23</f>
        <v>101.81122875000001</v>
      </c>
      <c r="H31">
        <f t="shared" ref="H31:O31" si="10">+H32*H23</f>
        <v>110.97423933750002</v>
      </c>
      <c r="I31">
        <f t="shared" si="10"/>
        <v>119.85217848450003</v>
      </c>
      <c r="J31">
        <f t="shared" si="10"/>
        <v>128.24183097841504</v>
      </c>
      <c r="K31">
        <f t="shared" si="10"/>
        <v>135.93634083711996</v>
      </c>
      <c r="L31">
        <f t="shared" si="10"/>
        <v>142.73315787897593</v>
      </c>
      <c r="M31">
        <f t="shared" si="10"/>
        <v>148.44248419413501</v>
      </c>
      <c r="N31">
        <f t="shared" si="10"/>
        <v>152.89575871995902</v>
      </c>
      <c r="O31">
        <f t="shared" si="10"/>
        <v>155.95367389435822</v>
      </c>
      <c r="P31" s="16"/>
    </row>
    <row r="32" spans="1:26" ht="15" customHeight="1" x14ac:dyDescent="0.25">
      <c r="A32" s="36"/>
      <c r="B32" s="72" t="s">
        <v>157</v>
      </c>
      <c r="C32" s="16"/>
      <c r="D32" s="73">
        <f>+D31/D23</f>
        <v>5.4424330071581685E-2</v>
      </c>
      <c r="E32" s="73">
        <f t="shared" ref="E32:F32" si="11">+E31/E23</f>
        <v>6.9378634809956111E-2</v>
      </c>
      <c r="F32" s="73">
        <f t="shared" si="11"/>
        <v>5.2435527648024775E-2</v>
      </c>
      <c r="G32" s="70">
        <v>6.3E-2</v>
      </c>
      <c r="H32" s="70">
        <v>6.3E-2</v>
      </c>
      <c r="I32" s="70">
        <v>6.3E-2</v>
      </c>
      <c r="J32" s="70">
        <v>6.3E-2</v>
      </c>
      <c r="K32" s="70">
        <v>6.3E-2</v>
      </c>
      <c r="L32" s="70">
        <v>6.3E-2</v>
      </c>
      <c r="M32" s="70">
        <v>6.3E-2</v>
      </c>
      <c r="N32" s="70">
        <v>6.3E-2</v>
      </c>
      <c r="O32" s="70">
        <v>6.3E-2</v>
      </c>
      <c r="P32" s="16"/>
    </row>
    <row r="33" spans="1:26" ht="15" customHeight="1" x14ac:dyDescent="0.25">
      <c r="A33" s="36"/>
      <c r="B33" s="72" t="s">
        <v>63</v>
      </c>
      <c r="C33" s="16"/>
      <c r="D33" s="75">
        <v>34.784999999999997</v>
      </c>
      <c r="E33" s="75">
        <v>44.742499999999993</v>
      </c>
      <c r="F33" s="75">
        <v>53.7</v>
      </c>
      <c r="G33">
        <f>+G34*G31</f>
        <v>71.267860124999999</v>
      </c>
      <c r="H33">
        <f t="shared" ref="H33:O33" si="12">+H34*H31</f>
        <v>77.681967536250013</v>
      </c>
      <c r="I33">
        <f t="shared" si="12"/>
        <v>83.896524939150012</v>
      </c>
      <c r="J33">
        <f t="shared" si="12"/>
        <v>96.181373233811286</v>
      </c>
      <c r="K33">
        <f t="shared" si="12"/>
        <v>108.74907266969598</v>
      </c>
      <c r="L33">
        <f t="shared" si="12"/>
        <v>121.32318419712954</v>
      </c>
      <c r="M33">
        <f t="shared" si="12"/>
        <v>133.5982357747215</v>
      </c>
      <c r="N33">
        <f t="shared" si="12"/>
        <v>145.25097078396107</v>
      </c>
      <c r="O33">
        <f t="shared" si="12"/>
        <v>148.15599019964031</v>
      </c>
      <c r="P33" s="16"/>
    </row>
    <row r="34" spans="1:26" ht="15" customHeight="1" x14ac:dyDescent="0.25">
      <c r="A34" s="36"/>
      <c r="B34" s="72" t="s">
        <v>270</v>
      </c>
      <c r="C34" s="16"/>
      <c r="D34" s="73">
        <f>+D33/D31</f>
        <v>0.54693396226415092</v>
      </c>
      <c r="E34" s="73">
        <f t="shared" ref="E34:F34" si="13">+E33/E31</f>
        <v>0.48930993000874884</v>
      </c>
      <c r="F34" s="73">
        <f t="shared" si="13"/>
        <v>0.69708574024793934</v>
      </c>
      <c r="G34" s="70">
        <v>0.7</v>
      </c>
      <c r="H34" s="70">
        <v>0.7</v>
      </c>
      <c r="I34" s="70">
        <v>0.7</v>
      </c>
      <c r="J34" s="70">
        <v>0.75</v>
      </c>
      <c r="K34" s="70">
        <v>0.8</v>
      </c>
      <c r="L34" s="70">
        <v>0.85</v>
      </c>
      <c r="M34" s="70">
        <v>0.9</v>
      </c>
      <c r="N34" s="70">
        <v>0.95</v>
      </c>
      <c r="O34" s="70">
        <v>0.95</v>
      </c>
      <c r="P34" s="16"/>
    </row>
    <row r="35" spans="1:26" ht="15" customHeight="1" x14ac:dyDescent="0.25">
      <c r="A35" s="36"/>
      <c r="B35" s="72" t="s">
        <v>268</v>
      </c>
      <c r="C35" s="16"/>
      <c r="D35" s="53"/>
      <c r="E35" s="75">
        <v>159.38750000000002</v>
      </c>
      <c r="F35" s="75">
        <v>184.45750000000004</v>
      </c>
      <c r="G35">
        <f>+G36*G23</f>
        <v>218.16691875000004</v>
      </c>
      <c r="H35">
        <f t="shared" ref="H35:O35" si="14">+H36*H23</f>
        <v>237.80194143750006</v>
      </c>
      <c r="I35">
        <f t="shared" si="14"/>
        <v>256.82609675250006</v>
      </c>
      <c r="J35">
        <f t="shared" si="14"/>
        <v>274.80392352517509</v>
      </c>
      <c r="K35">
        <f t="shared" si="14"/>
        <v>291.29215893668561</v>
      </c>
      <c r="L35">
        <f t="shared" si="14"/>
        <v>305.85676688351987</v>
      </c>
      <c r="M35">
        <f t="shared" si="14"/>
        <v>318.09103755886071</v>
      </c>
      <c r="N35">
        <f t="shared" si="14"/>
        <v>327.63376868562653</v>
      </c>
      <c r="O35">
        <f t="shared" si="14"/>
        <v>334.18644405933907</v>
      </c>
      <c r="P35" s="16"/>
    </row>
    <row r="36" spans="1:26" ht="15" customHeight="1" x14ac:dyDescent="0.25">
      <c r="A36" s="36"/>
      <c r="B36" s="77" t="s">
        <v>269</v>
      </c>
      <c r="C36" s="16"/>
      <c r="D36" s="53"/>
      <c r="E36" s="73">
        <f>+E35/E23</f>
        <v>0.12093271167729529</v>
      </c>
      <c r="F36" s="73">
        <f>+F35/F23</f>
        <v>0.12555495996800847</v>
      </c>
      <c r="G36" s="70">
        <v>0.13500000000000001</v>
      </c>
      <c r="H36" s="70">
        <v>0.13500000000000001</v>
      </c>
      <c r="I36" s="70">
        <v>0.13500000000000001</v>
      </c>
      <c r="J36" s="70">
        <v>0.13500000000000001</v>
      </c>
      <c r="K36" s="70">
        <v>0.13500000000000001</v>
      </c>
      <c r="L36" s="70">
        <v>0.13500000000000001</v>
      </c>
      <c r="M36" s="70">
        <v>0.13500000000000001</v>
      </c>
      <c r="N36" s="70">
        <v>0.13500000000000001</v>
      </c>
      <c r="O36" s="70">
        <v>0.13500000000000001</v>
      </c>
      <c r="P36" s="16"/>
    </row>
    <row r="37" spans="1:26" ht="15" customHeight="1" x14ac:dyDescent="0.25">
      <c r="A37" s="37"/>
      <c r="B37" s="71" t="s">
        <v>71</v>
      </c>
      <c r="C37" s="16"/>
      <c r="D37" s="16"/>
      <c r="E37" s="16"/>
      <c r="F37" s="39"/>
      <c r="G37" s="70">
        <v>0.2</v>
      </c>
      <c r="H37" s="70">
        <v>0.2</v>
      </c>
      <c r="I37" s="70">
        <v>0.2</v>
      </c>
      <c r="J37" s="70">
        <v>0.2</v>
      </c>
      <c r="K37" s="70">
        <v>0.2</v>
      </c>
      <c r="L37" s="70">
        <v>0.2</v>
      </c>
      <c r="M37" s="70">
        <v>0.2</v>
      </c>
      <c r="N37" s="70">
        <v>0.2</v>
      </c>
      <c r="O37" s="70">
        <v>0.2</v>
      </c>
      <c r="P37" s="16"/>
    </row>
    <row r="38" spans="1:26" ht="15" customHeight="1" x14ac:dyDescent="0.25">
      <c r="A38" s="37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</row>
    <row r="39" spans="1:26" ht="15" customHeight="1" x14ac:dyDescent="0.25">
      <c r="A39" s="37" t="s">
        <v>20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</row>
    <row r="40" spans="1:26" ht="15" customHeight="1" x14ac:dyDescent="0.25">
      <c r="A40" s="37"/>
      <c r="B40" s="71" t="s">
        <v>42</v>
      </c>
      <c r="C40" s="16"/>
      <c r="D40" s="16"/>
      <c r="E40" s="16"/>
      <c r="F40" s="2"/>
      <c r="G40" s="72">
        <f>+G23</f>
        <v>1616.0512500000002</v>
      </c>
      <c r="H40" s="72">
        <f t="shared" ref="H40:O40" si="15">+H23</f>
        <v>1761.4958625000004</v>
      </c>
      <c r="I40" s="72">
        <f t="shared" si="15"/>
        <v>1902.4155315000005</v>
      </c>
      <c r="J40" s="72">
        <f t="shared" si="15"/>
        <v>2035.5846187050006</v>
      </c>
      <c r="K40" s="72">
        <f t="shared" si="15"/>
        <v>2157.7196958273007</v>
      </c>
      <c r="L40" s="72">
        <f t="shared" si="15"/>
        <v>2265.6056806186657</v>
      </c>
      <c r="M40" s="72">
        <f t="shared" si="15"/>
        <v>2356.2299078434125</v>
      </c>
      <c r="N40" s="72">
        <f t="shared" si="15"/>
        <v>2426.9168050787148</v>
      </c>
      <c r="O40" s="72">
        <f t="shared" si="15"/>
        <v>2475.455141180289</v>
      </c>
      <c r="P40" s="16"/>
    </row>
    <row r="41" spans="1:26" ht="15" customHeight="1" x14ac:dyDescent="0.25">
      <c r="A41" s="37"/>
      <c r="B41" s="71" t="s">
        <v>92</v>
      </c>
      <c r="C41" s="16"/>
      <c r="D41" s="16"/>
      <c r="E41" s="16"/>
      <c r="F41" s="2"/>
      <c r="G41" s="72">
        <f t="shared" ref="G41:O41" si="16">+G25-G33</f>
        <v>268.10290237499999</v>
      </c>
      <c r="H41" s="72">
        <f t="shared" si="16"/>
        <v>292.23216358875004</v>
      </c>
      <c r="I41" s="72">
        <f t="shared" si="16"/>
        <v>315.61073667585003</v>
      </c>
      <c r="J41" s="72">
        <f t="shared" si="16"/>
        <v>331.29139669423887</v>
      </c>
      <c r="K41" s="72">
        <f t="shared" si="16"/>
        <v>344.37206345403717</v>
      </c>
      <c r="L41" s="72">
        <f t="shared" si="16"/>
        <v>354.45400873279027</v>
      </c>
      <c r="M41" s="72">
        <f t="shared" si="16"/>
        <v>361.21004487239509</v>
      </c>
      <c r="N41" s="72">
        <f t="shared" si="16"/>
        <v>364.401558282569</v>
      </c>
      <c r="O41" s="72">
        <f t="shared" si="16"/>
        <v>371.68958944822032</v>
      </c>
      <c r="P41" s="16"/>
    </row>
    <row r="42" spans="1:26" ht="15" customHeight="1" x14ac:dyDescent="0.25">
      <c r="A42" s="37"/>
      <c r="B42" s="72" t="s">
        <v>90</v>
      </c>
      <c r="C42" s="16"/>
      <c r="D42" s="16"/>
      <c r="E42" s="16"/>
      <c r="F42" s="16"/>
      <c r="G42" s="72">
        <f t="shared" ref="G42:O42" si="17">+G28</f>
        <v>32.321025000000006</v>
      </c>
      <c r="H42" s="72">
        <f t="shared" si="17"/>
        <v>35.229917250000007</v>
      </c>
      <c r="I42" s="72">
        <f t="shared" si="17"/>
        <v>38.04831063000001</v>
      </c>
      <c r="J42" s="72">
        <f t="shared" si="17"/>
        <v>40.711692374100011</v>
      </c>
      <c r="K42" s="72">
        <f t="shared" si="17"/>
        <v>43.154393916546013</v>
      </c>
      <c r="L42" s="72">
        <f t="shared" si="17"/>
        <v>45.312113612373317</v>
      </c>
      <c r="M42" s="72">
        <f t="shared" si="17"/>
        <v>47.124598156868252</v>
      </c>
      <c r="N42" s="72">
        <f t="shared" si="17"/>
        <v>48.538336101574295</v>
      </c>
      <c r="O42" s="72">
        <f t="shared" si="17"/>
        <v>49.50910282360578</v>
      </c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5" customHeight="1" x14ac:dyDescent="0.25">
      <c r="A43" s="37"/>
      <c r="B43" s="72" t="s">
        <v>204</v>
      </c>
      <c r="C43" s="16"/>
      <c r="D43" s="16"/>
      <c r="E43" s="16"/>
      <c r="F43" s="16"/>
      <c r="G43" s="72">
        <f t="shared" ref="G43:O43" si="18">SUM(G41:G42)</f>
        <v>300.42392737500001</v>
      </c>
      <c r="H43" s="72">
        <f t="shared" si="18"/>
        <v>327.46208083875007</v>
      </c>
      <c r="I43" s="72">
        <f t="shared" si="18"/>
        <v>353.65904730585004</v>
      </c>
      <c r="J43" s="72">
        <f t="shared" si="18"/>
        <v>372.00308906833891</v>
      </c>
      <c r="K43" s="72">
        <f t="shared" si="18"/>
        <v>387.52645737058322</v>
      </c>
      <c r="L43" s="72">
        <f t="shared" si="18"/>
        <v>399.76612234516358</v>
      </c>
      <c r="M43" s="72">
        <f t="shared" si="18"/>
        <v>408.33464302926336</v>
      </c>
      <c r="N43" s="72">
        <f t="shared" si="18"/>
        <v>412.93989438414332</v>
      </c>
      <c r="O43" s="72">
        <f t="shared" si="18"/>
        <v>421.19869227182608</v>
      </c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5" customHeight="1" x14ac:dyDescent="0.25">
      <c r="A44" s="37"/>
      <c r="B44" s="71" t="s">
        <v>25</v>
      </c>
      <c r="C44" s="16"/>
      <c r="D44" s="16"/>
      <c r="E44" s="16"/>
      <c r="F44" s="16"/>
      <c r="G44">
        <f t="shared" ref="G44:O44" ca="1" si="19">IF(CircSwitch=1,G64+G71,0)*-1</f>
        <v>-92.201002590747905</v>
      </c>
      <c r="H44">
        <f t="shared" ca="1" si="19"/>
        <v>-86.241245530157286</v>
      </c>
      <c r="I44">
        <f t="shared" ca="1" si="19"/>
        <v>-78.741512181956779</v>
      </c>
      <c r="J44">
        <f t="shared" ca="1" si="19"/>
        <v>-69.974581076684743</v>
      </c>
      <c r="K44">
        <f t="shared" ca="1" si="19"/>
        <v>-59.892696998750715</v>
      </c>
      <c r="L44">
        <f t="shared" ca="1" si="19"/>
        <v>-48.496366087600599</v>
      </c>
      <c r="M44">
        <f t="shared" ca="1" si="19"/>
        <v>-33.57960704397221</v>
      </c>
      <c r="N44">
        <f t="shared" ca="1" si="19"/>
        <v>-14.122852640340222</v>
      </c>
      <c r="O44">
        <f t="shared" ca="1" si="19"/>
        <v>-1.778769319355233</v>
      </c>
      <c r="P44" s="16"/>
    </row>
    <row r="45" spans="1:26" ht="15" customHeight="1" x14ac:dyDescent="0.25">
      <c r="A45" s="37"/>
      <c r="B45" s="71" t="s">
        <v>66</v>
      </c>
      <c r="C45" s="16"/>
      <c r="D45" s="16"/>
      <c r="E45" s="16"/>
      <c r="F45" s="16"/>
      <c r="G45">
        <f ca="1">+IF(CircSwitch=1,G74,0)</f>
        <v>0</v>
      </c>
      <c r="H45">
        <f t="shared" ref="H45:O45" ca="1" si="20">+IF(CircSwitch=1,H74,0)</f>
        <v>0</v>
      </c>
      <c r="I45">
        <f t="shared" ca="1" si="20"/>
        <v>0</v>
      </c>
      <c r="J45">
        <f t="shared" ca="1" si="20"/>
        <v>0</v>
      </c>
      <c r="K45">
        <f t="shared" ca="1" si="20"/>
        <v>0</v>
      </c>
      <c r="L45">
        <f t="shared" ca="1" si="20"/>
        <v>0</v>
      </c>
      <c r="M45">
        <f t="shared" ca="1" si="20"/>
        <v>0</v>
      </c>
      <c r="N45">
        <f t="shared" ca="1" si="20"/>
        <v>0</v>
      </c>
      <c r="O45">
        <f t="shared" ca="1" si="20"/>
        <v>0.40603263727554006</v>
      </c>
      <c r="P45" s="16"/>
    </row>
    <row r="46" spans="1:26" ht="15" customHeight="1" x14ac:dyDescent="0.25">
      <c r="A46" s="37"/>
      <c r="B46" s="71" t="s">
        <v>26</v>
      </c>
      <c r="C46" s="16"/>
      <c r="D46" s="16"/>
      <c r="E46" s="16"/>
      <c r="F46" s="2"/>
      <c r="G46" s="72">
        <f t="shared" ref="G46:O46" ca="1" si="21">SUM(G43:G45)</f>
        <v>208.22292478425209</v>
      </c>
      <c r="H46" s="72">
        <f t="shared" ca="1" si="21"/>
        <v>241.22083530859277</v>
      </c>
      <c r="I46" s="72">
        <f t="shared" ca="1" si="21"/>
        <v>274.91753512389323</v>
      </c>
      <c r="J46" s="72">
        <f t="shared" ca="1" si="21"/>
        <v>302.02850799165418</v>
      </c>
      <c r="K46" s="72">
        <f t="shared" ca="1" si="21"/>
        <v>327.63376037183252</v>
      </c>
      <c r="L46" s="72">
        <f t="shared" ca="1" si="21"/>
        <v>351.26975625756296</v>
      </c>
      <c r="M46" s="72">
        <f t="shared" ca="1" si="21"/>
        <v>374.75503598529116</v>
      </c>
      <c r="N46" s="72">
        <f t="shared" ca="1" si="21"/>
        <v>398.81704174380309</v>
      </c>
      <c r="O46" s="72">
        <f t="shared" ca="1" si="21"/>
        <v>419.8259555897464</v>
      </c>
      <c r="P46" s="16"/>
    </row>
    <row r="47" spans="1:26" ht="15" customHeight="1" x14ac:dyDescent="0.25">
      <c r="A47" s="37"/>
      <c r="B47" s="71" t="s">
        <v>27</v>
      </c>
      <c r="C47" s="16"/>
      <c r="D47" s="16"/>
      <c r="E47" s="16"/>
      <c r="F47" s="2"/>
      <c r="G47" s="72">
        <f t="shared" ref="G47:O47" ca="1" si="22">-G37*G46</f>
        <v>-41.644584956850423</v>
      </c>
      <c r="H47" s="72">
        <f t="shared" ca="1" si="22"/>
        <v>-48.244167061718557</v>
      </c>
      <c r="I47" s="72">
        <f t="shared" ca="1" si="22"/>
        <v>-54.983507024778646</v>
      </c>
      <c r="J47" s="72">
        <f t="shared" ca="1" si="22"/>
        <v>-60.405701598330836</v>
      </c>
      <c r="K47" s="72">
        <f t="shared" ca="1" si="22"/>
        <v>-65.526752074366513</v>
      </c>
      <c r="L47" s="72">
        <f t="shared" ca="1" si="22"/>
        <v>-70.253951251512589</v>
      </c>
      <c r="M47" s="72">
        <f t="shared" ca="1" si="22"/>
        <v>-74.951007197058232</v>
      </c>
      <c r="N47" s="72">
        <f t="shared" ca="1" si="22"/>
        <v>-79.76340834876062</v>
      </c>
      <c r="O47" s="72">
        <f t="shared" ca="1" si="22"/>
        <v>-83.965191117949288</v>
      </c>
      <c r="P47" s="16"/>
    </row>
    <row r="48" spans="1:26" ht="15" customHeight="1" x14ac:dyDescent="0.25">
      <c r="A48" s="37"/>
      <c r="B48" s="71" t="s">
        <v>65</v>
      </c>
      <c r="C48" s="16"/>
      <c r="D48" s="16"/>
      <c r="E48" s="16"/>
      <c r="F48" s="2"/>
      <c r="G48" s="72">
        <f ca="1">SUM(G46:G47)</f>
        <v>166.57833982740166</v>
      </c>
      <c r="H48" s="72">
        <f t="shared" ref="H48:O48" ca="1" si="23">SUM(H46:H47)</f>
        <v>192.97666824687423</v>
      </c>
      <c r="I48" s="72">
        <f t="shared" ca="1" si="23"/>
        <v>219.93402809911458</v>
      </c>
      <c r="J48" s="72">
        <f t="shared" ca="1" si="23"/>
        <v>241.62280639332334</v>
      </c>
      <c r="K48" s="72">
        <f t="shared" ca="1" si="23"/>
        <v>262.107008297466</v>
      </c>
      <c r="L48" s="72">
        <f t="shared" ca="1" si="23"/>
        <v>281.01580500605036</v>
      </c>
      <c r="M48" s="72">
        <f t="shared" ca="1" si="23"/>
        <v>299.80402878823293</v>
      </c>
      <c r="N48" s="72">
        <f t="shared" ca="1" si="23"/>
        <v>319.05363339504248</v>
      </c>
      <c r="O48" s="72">
        <f t="shared" ca="1" si="23"/>
        <v>335.8607644717971</v>
      </c>
      <c r="P48" s="16"/>
    </row>
    <row r="49" spans="1:16" ht="15" customHeight="1" x14ac:dyDescent="0.25">
      <c r="A49" s="37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</row>
    <row r="50" spans="1:16" ht="15" customHeight="1" x14ac:dyDescent="0.25">
      <c r="A50" s="37" t="s">
        <v>93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</row>
    <row r="51" spans="1:16" ht="15" customHeight="1" x14ac:dyDescent="0.25">
      <c r="A51" s="37"/>
      <c r="B51" s="71" t="s">
        <v>65</v>
      </c>
      <c r="C51" s="16"/>
      <c r="D51" s="16"/>
      <c r="E51" s="16"/>
      <c r="F51" s="2"/>
      <c r="G51" s="72">
        <f ca="1">+G48</f>
        <v>166.57833982740166</v>
      </c>
      <c r="H51" s="72">
        <f t="shared" ref="H51:O51" ca="1" si="24">+H48</f>
        <v>192.97666824687423</v>
      </c>
      <c r="I51" s="72">
        <f t="shared" ca="1" si="24"/>
        <v>219.93402809911458</v>
      </c>
      <c r="J51" s="72">
        <f t="shared" ca="1" si="24"/>
        <v>241.62280639332334</v>
      </c>
      <c r="K51" s="72">
        <f t="shared" ca="1" si="24"/>
        <v>262.107008297466</v>
      </c>
      <c r="L51" s="72">
        <f t="shared" ca="1" si="24"/>
        <v>281.01580500605036</v>
      </c>
      <c r="M51" s="72">
        <f t="shared" ca="1" si="24"/>
        <v>299.80402878823293</v>
      </c>
      <c r="N51" s="72">
        <f t="shared" ca="1" si="24"/>
        <v>319.05363339504248</v>
      </c>
      <c r="O51" s="72">
        <f t="shared" ca="1" si="24"/>
        <v>335.8607644717971</v>
      </c>
      <c r="P51" s="16"/>
    </row>
    <row r="52" spans="1:16" ht="15" customHeight="1" x14ac:dyDescent="0.25">
      <c r="A52" s="37"/>
      <c r="B52" s="71" t="s">
        <v>63</v>
      </c>
      <c r="C52" s="16"/>
      <c r="D52" s="16"/>
      <c r="E52" s="16"/>
      <c r="F52" s="2"/>
      <c r="G52" s="72">
        <f t="shared" ref="G52:O52" si="25">+G33</f>
        <v>71.267860124999999</v>
      </c>
      <c r="H52" s="72">
        <f t="shared" si="25"/>
        <v>77.681967536250013</v>
      </c>
      <c r="I52" s="72">
        <f t="shared" si="25"/>
        <v>83.896524939150012</v>
      </c>
      <c r="J52" s="72">
        <f t="shared" si="25"/>
        <v>96.181373233811286</v>
      </c>
      <c r="K52" s="72">
        <f t="shared" si="25"/>
        <v>108.74907266969598</v>
      </c>
      <c r="L52" s="72">
        <f t="shared" si="25"/>
        <v>121.32318419712954</v>
      </c>
      <c r="M52" s="72">
        <f t="shared" si="25"/>
        <v>133.5982357747215</v>
      </c>
      <c r="N52" s="72">
        <f t="shared" si="25"/>
        <v>145.25097078396107</v>
      </c>
      <c r="O52" s="72">
        <f t="shared" si="25"/>
        <v>148.15599019964031</v>
      </c>
      <c r="P52" s="16"/>
    </row>
    <row r="53" spans="1:16" ht="15" customHeight="1" x14ac:dyDescent="0.25">
      <c r="A53" s="37"/>
      <c r="B53" s="71" t="s">
        <v>67</v>
      </c>
      <c r="C53" s="16"/>
      <c r="D53" s="16"/>
      <c r="E53" s="16"/>
      <c r="F53" s="50"/>
      <c r="G53" s="72">
        <f t="shared" ref="G53:O53" si="26">+F35-G35</f>
        <v>-33.709418749999998</v>
      </c>
      <c r="H53" s="72">
        <f t="shared" si="26"/>
        <v>-19.635022687500026</v>
      </c>
      <c r="I53" s="72">
        <f t="shared" si="26"/>
        <v>-19.024155315000002</v>
      </c>
      <c r="J53" s="72">
        <f t="shared" si="26"/>
        <v>-17.97782677267503</v>
      </c>
      <c r="K53" s="72">
        <f t="shared" si="26"/>
        <v>-16.488235411510516</v>
      </c>
      <c r="L53" s="72">
        <f t="shared" si="26"/>
        <v>-14.564607946834258</v>
      </c>
      <c r="M53" s="72">
        <f t="shared" si="26"/>
        <v>-12.234270675340838</v>
      </c>
      <c r="N53" s="72">
        <f t="shared" si="26"/>
        <v>-9.5427311267658297</v>
      </c>
      <c r="O53" s="72">
        <f t="shared" si="26"/>
        <v>-6.5526753737125318</v>
      </c>
      <c r="P53" s="16"/>
    </row>
    <row r="54" spans="1:16" ht="15" customHeight="1" x14ac:dyDescent="0.25">
      <c r="A54" s="37"/>
      <c r="B54" s="71" t="s">
        <v>68</v>
      </c>
      <c r="C54" s="16"/>
      <c r="D54" s="16"/>
      <c r="E54" s="16"/>
      <c r="F54" s="2"/>
      <c r="G54" s="72">
        <f t="shared" ref="G54:O54" si="27">-G31</f>
        <v>-101.81122875000001</v>
      </c>
      <c r="H54" s="72">
        <f t="shared" si="27"/>
        <v>-110.97423933750002</v>
      </c>
      <c r="I54" s="72">
        <f t="shared" si="27"/>
        <v>-119.85217848450003</v>
      </c>
      <c r="J54" s="72">
        <f t="shared" si="27"/>
        <v>-128.24183097841504</v>
      </c>
      <c r="K54" s="72">
        <f t="shared" si="27"/>
        <v>-135.93634083711996</v>
      </c>
      <c r="L54" s="72">
        <f t="shared" si="27"/>
        <v>-142.73315787897593</v>
      </c>
      <c r="M54" s="72">
        <f t="shared" si="27"/>
        <v>-148.44248419413501</v>
      </c>
      <c r="N54" s="72">
        <f t="shared" si="27"/>
        <v>-152.89575871995902</v>
      </c>
      <c r="O54" s="72">
        <f t="shared" si="27"/>
        <v>-155.95367389435822</v>
      </c>
      <c r="P54" s="16"/>
    </row>
    <row r="55" spans="1:16" ht="15" customHeight="1" x14ac:dyDescent="0.25">
      <c r="A55" s="37"/>
      <c r="B55" s="74" t="s">
        <v>94</v>
      </c>
      <c r="C55" s="16"/>
      <c r="D55" s="16"/>
      <c r="E55" s="16"/>
      <c r="F55" s="2"/>
      <c r="G55" s="72">
        <f t="shared" ref="G55:O55" ca="1" si="28">SUM(G51:G54)</f>
        <v>102.32555245240165</v>
      </c>
      <c r="H55" s="72">
        <f t="shared" ca="1" si="28"/>
        <v>140.04937375812418</v>
      </c>
      <c r="I55" s="72">
        <f t="shared" ca="1" si="28"/>
        <v>164.95421923876455</v>
      </c>
      <c r="J55" s="72">
        <f t="shared" ca="1" si="28"/>
        <v>191.58452187604459</v>
      </c>
      <c r="K55" s="72">
        <f t="shared" ca="1" si="28"/>
        <v>218.4315047185315</v>
      </c>
      <c r="L55" s="72">
        <f t="shared" ca="1" si="28"/>
        <v>245.0412233773697</v>
      </c>
      <c r="M55" s="72">
        <f t="shared" ca="1" si="28"/>
        <v>272.72550969347856</v>
      </c>
      <c r="N55" s="72">
        <f t="shared" ca="1" si="28"/>
        <v>301.8661143322787</v>
      </c>
      <c r="O55" s="72">
        <f t="shared" ca="1" si="28"/>
        <v>321.51040540336669</v>
      </c>
      <c r="P55" s="16"/>
    </row>
    <row r="56" spans="1:16" ht="15" customHeight="1" x14ac:dyDescent="0.25">
      <c r="A56" s="37"/>
      <c r="B56" s="16"/>
      <c r="C56" s="16"/>
      <c r="D56" s="16"/>
      <c r="E56" s="16"/>
      <c r="F56" s="2"/>
      <c r="G56" s="72"/>
      <c r="H56" s="72"/>
      <c r="I56" s="72"/>
      <c r="J56" s="72"/>
      <c r="K56" s="72"/>
      <c r="L56" s="72"/>
      <c r="M56" s="72"/>
      <c r="N56" s="72"/>
      <c r="O56" s="72"/>
      <c r="P56" s="16"/>
    </row>
    <row r="57" spans="1:16" ht="15" customHeight="1" x14ac:dyDescent="0.25">
      <c r="A57" s="37"/>
      <c r="B57" s="72" t="s">
        <v>153</v>
      </c>
      <c r="C57" s="16"/>
      <c r="D57" s="16"/>
      <c r="E57" s="16"/>
      <c r="G57" s="72">
        <f>+F73</f>
        <v>0</v>
      </c>
      <c r="H57" s="72">
        <f t="shared" ref="H57:O57" ca="1" si="29">+G73</f>
        <v>0</v>
      </c>
      <c r="I57" s="72">
        <f t="shared" ca="1" si="29"/>
        <v>0</v>
      </c>
      <c r="J57" s="72">
        <f t="shared" ca="1" si="29"/>
        <v>0</v>
      </c>
      <c r="K57" s="72">
        <f t="shared" ca="1" si="29"/>
        <v>0</v>
      </c>
      <c r="L57" s="72">
        <f t="shared" ca="1" si="29"/>
        <v>0</v>
      </c>
      <c r="M57" s="72">
        <f t="shared" ca="1" si="29"/>
        <v>0</v>
      </c>
      <c r="N57" s="72">
        <f t="shared" ca="1" si="29"/>
        <v>0</v>
      </c>
      <c r="O57" s="72">
        <f t="shared" ca="1" si="29"/>
        <v>0</v>
      </c>
      <c r="P57" s="16"/>
    </row>
    <row r="58" spans="1:16" ht="15" customHeight="1" x14ac:dyDescent="0.25">
      <c r="A58" s="37"/>
      <c r="B58" s="74" t="s">
        <v>201</v>
      </c>
      <c r="C58" s="16"/>
      <c r="D58" s="16"/>
      <c r="E58" s="16"/>
      <c r="F58" s="16"/>
      <c r="G58" s="72">
        <f t="shared" ref="G58:O58" ca="1" si="30">+G55+G57</f>
        <v>102.32555245240165</v>
      </c>
      <c r="H58" s="72">
        <f t="shared" ca="1" si="30"/>
        <v>140.04937375812418</v>
      </c>
      <c r="I58" s="72">
        <f t="shared" ca="1" si="30"/>
        <v>164.95421923876455</v>
      </c>
      <c r="J58" s="72">
        <f t="shared" ca="1" si="30"/>
        <v>191.58452187604459</v>
      </c>
      <c r="K58" s="72">
        <f t="shared" ca="1" si="30"/>
        <v>218.4315047185315</v>
      </c>
      <c r="L58" s="72">
        <f t="shared" ca="1" si="30"/>
        <v>245.0412233773697</v>
      </c>
      <c r="M58" s="72">
        <f t="shared" ca="1" si="30"/>
        <v>272.72550969347856</v>
      </c>
      <c r="N58" s="72">
        <f t="shared" ca="1" si="30"/>
        <v>301.8661143322787</v>
      </c>
      <c r="O58" s="72">
        <f t="shared" ca="1" si="30"/>
        <v>321.51040540336669</v>
      </c>
      <c r="P58" s="16"/>
    </row>
    <row r="59" spans="1:16" ht="15" customHeight="1" x14ac:dyDescent="0.25">
      <c r="A59" s="37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</row>
    <row r="60" spans="1:16" ht="15" customHeight="1" x14ac:dyDescent="0.25">
      <c r="A60" s="37" t="s">
        <v>95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</row>
    <row r="61" spans="1:16" ht="15" customHeight="1" x14ac:dyDescent="0.25">
      <c r="A61" s="37"/>
      <c r="B61" s="71" t="s">
        <v>96</v>
      </c>
      <c r="C61" s="72"/>
      <c r="D61" s="72"/>
      <c r="E61" s="72"/>
      <c r="F61" s="72"/>
      <c r="G61" s="72">
        <f>F63</f>
        <v>1125.2</v>
      </c>
      <c r="H61" s="72">
        <f t="shared" ref="H61:O61" ca="1" si="31">G63</f>
        <v>1022.8744475475984</v>
      </c>
      <c r="I61" s="72">
        <f t="shared" ca="1" si="31"/>
        <v>882.82507378947423</v>
      </c>
      <c r="J61" s="72">
        <f t="shared" ca="1" si="31"/>
        <v>717.87085455070974</v>
      </c>
      <c r="K61" s="72">
        <f t="shared" ca="1" si="31"/>
        <v>526.28633267466512</v>
      </c>
      <c r="L61" s="72">
        <f t="shared" ca="1" si="31"/>
        <v>307.85482795613359</v>
      </c>
      <c r="M61" s="72">
        <f t="shared" ca="1" si="31"/>
        <v>62.813604578763886</v>
      </c>
      <c r="N61" s="72">
        <f t="shared" ca="1" si="31"/>
        <v>0</v>
      </c>
      <c r="O61" s="72">
        <f t="shared" ca="1" si="31"/>
        <v>0</v>
      </c>
      <c r="P61" s="16"/>
    </row>
    <row r="62" spans="1:16" ht="15" customHeight="1" x14ac:dyDescent="0.25">
      <c r="A62" s="37"/>
      <c r="B62" s="71" t="s">
        <v>70</v>
      </c>
      <c r="C62" s="72"/>
      <c r="D62" s="72"/>
      <c r="E62" s="72"/>
      <c r="F62" s="72"/>
      <c r="G62" s="72">
        <f ca="1">-MIN(MAX(G58,0),G61)</f>
        <v>-102.32555245240165</v>
      </c>
      <c r="H62" s="72">
        <f t="shared" ref="H62:O62" ca="1" si="32">-MIN(MAX(H58,0),H61)</f>
        <v>-140.04937375812418</v>
      </c>
      <c r="I62" s="72">
        <f t="shared" ca="1" si="32"/>
        <v>-164.95421923876455</v>
      </c>
      <c r="J62" s="72">
        <f t="shared" ca="1" si="32"/>
        <v>-191.58452187604459</v>
      </c>
      <c r="K62" s="72">
        <f t="shared" ca="1" si="32"/>
        <v>-218.4315047185315</v>
      </c>
      <c r="L62" s="72">
        <f t="shared" ca="1" si="32"/>
        <v>-245.0412233773697</v>
      </c>
      <c r="M62" s="72">
        <f t="shared" ca="1" si="32"/>
        <v>-62.813604578763886</v>
      </c>
      <c r="N62" s="72">
        <f t="shared" ca="1" si="32"/>
        <v>0</v>
      </c>
      <c r="O62" s="72">
        <f t="shared" ca="1" si="32"/>
        <v>0</v>
      </c>
      <c r="P62" s="16"/>
    </row>
    <row r="63" spans="1:16" ht="15" customHeight="1" x14ac:dyDescent="0.25">
      <c r="A63" s="37"/>
      <c r="B63" s="71" t="s">
        <v>97</v>
      </c>
      <c r="C63" s="72"/>
      <c r="D63" s="72"/>
      <c r="E63" s="72"/>
      <c r="F63" s="72">
        <f>+N7</f>
        <v>1125.2</v>
      </c>
      <c r="G63" s="72">
        <f ca="1">SUM(G61:G62)</f>
        <v>1022.8744475475984</v>
      </c>
      <c r="H63" s="72">
        <f t="shared" ref="H63:O63" ca="1" si="33">SUM(H61:H62)</f>
        <v>882.82507378947423</v>
      </c>
      <c r="I63" s="72">
        <f t="shared" ca="1" si="33"/>
        <v>717.87085455070974</v>
      </c>
      <c r="J63" s="72">
        <f t="shared" ca="1" si="33"/>
        <v>526.28633267466512</v>
      </c>
      <c r="K63" s="72">
        <f t="shared" ca="1" si="33"/>
        <v>307.85482795613359</v>
      </c>
      <c r="L63" s="72">
        <f t="shared" ca="1" si="33"/>
        <v>62.813604578763886</v>
      </c>
      <c r="M63" s="72">
        <f t="shared" ca="1" si="33"/>
        <v>0</v>
      </c>
      <c r="N63" s="72">
        <f t="shared" ca="1" si="33"/>
        <v>0</v>
      </c>
      <c r="O63" s="72">
        <f t="shared" ca="1" si="33"/>
        <v>0</v>
      </c>
      <c r="P63" s="16"/>
    </row>
    <row r="64" spans="1:16" ht="15" customHeight="1" x14ac:dyDescent="0.25">
      <c r="A64" s="37"/>
      <c r="B64" s="71" t="s">
        <v>25</v>
      </c>
      <c r="C64" s="72"/>
      <c r="D64" s="72"/>
      <c r="E64" s="72"/>
      <c r="F64" s="72"/>
      <c r="G64" s="72">
        <f t="shared" ref="G64:O64" ca="1" si="34">$F$14*AVERAGE(F63:G63)</f>
        <v>52.8190025907479</v>
      </c>
      <c r="H64" s="72">
        <f t="shared" ca="1" si="34"/>
        <v>46.859245530157281</v>
      </c>
      <c r="I64" s="72">
        <f t="shared" ca="1" si="34"/>
        <v>39.359512181956781</v>
      </c>
      <c r="J64" s="72">
        <f t="shared" ca="1" si="34"/>
        <v>30.592581076684741</v>
      </c>
      <c r="K64" s="72">
        <f t="shared" ca="1" si="34"/>
        <v>20.51069699875071</v>
      </c>
      <c r="L64" s="72">
        <f t="shared" ca="1" si="34"/>
        <v>9.1143660876005939</v>
      </c>
      <c r="M64" s="72">
        <f t="shared" ca="1" si="34"/>
        <v>1.5445237229872253</v>
      </c>
      <c r="N64" s="72">
        <f t="shared" ca="1" si="34"/>
        <v>0</v>
      </c>
      <c r="O64" s="72">
        <f t="shared" ca="1" si="34"/>
        <v>0</v>
      </c>
      <c r="P64" s="16"/>
    </row>
    <row r="65" spans="1:26" ht="15" customHeight="1" x14ac:dyDescent="0.25">
      <c r="A65" s="37"/>
      <c r="B65" s="72"/>
      <c r="C65" s="72"/>
      <c r="D65" s="72"/>
      <c r="E65" s="72"/>
      <c r="F65" s="72"/>
      <c r="G65" s="72"/>
      <c r="H65" s="72"/>
      <c r="I65" s="72"/>
      <c r="J65" s="72"/>
      <c r="K65" s="72"/>
      <c r="L65" s="72"/>
      <c r="M65" s="72"/>
      <c r="N65" s="72"/>
      <c r="O65" s="72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" customHeight="1" x14ac:dyDescent="0.25">
      <c r="A66" s="37"/>
      <c r="B66" s="72" t="s">
        <v>182</v>
      </c>
      <c r="C66" s="72"/>
      <c r="D66" s="72"/>
      <c r="G66" s="72">
        <f t="shared" ref="G66:O66" ca="1" si="35">G58+G62</f>
        <v>0</v>
      </c>
      <c r="H66" s="72">
        <f t="shared" ca="1" si="35"/>
        <v>0</v>
      </c>
      <c r="I66" s="72">
        <f t="shared" ca="1" si="35"/>
        <v>0</v>
      </c>
      <c r="J66" s="72">
        <f t="shared" ca="1" si="35"/>
        <v>0</v>
      </c>
      <c r="K66" s="72">
        <f t="shared" ca="1" si="35"/>
        <v>0</v>
      </c>
      <c r="L66" s="72">
        <f t="shared" ca="1" si="35"/>
        <v>0</v>
      </c>
      <c r="M66" s="72">
        <f t="shared" ca="1" si="35"/>
        <v>209.91190511471467</v>
      </c>
      <c r="N66" s="72">
        <f t="shared" ca="1" si="35"/>
        <v>301.8661143322787</v>
      </c>
      <c r="O66" s="72">
        <f t="shared" ca="1" si="35"/>
        <v>321.51040540336669</v>
      </c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" customHeight="1" x14ac:dyDescent="0.25">
      <c r="A67" s="37"/>
      <c r="B67" s="72"/>
      <c r="C67" s="72"/>
      <c r="D67" s="72"/>
      <c r="E67" s="72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16"/>
    </row>
    <row r="68" spans="1:26" ht="15" customHeight="1" x14ac:dyDescent="0.25">
      <c r="A68" s="37"/>
      <c r="B68" s="72" t="s">
        <v>98</v>
      </c>
      <c r="C68" s="72"/>
      <c r="D68" s="72"/>
      <c r="E68" s="72"/>
      <c r="F68" s="72"/>
      <c r="G68" s="72">
        <f>F70</f>
        <v>562.6</v>
      </c>
      <c r="H68" s="72">
        <f t="shared" ref="H68:O68" ca="1" si="36">G70</f>
        <v>562.6</v>
      </c>
      <c r="I68" s="72">
        <f t="shared" ca="1" si="36"/>
        <v>562.6</v>
      </c>
      <c r="J68" s="72">
        <f t="shared" ca="1" si="36"/>
        <v>562.6</v>
      </c>
      <c r="K68" s="72">
        <f t="shared" ca="1" si="36"/>
        <v>562.6</v>
      </c>
      <c r="L68" s="72">
        <f t="shared" ca="1" si="36"/>
        <v>562.6</v>
      </c>
      <c r="M68" s="72">
        <f t="shared" ca="1" si="36"/>
        <v>562.6</v>
      </c>
      <c r="N68" s="72">
        <f t="shared" ca="1" si="36"/>
        <v>352.68809488528535</v>
      </c>
      <c r="O68" s="72">
        <f t="shared" ca="1" si="36"/>
        <v>50.821980553006654</v>
      </c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" customHeight="1" x14ac:dyDescent="0.25">
      <c r="A69" s="37"/>
      <c r="B69" s="72" t="s">
        <v>70</v>
      </c>
      <c r="C69" s="72"/>
      <c r="D69" s="72"/>
      <c r="E69" s="72"/>
      <c r="F69" s="72"/>
      <c r="G69" s="72">
        <f t="shared" ref="G69:O69" ca="1" si="37">-MIN(MAX(G66,0),G68)</f>
        <v>0</v>
      </c>
      <c r="H69" s="72">
        <f t="shared" ca="1" si="37"/>
        <v>0</v>
      </c>
      <c r="I69" s="72">
        <f t="shared" ca="1" si="37"/>
        <v>0</v>
      </c>
      <c r="J69" s="72">
        <f t="shared" ca="1" si="37"/>
        <v>0</v>
      </c>
      <c r="K69" s="72">
        <f t="shared" ca="1" si="37"/>
        <v>0</v>
      </c>
      <c r="L69" s="72">
        <f t="shared" ca="1" si="37"/>
        <v>0</v>
      </c>
      <c r="M69" s="72">
        <f t="shared" ca="1" si="37"/>
        <v>-209.91190511471467</v>
      </c>
      <c r="N69" s="72">
        <f t="shared" ca="1" si="37"/>
        <v>-301.8661143322787</v>
      </c>
      <c r="O69" s="72">
        <f t="shared" ca="1" si="37"/>
        <v>-50.821980553006654</v>
      </c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" customHeight="1" x14ac:dyDescent="0.25">
      <c r="A70" s="37"/>
      <c r="B70" s="72" t="s">
        <v>99</v>
      </c>
      <c r="C70" s="72"/>
      <c r="D70" s="72"/>
      <c r="E70" s="72"/>
      <c r="F70" s="72">
        <f>+N8</f>
        <v>562.6</v>
      </c>
      <c r="G70" s="72">
        <f ca="1">SUM(G68:G69)</f>
        <v>562.6</v>
      </c>
      <c r="H70" s="72">
        <f t="shared" ref="H70:O70" ca="1" si="38">SUM(H68:H69)</f>
        <v>562.6</v>
      </c>
      <c r="I70" s="72">
        <f t="shared" ca="1" si="38"/>
        <v>562.6</v>
      </c>
      <c r="J70" s="72">
        <f t="shared" ca="1" si="38"/>
        <v>562.6</v>
      </c>
      <c r="K70" s="72">
        <f t="shared" ca="1" si="38"/>
        <v>562.6</v>
      </c>
      <c r="L70" s="72">
        <f t="shared" ca="1" si="38"/>
        <v>562.6</v>
      </c>
      <c r="M70" s="72">
        <f t="shared" ca="1" si="38"/>
        <v>352.68809488528535</v>
      </c>
      <c r="N70" s="72">
        <f t="shared" ca="1" si="38"/>
        <v>50.821980553006654</v>
      </c>
      <c r="O70" s="72">
        <f t="shared" ca="1" si="38"/>
        <v>0</v>
      </c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25">
      <c r="A71" s="37"/>
      <c r="B71" s="72" t="s">
        <v>25</v>
      </c>
      <c r="C71" s="72"/>
      <c r="D71" s="72"/>
      <c r="E71" s="72"/>
      <c r="F71" s="72"/>
      <c r="G71" s="72">
        <f t="shared" ref="G71:O71" ca="1" si="39">$F$15*AVERAGE(F70:G70)</f>
        <v>39.382000000000005</v>
      </c>
      <c r="H71" s="72">
        <f t="shared" ca="1" si="39"/>
        <v>39.382000000000005</v>
      </c>
      <c r="I71" s="72">
        <f t="shared" ca="1" si="39"/>
        <v>39.382000000000005</v>
      </c>
      <c r="J71" s="72">
        <f t="shared" ca="1" si="39"/>
        <v>39.382000000000005</v>
      </c>
      <c r="K71" s="72">
        <f t="shared" ca="1" si="39"/>
        <v>39.382000000000005</v>
      </c>
      <c r="L71" s="72">
        <f t="shared" ca="1" si="39"/>
        <v>39.382000000000005</v>
      </c>
      <c r="M71" s="72">
        <f t="shared" ca="1" si="39"/>
        <v>32.035083320984988</v>
      </c>
      <c r="N71" s="72">
        <f t="shared" ca="1" si="39"/>
        <v>14.122852640340222</v>
      </c>
      <c r="O71" s="72">
        <f t="shared" ca="1" si="39"/>
        <v>1.778769319355233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25">
      <c r="A72" s="37"/>
      <c r="B72" s="72"/>
      <c r="C72" s="72"/>
      <c r="D72" s="72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" customHeight="1" x14ac:dyDescent="0.25">
      <c r="A73" s="37"/>
      <c r="B73" s="72" t="s">
        <v>69</v>
      </c>
      <c r="C73" s="72"/>
      <c r="D73" s="72"/>
      <c r="E73" s="72"/>
      <c r="F73" s="66">
        <v>0</v>
      </c>
      <c r="G73" s="72">
        <f t="shared" ref="G73:O73" ca="1" si="40">F73+G55+G62+G69</f>
        <v>0</v>
      </c>
      <c r="H73" s="72">
        <f t="shared" ca="1" si="40"/>
        <v>0</v>
      </c>
      <c r="I73" s="72">
        <f t="shared" ca="1" si="40"/>
        <v>0</v>
      </c>
      <c r="J73" s="72">
        <f t="shared" ca="1" si="40"/>
        <v>0</v>
      </c>
      <c r="K73" s="72">
        <f t="shared" ca="1" si="40"/>
        <v>0</v>
      </c>
      <c r="L73" s="72">
        <f t="shared" ca="1" si="40"/>
        <v>0</v>
      </c>
      <c r="M73" s="72">
        <f t="shared" ca="1" si="40"/>
        <v>0</v>
      </c>
      <c r="N73" s="72">
        <f t="shared" ca="1" si="40"/>
        <v>0</v>
      </c>
      <c r="O73" s="72">
        <f t="shared" ca="1" si="40"/>
        <v>270.68842485036004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25">
      <c r="A74" s="37"/>
      <c r="B74" s="72" t="s">
        <v>66</v>
      </c>
      <c r="C74" s="72"/>
      <c r="D74" s="72"/>
      <c r="E74" s="72"/>
      <c r="F74" s="72"/>
      <c r="G74" s="72">
        <f t="shared" ref="G74:O74" ca="1" si="41">$F$16*AVERAGE(F73:G73)</f>
        <v>0</v>
      </c>
      <c r="H74" s="72">
        <f t="shared" ca="1" si="41"/>
        <v>0</v>
      </c>
      <c r="I74" s="72">
        <f t="shared" ca="1" si="41"/>
        <v>0</v>
      </c>
      <c r="J74" s="72">
        <f t="shared" ca="1" si="41"/>
        <v>0</v>
      </c>
      <c r="K74" s="72">
        <f t="shared" ca="1" si="41"/>
        <v>0</v>
      </c>
      <c r="L74" s="72">
        <f t="shared" ca="1" si="41"/>
        <v>0</v>
      </c>
      <c r="M74" s="72">
        <f t="shared" ca="1" si="41"/>
        <v>0</v>
      </c>
      <c r="N74" s="72">
        <f t="shared" ca="1" si="41"/>
        <v>0</v>
      </c>
      <c r="O74" s="72">
        <f t="shared" ca="1" si="41"/>
        <v>0.40603263727554006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25">
      <c r="A75" s="37"/>
      <c r="B75" s="72"/>
      <c r="C75" s="72"/>
      <c r="D75" s="72"/>
      <c r="E75" s="72"/>
      <c r="F75" s="72"/>
      <c r="G75" s="72"/>
      <c r="H75" s="72"/>
      <c r="I75" s="72"/>
      <c r="J75" s="72"/>
      <c r="K75" s="72"/>
      <c r="L75" s="72"/>
      <c r="M75" s="72"/>
      <c r="N75" s="72"/>
      <c r="O75" s="72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25">
      <c r="A76" s="37"/>
      <c r="B76" s="72" t="s">
        <v>262</v>
      </c>
      <c r="C76" s="72"/>
      <c r="D76" s="72"/>
      <c r="E76" s="72"/>
      <c r="F76" s="72"/>
      <c r="G76" s="72">
        <f>F79</f>
        <v>0</v>
      </c>
      <c r="H76" s="72">
        <f t="shared" ref="H76:M76" ca="1" si="42">G79</f>
        <v>102.32555245240165</v>
      </c>
      <c r="I76" s="72">
        <f t="shared" ca="1" si="42"/>
        <v>242.37492621052581</v>
      </c>
      <c r="J76" s="72">
        <f t="shared" ca="1" si="42"/>
        <v>407.32914544929037</v>
      </c>
      <c r="K76" s="72">
        <f t="shared" ca="1" si="42"/>
        <v>598.91366732533493</v>
      </c>
      <c r="L76" s="72">
        <f t="shared" ca="1" si="42"/>
        <v>817.34517204386646</v>
      </c>
      <c r="M76" s="72">
        <f t="shared" ca="1" si="42"/>
        <v>1062.3863954212361</v>
      </c>
      <c r="N76" s="72">
        <f t="shared" ref="N76:O76" ca="1" si="43">M79</f>
        <v>1335.1119051147148</v>
      </c>
      <c r="O76" s="72">
        <f t="shared" ca="1" si="43"/>
        <v>1636.9780194469936</v>
      </c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25">
      <c r="A77" s="37"/>
      <c r="B77" s="72" t="s">
        <v>263</v>
      </c>
      <c r="C77" s="72"/>
      <c r="D77" s="72"/>
      <c r="E77" s="72"/>
      <c r="F77" s="72"/>
      <c r="G77" s="72">
        <f ca="1">-G62</f>
        <v>102.32555245240165</v>
      </c>
      <c r="H77" s="72">
        <f t="shared" ref="H77:M77" ca="1" si="44">-H62</f>
        <v>140.04937375812418</v>
      </c>
      <c r="I77" s="72">
        <f t="shared" ca="1" si="44"/>
        <v>164.95421923876455</v>
      </c>
      <c r="J77" s="72">
        <f t="shared" ca="1" si="44"/>
        <v>191.58452187604459</v>
      </c>
      <c r="K77" s="72">
        <f t="shared" ca="1" si="44"/>
        <v>218.4315047185315</v>
      </c>
      <c r="L77" s="72">
        <f t="shared" ca="1" si="44"/>
        <v>245.0412233773697</v>
      </c>
      <c r="M77" s="72">
        <f t="shared" ca="1" si="44"/>
        <v>62.813604578763886</v>
      </c>
      <c r="N77" s="72">
        <f t="shared" ref="N77:O77" ca="1" si="45">-N62</f>
        <v>0</v>
      </c>
      <c r="O77" s="72">
        <f t="shared" ca="1" si="45"/>
        <v>0</v>
      </c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25">
      <c r="A78" s="37"/>
      <c r="B78" s="72" t="s">
        <v>264</v>
      </c>
      <c r="C78" s="72"/>
      <c r="D78" s="72"/>
      <c r="E78" s="72"/>
      <c r="F78" s="72"/>
      <c r="G78" s="72">
        <f ca="1">-G69</f>
        <v>0</v>
      </c>
      <c r="H78" s="72">
        <f t="shared" ref="H78:M78" ca="1" si="46">-H69</f>
        <v>0</v>
      </c>
      <c r="I78" s="72">
        <f t="shared" ca="1" si="46"/>
        <v>0</v>
      </c>
      <c r="J78" s="72">
        <f t="shared" ca="1" si="46"/>
        <v>0</v>
      </c>
      <c r="K78" s="72">
        <f t="shared" ca="1" si="46"/>
        <v>0</v>
      </c>
      <c r="L78" s="72">
        <f t="shared" ca="1" si="46"/>
        <v>0</v>
      </c>
      <c r="M78" s="72">
        <f t="shared" ca="1" si="46"/>
        <v>209.91190511471467</v>
      </c>
      <c r="N78" s="72">
        <f t="shared" ref="N78:O78" ca="1" si="47">-N69</f>
        <v>301.8661143322787</v>
      </c>
      <c r="O78" s="72">
        <f t="shared" ca="1" si="47"/>
        <v>50.821980553006654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25">
      <c r="A79" s="37"/>
      <c r="B79" s="72" t="s">
        <v>265</v>
      </c>
      <c r="C79" s="72"/>
      <c r="D79" s="72"/>
      <c r="E79" s="72"/>
      <c r="F79" s="66">
        <v>0</v>
      </c>
      <c r="G79" s="72">
        <f ca="1">SUM(G76:G78)</f>
        <v>102.32555245240165</v>
      </c>
      <c r="H79" s="72">
        <f t="shared" ref="H79:M79" ca="1" si="48">SUM(H76:H78)</f>
        <v>242.37492621052581</v>
      </c>
      <c r="I79" s="72">
        <f t="shared" ca="1" si="48"/>
        <v>407.32914544929037</v>
      </c>
      <c r="J79" s="72">
        <f t="shared" ca="1" si="48"/>
        <v>598.91366732533493</v>
      </c>
      <c r="K79" s="72">
        <f t="shared" ca="1" si="48"/>
        <v>817.34517204386646</v>
      </c>
      <c r="L79" s="72">
        <f t="shared" ca="1" si="48"/>
        <v>1062.3863954212361</v>
      </c>
      <c r="M79" s="72">
        <f t="shared" ca="1" si="48"/>
        <v>1335.1119051147148</v>
      </c>
      <c r="N79" s="72">
        <f t="shared" ref="N79" ca="1" si="49">SUM(N76:N78)</f>
        <v>1636.9780194469936</v>
      </c>
      <c r="O79" s="72">
        <f t="shared" ref="O79" ca="1" si="50">SUM(O76:O78)</f>
        <v>1687.8000000000002</v>
      </c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25">
      <c r="A80" s="37"/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" customHeight="1" x14ac:dyDescent="0.25">
      <c r="A81" s="37"/>
      <c r="B81" s="72" t="s">
        <v>190</v>
      </c>
      <c r="C81" s="72"/>
      <c r="D81" s="72"/>
      <c r="E81" s="72"/>
      <c r="F81" s="72">
        <f>F63+F70</f>
        <v>1687.8000000000002</v>
      </c>
      <c r="G81" s="72">
        <f ca="1">G63+G70</f>
        <v>1585.4744475475984</v>
      </c>
      <c r="H81" s="72">
        <f t="shared" ref="H81:M81" ca="1" si="51">H63+H70</f>
        <v>1445.4250737894743</v>
      </c>
      <c r="I81" s="72">
        <f t="shared" ca="1" si="51"/>
        <v>1280.4708545507096</v>
      </c>
      <c r="J81" s="72">
        <f t="shared" ca="1" si="51"/>
        <v>1088.886332674665</v>
      </c>
      <c r="K81" s="72">
        <f t="shared" ca="1" si="51"/>
        <v>870.45482795613361</v>
      </c>
      <c r="L81" s="72">
        <f t="shared" ca="1" si="51"/>
        <v>625.41360457876385</v>
      </c>
      <c r="M81" s="72">
        <f t="shared" ca="1" si="51"/>
        <v>352.68809488528535</v>
      </c>
      <c r="N81" s="72">
        <f t="shared" ref="N81:O81" ca="1" si="52">N63+N70</f>
        <v>50.821980553006654</v>
      </c>
      <c r="O81" s="72">
        <f t="shared" ca="1" si="52"/>
        <v>0</v>
      </c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" customHeight="1" x14ac:dyDescent="0.25">
      <c r="A82" s="37"/>
      <c r="B82" s="72" t="s">
        <v>261</v>
      </c>
      <c r="C82" s="72"/>
      <c r="D82" s="72"/>
      <c r="E82" s="72"/>
      <c r="F82" s="72"/>
      <c r="G82" s="78">
        <f ca="1">G79/$F$81</f>
        <v>6.062658635644131E-2</v>
      </c>
      <c r="H82" s="78">
        <f t="shared" ref="H82:M82" ca="1" si="53">H79/$F$81</f>
        <v>0.14360405629252623</v>
      </c>
      <c r="I82" s="78">
        <f t="shared" ca="1" si="53"/>
        <v>0.24133732992611109</v>
      </c>
      <c r="J82" s="78">
        <f t="shared" ca="1" si="53"/>
        <v>0.35484871864281009</v>
      </c>
      <c r="K82" s="78">
        <f t="shared" ca="1" si="53"/>
        <v>0.48426660270403271</v>
      </c>
      <c r="L82" s="78">
        <f t="shared" ca="1" si="53"/>
        <v>0.62945040610335112</v>
      </c>
      <c r="M82" s="78">
        <f t="shared" ca="1" si="53"/>
        <v>0.79103679648934389</v>
      </c>
      <c r="N82" s="78">
        <f t="shared" ref="N82:O82" ca="1" si="54">N79/$F$81</f>
        <v>0.96988862391692943</v>
      </c>
      <c r="O82" s="78">
        <f t="shared" ca="1" si="54"/>
        <v>1</v>
      </c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" customHeight="1" x14ac:dyDescent="0.25">
      <c r="A83" s="37"/>
      <c r="B83" s="72" t="s">
        <v>266</v>
      </c>
      <c r="C83" s="72"/>
      <c r="D83" s="72"/>
      <c r="E83" s="72"/>
      <c r="F83" s="72"/>
      <c r="G83" s="80">
        <f ca="1">G81/G29</f>
        <v>4.265562223506481</v>
      </c>
      <c r="H83" s="80">
        <f t="shared" ref="H83:O83" ca="1" si="55">H81/H29</f>
        <v>3.5676818642331218</v>
      </c>
      <c r="I83" s="80">
        <f t="shared" ca="1" si="55"/>
        <v>2.9264188043152992</v>
      </c>
      <c r="J83" s="80">
        <f t="shared" ca="1" si="55"/>
        <v>2.3257634978324746</v>
      </c>
      <c r="K83" s="80">
        <f t="shared" ca="1" si="55"/>
        <v>1.7539749096343418</v>
      </c>
      <c r="L83" s="80">
        <f t="shared" ca="1" si="55"/>
        <v>1.2002042581313332</v>
      </c>
      <c r="M83" s="80">
        <f t="shared" ca="1" si="55"/>
        <v>0.65079663677842903</v>
      </c>
      <c r="N83" s="80">
        <f t="shared" ca="1" si="55"/>
        <v>9.1047675131159925E-2</v>
      </c>
      <c r="O83" s="80">
        <f t="shared" ca="1" si="55"/>
        <v>0</v>
      </c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25">
      <c r="A84" s="37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25">
      <c r="A85" s="37" t="s">
        <v>100</v>
      </c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</row>
    <row r="86" spans="1:26" ht="15" customHeight="1" x14ac:dyDescent="0.25">
      <c r="A86" s="37"/>
      <c r="B86" s="71" t="s">
        <v>24</v>
      </c>
      <c r="C86" s="72"/>
      <c r="D86" s="72"/>
      <c r="E86" s="72"/>
      <c r="G86" s="72">
        <f t="shared" ref="G86:O86" si="56">G43+G52</f>
        <v>371.69178750000003</v>
      </c>
      <c r="H86" s="72">
        <f t="shared" si="56"/>
        <v>405.14404837500007</v>
      </c>
      <c r="I86" s="72">
        <f t="shared" si="56"/>
        <v>437.55557224500006</v>
      </c>
      <c r="J86" s="72">
        <f t="shared" si="56"/>
        <v>468.18446230215022</v>
      </c>
      <c r="K86" s="72">
        <f t="shared" si="56"/>
        <v>496.27553004027919</v>
      </c>
      <c r="L86" s="72">
        <f t="shared" si="56"/>
        <v>521.08930654229312</v>
      </c>
      <c r="M86" s="72">
        <f t="shared" si="56"/>
        <v>541.93287880398486</v>
      </c>
      <c r="N86" s="72">
        <f t="shared" si="56"/>
        <v>558.19086516810444</v>
      </c>
      <c r="O86" s="72">
        <f t="shared" si="56"/>
        <v>569.35468247146639</v>
      </c>
      <c r="P86" s="16"/>
    </row>
    <row r="87" spans="1:26" ht="15" customHeight="1" x14ac:dyDescent="0.25">
      <c r="A87" s="37"/>
      <c r="B87" s="71" t="s">
        <v>72</v>
      </c>
      <c r="C87" s="72"/>
      <c r="D87" s="72"/>
      <c r="E87" s="72"/>
      <c r="F87" s="71"/>
      <c r="G87" s="72">
        <f>$F$10*G86</f>
        <v>4088.6096625000005</v>
      </c>
      <c r="H87" s="72">
        <f t="shared" ref="H87:O87" si="57">$F$10*H86</f>
        <v>4456.5845321250008</v>
      </c>
      <c r="I87" s="72">
        <f t="shared" si="57"/>
        <v>4813.1112946950007</v>
      </c>
      <c r="J87" s="72">
        <f t="shared" si="57"/>
        <v>5150.0290853236529</v>
      </c>
      <c r="K87" s="72">
        <f t="shared" si="57"/>
        <v>5459.030830443071</v>
      </c>
      <c r="L87" s="72">
        <f t="shared" si="57"/>
        <v>5731.982371965224</v>
      </c>
      <c r="M87" s="72">
        <f t="shared" si="57"/>
        <v>5961.2616668438332</v>
      </c>
      <c r="N87" s="72">
        <f t="shared" si="57"/>
        <v>6140.099516849149</v>
      </c>
      <c r="O87" s="72">
        <f t="shared" si="57"/>
        <v>6262.9015071861304</v>
      </c>
      <c r="P87" s="16"/>
    </row>
    <row r="88" spans="1:26" ht="15" customHeight="1" x14ac:dyDescent="0.25">
      <c r="A88" s="37"/>
      <c r="B88" s="71" t="s">
        <v>30</v>
      </c>
      <c r="C88" s="72"/>
      <c r="D88" s="72"/>
      <c r="E88" s="72"/>
      <c r="F88" s="72"/>
      <c r="G88" s="72">
        <f t="shared" ref="G88:O88" ca="1" si="58">G73-G63-G70</f>
        <v>-1585.4744475475984</v>
      </c>
      <c r="H88" s="72">
        <f t="shared" ca="1" si="58"/>
        <v>-1445.4250737894743</v>
      </c>
      <c r="I88" s="72">
        <f t="shared" ca="1" si="58"/>
        <v>-1280.4708545507096</v>
      </c>
      <c r="J88" s="72">
        <f t="shared" ca="1" si="58"/>
        <v>-1088.886332674665</v>
      </c>
      <c r="K88" s="72">
        <f t="shared" ca="1" si="58"/>
        <v>-870.45482795613361</v>
      </c>
      <c r="L88" s="72">
        <f t="shared" ca="1" si="58"/>
        <v>-625.41360457876385</v>
      </c>
      <c r="M88" s="72">
        <f t="shared" ca="1" si="58"/>
        <v>-352.68809488528535</v>
      </c>
      <c r="N88" s="72">
        <f t="shared" ca="1" si="58"/>
        <v>-50.821980553006654</v>
      </c>
      <c r="O88" s="72">
        <f t="shared" ca="1" si="58"/>
        <v>270.68842485036004</v>
      </c>
      <c r="P88" s="16"/>
    </row>
    <row r="89" spans="1:26" ht="15" customHeight="1" x14ac:dyDescent="0.25">
      <c r="A89" s="37"/>
      <c r="B89" s="71" t="s">
        <v>102</v>
      </c>
      <c r="C89" s="72"/>
      <c r="D89" s="72"/>
      <c r="E89" s="72"/>
      <c r="F89" s="72"/>
      <c r="G89" s="72">
        <f ca="1">SUM(G87:G88)</f>
        <v>2503.1352149524018</v>
      </c>
      <c r="H89" s="72">
        <f t="shared" ref="H89:O89" ca="1" si="59">SUM(H87:H88)</f>
        <v>3011.1594583355263</v>
      </c>
      <c r="I89" s="72">
        <f t="shared" ca="1" si="59"/>
        <v>3532.640440144291</v>
      </c>
      <c r="J89" s="72">
        <f t="shared" ca="1" si="59"/>
        <v>4061.1427526489879</v>
      </c>
      <c r="K89" s="72">
        <f t="shared" ca="1" si="59"/>
        <v>4588.5760024869378</v>
      </c>
      <c r="L89" s="72">
        <f t="shared" ca="1" si="59"/>
        <v>5106.5687673864604</v>
      </c>
      <c r="M89" s="72">
        <f t="shared" ca="1" si="59"/>
        <v>5608.5735719585482</v>
      </c>
      <c r="N89" s="72">
        <f t="shared" ca="1" si="59"/>
        <v>6089.277536296142</v>
      </c>
      <c r="O89" s="72">
        <f t="shared" ca="1" si="59"/>
        <v>6533.5899320364906</v>
      </c>
      <c r="P89" s="16"/>
    </row>
    <row r="90" spans="1:26" ht="15" customHeight="1" x14ac:dyDescent="0.25">
      <c r="A90" s="37"/>
      <c r="B90" s="72"/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16"/>
    </row>
    <row r="91" spans="1:26" ht="15" customHeight="1" x14ac:dyDescent="0.25">
      <c r="A91" s="37"/>
      <c r="B91" s="71" t="s">
        <v>103</v>
      </c>
      <c r="C91" s="72"/>
      <c r="D91" s="72"/>
      <c r="E91" s="72"/>
      <c r="F91" s="72">
        <f>-N9</f>
        <v>-1437.4430000000004</v>
      </c>
      <c r="G91" s="72">
        <f t="shared" ref="G91:O91" si="60">IF($F$18=G20,G89,0)</f>
        <v>0</v>
      </c>
      <c r="H91" s="72">
        <f t="shared" si="60"/>
        <v>0</v>
      </c>
      <c r="I91" s="72">
        <f t="shared" si="60"/>
        <v>0</v>
      </c>
      <c r="J91" s="72">
        <f t="shared" si="60"/>
        <v>0</v>
      </c>
      <c r="K91" s="72">
        <f t="shared" ca="1" si="60"/>
        <v>4588.5760024869378</v>
      </c>
      <c r="L91" s="72">
        <f t="shared" si="60"/>
        <v>0</v>
      </c>
      <c r="M91" s="72">
        <f t="shared" si="60"/>
        <v>0</v>
      </c>
      <c r="N91" s="72">
        <f t="shared" si="60"/>
        <v>0</v>
      </c>
      <c r="O91" s="72">
        <f t="shared" si="60"/>
        <v>0</v>
      </c>
      <c r="P91" s="16"/>
    </row>
    <row r="92" spans="1:26" ht="15" customHeight="1" x14ac:dyDescent="0.25">
      <c r="A92" s="37"/>
      <c r="B92" s="71" t="s">
        <v>104</v>
      </c>
      <c r="C92" s="72"/>
      <c r="D92" s="72"/>
      <c r="F92" s="78">
        <f ca="1">IRR(F91:O91)</f>
        <v>0.261297280777264</v>
      </c>
      <c r="G92" s="72"/>
      <c r="H92" s="72"/>
      <c r="I92" s="72"/>
      <c r="J92" s="72"/>
      <c r="K92" s="72"/>
      <c r="L92" s="72"/>
      <c r="M92" s="72"/>
      <c r="N92" s="72"/>
      <c r="O92" s="72"/>
      <c r="P92" s="16"/>
    </row>
    <row r="93" spans="1:26" ht="15" customHeight="1" x14ac:dyDescent="0.25">
      <c r="A93" s="37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</row>
    <row r="94" spans="1:26" ht="15" customHeight="1" x14ac:dyDescent="0.25">
      <c r="A94" s="37" t="s">
        <v>105</v>
      </c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</row>
    <row r="95" spans="1:26" ht="15" customHeight="1" x14ac:dyDescent="0.25">
      <c r="A95" s="37"/>
      <c r="B95" s="71" t="s">
        <v>106</v>
      </c>
      <c r="C95" s="72"/>
      <c r="D95" s="72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</row>
    <row r="96" spans="1:26" ht="15" customHeight="1" x14ac:dyDescent="0.25">
      <c r="A96" s="37"/>
      <c r="B96" s="72"/>
      <c r="C96" s="72"/>
      <c r="D96" s="100" t="s">
        <v>89</v>
      </c>
      <c r="E96" s="101"/>
      <c r="F96" s="101"/>
      <c r="G96" s="16"/>
      <c r="H96" s="16"/>
      <c r="I96" s="16"/>
      <c r="J96" s="16"/>
      <c r="K96" s="16"/>
      <c r="L96" s="16"/>
      <c r="M96" s="16"/>
      <c r="N96" s="16"/>
      <c r="O96" s="16"/>
      <c r="P96" s="16"/>
    </row>
    <row r="97" spans="1:16" ht="15" customHeight="1" x14ac:dyDescent="0.25">
      <c r="A97" s="37"/>
      <c r="B97" s="16"/>
      <c r="C97" s="81">
        <f ca="1">F92</f>
        <v>0.261297280777264</v>
      </c>
      <c r="D97" s="56">
        <v>3</v>
      </c>
      <c r="E97" s="56">
        <v>4</v>
      </c>
      <c r="F97" s="56">
        <v>5</v>
      </c>
      <c r="G97" s="16"/>
      <c r="H97" s="16"/>
      <c r="I97" s="16"/>
      <c r="J97" s="16"/>
      <c r="K97" s="16"/>
      <c r="L97" s="16"/>
      <c r="M97" s="16"/>
      <c r="N97" s="16"/>
      <c r="O97" s="16"/>
      <c r="P97" s="16"/>
    </row>
    <row r="98" spans="1:16" ht="15" customHeight="1" x14ac:dyDescent="0.25">
      <c r="A98" s="37"/>
      <c r="B98" s="16"/>
      <c r="C98" s="55">
        <v>9</v>
      </c>
      <c r="D98" s="39">
        <f t="dataTable" ref="D98:F115" dt2D="1" dtr="1" r1="F18" r2="F9" ca="1"/>
        <v>0.59584390120761865</v>
      </c>
      <c r="E98" s="39">
        <v>0.47021216188447412</v>
      </c>
      <c r="F98" s="39">
        <v>0.39479359238956335</v>
      </c>
      <c r="G98" s="16"/>
      <c r="H98" s="16"/>
      <c r="I98" s="16"/>
      <c r="J98" s="16"/>
      <c r="K98" s="16"/>
      <c r="L98" s="16"/>
      <c r="M98" s="16"/>
      <c r="N98" s="16"/>
      <c r="O98" s="16"/>
      <c r="P98" s="16"/>
    </row>
    <row r="99" spans="1:16" ht="15" customHeight="1" x14ac:dyDescent="0.25">
      <c r="A99" s="37"/>
      <c r="B99" s="16"/>
      <c r="C99" s="55">
        <f t="shared" ref="C99:C115" si="61">C98+0.5</f>
        <v>9.5</v>
      </c>
      <c r="D99" s="39">
        <v>0.51731914088026731</v>
      </c>
      <c r="E99" s="39">
        <v>0.41561418952733553</v>
      </c>
      <c r="F99" s="39">
        <v>0.35319959932294576</v>
      </c>
      <c r="G99" s="16"/>
      <c r="H99" s="16"/>
      <c r="I99" s="16"/>
      <c r="J99" s="16"/>
      <c r="K99" s="16"/>
      <c r="L99" s="16"/>
      <c r="M99" s="16"/>
      <c r="N99" s="16"/>
      <c r="O99" s="16"/>
      <c r="P99" s="16"/>
    </row>
    <row r="100" spans="1:16" ht="15" customHeight="1" x14ac:dyDescent="0.25">
      <c r="A100" s="37"/>
      <c r="B100" s="16"/>
      <c r="C100" s="55">
        <f t="shared" si="61"/>
        <v>10</v>
      </c>
      <c r="D100" s="39">
        <v>0.45227417894207322</v>
      </c>
      <c r="E100" s="39">
        <v>0.36985205845672287</v>
      </c>
      <c r="F100" s="39">
        <v>0.31808940197117153</v>
      </c>
      <c r="G100" s="16"/>
      <c r="H100" s="16"/>
      <c r="I100" s="16"/>
      <c r="J100" s="16"/>
      <c r="K100" s="16"/>
      <c r="L100" s="16"/>
      <c r="M100" s="16"/>
      <c r="N100" s="16"/>
      <c r="O100" s="16"/>
      <c r="P100" s="16"/>
    </row>
    <row r="101" spans="1:16" ht="15" customHeight="1" x14ac:dyDescent="0.25">
      <c r="A101" s="37"/>
      <c r="B101" s="16"/>
      <c r="C101" s="55">
        <f t="shared" si="61"/>
        <v>10.5</v>
      </c>
      <c r="D101" s="39">
        <v>0.39711886383186878</v>
      </c>
      <c r="E101" s="39">
        <v>0.33064504844295173</v>
      </c>
      <c r="F101" s="39">
        <v>0.28782162234008291</v>
      </c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16" ht="15" customHeight="1" x14ac:dyDescent="0.25">
      <c r="A102" s="37"/>
      <c r="B102" s="16"/>
      <c r="C102" s="55">
        <f t="shared" si="61"/>
        <v>11</v>
      </c>
      <c r="D102" s="39">
        <v>0.34948978442101675</v>
      </c>
      <c r="E102" s="39">
        <v>0.29647577365343381</v>
      </c>
      <c r="F102" s="39">
        <v>0.261297280777264</v>
      </c>
      <c r="G102" s="16"/>
      <c r="H102" s="16"/>
      <c r="I102" s="16"/>
      <c r="J102" s="16"/>
      <c r="K102" s="16"/>
      <c r="L102" s="16"/>
      <c r="M102" s="16"/>
      <c r="N102" s="16"/>
      <c r="O102" s="16"/>
      <c r="P102" s="16"/>
    </row>
    <row r="103" spans="1:16" ht="15" customHeight="1" x14ac:dyDescent="0.25">
      <c r="A103" s="37"/>
      <c r="B103" s="16"/>
      <c r="C103" s="55">
        <f t="shared" si="61"/>
        <v>11.5</v>
      </c>
      <c r="D103" s="39">
        <v>0.30775577890057848</v>
      </c>
      <c r="E103" s="39">
        <v>0.26628712356012763</v>
      </c>
      <c r="F103" s="39">
        <v>0.23774644415424051</v>
      </c>
      <c r="G103" s="16"/>
      <c r="H103" s="16"/>
      <c r="I103" s="16"/>
      <c r="J103" s="16"/>
      <c r="K103" s="16"/>
      <c r="L103" s="16"/>
      <c r="M103" s="16"/>
      <c r="N103" s="16"/>
      <c r="O103" s="16"/>
      <c r="P103" s="16"/>
    </row>
    <row r="104" spans="1:16" ht="15" customHeight="1" x14ac:dyDescent="0.25">
      <c r="A104" s="37"/>
      <c r="B104" s="71" t="s">
        <v>107</v>
      </c>
      <c r="C104" s="55">
        <f t="shared" si="61"/>
        <v>12</v>
      </c>
      <c r="D104" s="39">
        <v>0.27074797794224947</v>
      </c>
      <c r="E104" s="39">
        <v>0.23931519725310579</v>
      </c>
      <c r="F104" s="39">
        <v>0.21660992488529307</v>
      </c>
      <c r="G104" s="16"/>
      <c r="H104" s="16"/>
      <c r="I104" s="16"/>
      <c r="J104" s="16"/>
      <c r="K104" s="16"/>
      <c r="L104" s="16"/>
      <c r="M104" s="16"/>
      <c r="N104" s="16"/>
      <c r="O104" s="16"/>
      <c r="P104" s="16"/>
    </row>
    <row r="105" spans="1:16" ht="15" customHeight="1" x14ac:dyDescent="0.25">
      <c r="A105" s="37"/>
      <c r="B105" s="16"/>
      <c r="C105" s="55">
        <f t="shared" si="61"/>
        <v>12.5</v>
      </c>
      <c r="D105" s="39">
        <v>0.23760277311624911</v>
      </c>
      <c r="E105" s="39">
        <v>0.21499127773559401</v>
      </c>
      <c r="F105" s="39">
        <v>0.19746950651253892</v>
      </c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25">
      <c r="A106" s="37"/>
      <c r="B106" s="16"/>
      <c r="C106" s="55">
        <f t="shared" si="61"/>
        <v>13</v>
      </c>
      <c r="D106" s="39">
        <v>0.20766568068734359</v>
      </c>
      <c r="E106" s="39">
        <v>0.19288134915838384</v>
      </c>
      <c r="F106" s="39">
        <v>0.18000469015221698</v>
      </c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25">
      <c r="A107" s="37"/>
      <c r="B107" s="16"/>
      <c r="C107" s="55">
        <f t="shared" si="61"/>
        <v>13.5</v>
      </c>
      <c r="D107" s="39">
        <v>0.18042995260871653</v>
      </c>
      <c r="E107" s="39">
        <v>0.17264719892154656</v>
      </c>
      <c r="F107" s="39">
        <v>0.16396475812815847</v>
      </c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25">
      <c r="A108" s="37"/>
      <c r="B108" s="16"/>
      <c r="C108" s="55">
        <f t="shared" si="61"/>
        <v>14</v>
      </c>
      <c r="D108" s="39">
        <v>0.15549596448047764</v>
      </c>
      <c r="E108" s="92">
        <v>0.15402051579455134</v>
      </c>
      <c r="F108" s="39">
        <v>0.14915009815041569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25">
      <c r="A109" s="37"/>
      <c r="B109" s="16"/>
      <c r="C109" s="55">
        <f t="shared" si="61"/>
        <v>14.5</v>
      </c>
      <c r="D109" s="39">
        <v>0.13254352681202652</v>
      </c>
      <c r="E109" s="39">
        <v>0.13678512317294267</v>
      </c>
      <c r="F109" s="39">
        <v>0.13539934655645447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25">
      <c r="A110" s="37"/>
      <c r="B110" s="16"/>
      <c r="C110" s="55">
        <f t="shared" si="61"/>
        <v>15</v>
      </c>
      <c r="D110" s="39">
        <v>0.11131251032419764</v>
      </c>
      <c r="E110" s="39">
        <v>0.12076447686695602</v>
      </c>
      <c r="F110" s="39">
        <v>0.12258031052656615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25">
      <c r="A111" s="37"/>
      <c r="B111" s="16"/>
      <c r="C111" s="55">
        <f t="shared" si="61"/>
        <v>15.5</v>
      </c>
      <c r="D111" s="39">
        <v>9.158897832442503E-2</v>
      </c>
      <c r="E111" s="39">
        <v>0.10581266925033339</v>
      </c>
      <c r="F111" s="39">
        <v>0.11058341560236684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25">
      <c r="A112" s="37"/>
      <c r="B112" s="16"/>
      <c r="C112" s="55">
        <f t="shared" si="61"/>
        <v>16</v>
      </c>
      <c r="D112" s="39">
        <v>7.3195061145300722E-2</v>
      </c>
      <c r="E112" s="39">
        <v>9.1807828248552381E-2</v>
      </c>
      <c r="F112" s="39">
        <v>9.9316883212352547E-2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25">
      <c r="A113" s="37"/>
      <c r="B113" s="16"/>
      <c r="C113" s="55">
        <f t="shared" si="61"/>
        <v>16.5</v>
      </c>
      <c r="D113" s="39">
        <v>5.5981431136926663E-2</v>
      </c>
      <c r="E113" s="39">
        <v>7.8647188718766303E-2</v>
      </c>
      <c r="F113" s="39">
        <v>8.8703119971890176E-2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25">
      <c r="A114" s="37"/>
      <c r="B114" s="16"/>
      <c r="C114" s="55">
        <f t="shared" si="61"/>
        <v>17</v>
      </c>
      <c r="D114" s="39">
        <v>3.982162143650414E-2</v>
      </c>
      <c r="E114" s="39">
        <v>6.6243354961282197E-2</v>
      </c>
      <c r="F114" s="39">
        <v>7.8675972272161721E-2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25">
      <c r="A115" s="37"/>
      <c r="B115" s="16"/>
      <c r="C115" s="55">
        <f t="shared" si="61"/>
        <v>17.5</v>
      </c>
      <c r="D115" s="39">
        <v>2.4607675558701247E-2</v>
      </c>
      <c r="E115" s="39">
        <v>5.452142669908322E-2</v>
      </c>
      <c r="F115" s="39">
        <v>6.9178609872962982E-2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25">
      <c r="A116" s="37"/>
      <c r="B116" s="16"/>
      <c r="C116" s="16"/>
      <c r="D116" s="39"/>
      <c r="E116" s="39"/>
      <c r="F116" s="39"/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25">
      <c r="A117" s="37" t="s">
        <v>32</v>
      </c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</sheetData>
  <printOptions headings="1" gridLines="1"/>
  <pageMargins left="0.23622047244094491" right="0.23622047244094491" top="0.74803149606299213" bottom="0.74803149606299213" header="0.31496062992125984" footer="0.31496062992125984"/>
  <pageSetup paperSize="9" scale="48" fitToHeight="0" orientation="landscape" r:id="rId1"/>
  <headerFooter>
    <oddHeader>&amp;R&amp;F  &amp;A</oddHeader>
    <oddFooter>&amp;L© 2016&amp;CPage &amp;P of</oddFooter>
  </headerFooter>
  <rowBreaks count="2" manualBreakCount="2">
    <brk id="58" max="15" man="1"/>
    <brk id="93" max="1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ED7D2-D5F8-4748-86A0-CF3BAC615350}">
  <sheetPr>
    <tabColor theme="6"/>
    <pageSetUpPr fitToPage="1"/>
  </sheetPr>
  <dimension ref="A1:P42"/>
  <sheetViews>
    <sheetView zoomScaleNormal="100" workbookViewId="0">
      <pane xSplit="2" ySplit="3" topLeftCell="C4" activePane="bottomRight" state="frozen"/>
      <selection activeCell="B36" sqref="B36"/>
      <selection pane="topRight" activeCell="B36" sqref="B36"/>
      <selection pane="bottomLeft" activeCell="B36" sqref="B36"/>
      <selection pane="bottomRight"/>
    </sheetView>
  </sheetViews>
  <sheetFormatPr defaultColWidth="9" defaultRowHeight="15" x14ac:dyDescent="0.25"/>
  <cols>
    <col min="1" max="1" width="1.5703125" style="83" customWidth="1"/>
    <col min="2" max="2" width="49.42578125" style="83" customWidth="1"/>
    <col min="3" max="3" width="10.28515625" style="83" customWidth="1"/>
    <col min="4" max="4" width="18.7109375" style="83" customWidth="1"/>
    <col min="5" max="15" width="10.28515625" style="83" customWidth="1"/>
    <col min="16" max="16384" width="9" style="83"/>
  </cols>
  <sheetData>
    <row r="1" spans="1:15" ht="45" customHeight="1" x14ac:dyDescent="0.45">
      <c r="A1" s="82" t="str">
        <f>Info!N5&amp;" LBO - Add-On Acquisition"</f>
        <v>Talisman LBO - Add-On Acquisition</v>
      </c>
      <c r="B1" s="94"/>
      <c r="C1" s="94"/>
      <c r="D1" s="94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</row>
    <row r="2" spans="1:15" ht="15" customHeight="1" x14ac:dyDescent="0.35">
      <c r="A2" s="84"/>
      <c r="B2" s="85"/>
      <c r="C2" s="1"/>
      <c r="D2" s="104" t="s">
        <v>164</v>
      </c>
      <c r="E2" s="104" t="s">
        <v>164</v>
      </c>
      <c r="F2" s="104" t="s">
        <v>164</v>
      </c>
      <c r="G2" s="104" t="s">
        <v>163</v>
      </c>
      <c r="H2" s="104" t="s">
        <v>163</v>
      </c>
      <c r="I2" s="104" t="s">
        <v>163</v>
      </c>
      <c r="J2" s="104" t="s">
        <v>163</v>
      </c>
      <c r="K2" s="104" t="s">
        <v>163</v>
      </c>
      <c r="L2" s="104" t="s">
        <v>163</v>
      </c>
      <c r="M2" s="104" t="s">
        <v>163</v>
      </c>
      <c r="N2" s="104" t="s">
        <v>163</v>
      </c>
      <c r="O2" s="104" t="s">
        <v>163</v>
      </c>
    </row>
    <row r="3" spans="1:15" ht="15" customHeight="1" x14ac:dyDescent="0.35">
      <c r="A3" s="84"/>
      <c r="B3" s="85"/>
      <c r="C3" s="1"/>
      <c r="D3" s="104">
        <f>'LBO add-on'!D3</f>
        <v>44196</v>
      </c>
      <c r="E3" s="104">
        <f>'LBO add-on'!E3</f>
        <v>44561</v>
      </c>
      <c r="F3" s="104">
        <f>'LBO add-on'!F3</f>
        <v>44926</v>
      </c>
      <c r="G3" s="104">
        <f>'LBO add-on'!G3</f>
        <v>45291</v>
      </c>
      <c r="H3" s="104">
        <f>'LBO add-on'!H3</f>
        <v>45657</v>
      </c>
      <c r="I3" s="104">
        <f>'LBO add-on'!I3</f>
        <v>46022</v>
      </c>
      <c r="J3" s="104">
        <f>'LBO add-on'!J3</f>
        <v>46387</v>
      </c>
      <c r="K3" s="104">
        <f>'LBO add-on'!K3</f>
        <v>46752</v>
      </c>
      <c r="L3" s="104">
        <f>'LBO add-on'!L3</f>
        <v>47118</v>
      </c>
      <c r="M3" s="104">
        <f>'LBO add-on'!M3</f>
        <v>47483</v>
      </c>
      <c r="N3" s="104">
        <f>'LBO add-on'!N3</f>
        <v>47848</v>
      </c>
      <c r="O3" s="104">
        <f>'LBO add-on'!O3</f>
        <v>48213</v>
      </c>
    </row>
    <row r="4" spans="1:15" x14ac:dyDescent="0.25">
      <c r="A4" s="71" t="str">
        <f>"All numbers in "&amp;Info!$N$7&amp;LOWER(LEFT(Info!$N$8,1))&amp;" unless otherwise stated"</f>
        <v>All numbers in EURm unless otherwise stated</v>
      </c>
    </row>
    <row r="6" spans="1:15" ht="15.75" x14ac:dyDescent="0.25">
      <c r="A6" s="86" t="s">
        <v>211</v>
      </c>
      <c r="E6" s="95" t="s">
        <v>77</v>
      </c>
      <c r="K6" s="71" t="s">
        <v>209</v>
      </c>
      <c r="L6" s="87" t="s">
        <v>166</v>
      </c>
    </row>
    <row r="7" spans="1:15" x14ac:dyDescent="0.25">
      <c r="A7" s="86"/>
      <c r="B7" s="83" t="s">
        <v>228</v>
      </c>
      <c r="C7" s="96">
        <v>5</v>
      </c>
      <c r="E7" s="83" t="s">
        <v>72</v>
      </c>
      <c r="G7">
        <f>C10</f>
        <v>0</v>
      </c>
      <c r="H7" s="83" t="s">
        <v>81</v>
      </c>
      <c r="J7">
        <f>K7*C9</f>
        <v>0</v>
      </c>
      <c r="K7" s="102">
        <v>5</v>
      </c>
      <c r="L7" s="103">
        <v>0.06</v>
      </c>
    </row>
    <row r="8" spans="1:15" x14ac:dyDescent="0.25">
      <c r="B8" s="83" t="s">
        <v>165</v>
      </c>
      <c r="C8" s="102">
        <v>6</v>
      </c>
      <c r="E8" s="83" t="s">
        <v>78</v>
      </c>
      <c r="G8">
        <f>C11*G7</f>
        <v>0</v>
      </c>
      <c r="H8" s="83" t="s">
        <v>64</v>
      </c>
      <c r="J8">
        <f>G9-J7</f>
        <v>0</v>
      </c>
      <c r="K8" s="88"/>
    </row>
    <row r="9" spans="1:15" x14ac:dyDescent="0.25">
      <c r="B9" s="83" t="s">
        <v>60</v>
      </c>
      <c r="C9" s="83" cm="1">
        <f t="array" ref="C9">INDEX(G26:O26,,C7)</f>
        <v>0</v>
      </c>
      <c r="E9" s="83" t="s">
        <v>210</v>
      </c>
      <c r="G9">
        <f>SUM(G7:G8)</f>
        <v>0</v>
      </c>
      <c r="H9" s="83" t="s">
        <v>167</v>
      </c>
      <c r="J9">
        <f>SUM(J7:J8)</f>
        <v>0</v>
      </c>
      <c r="K9" s="88"/>
    </row>
    <row r="10" spans="1:15" x14ac:dyDescent="0.25">
      <c r="B10" s="83" t="s">
        <v>76</v>
      </c>
      <c r="C10" s="83">
        <f>+C8*C9</f>
        <v>0</v>
      </c>
    </row>
    <row r="11" spans="1:15" x14ac:dyDescent="0.25">
      <c r="B11" s="83" t="s">
        <v>78</v>
      </c>
      <c r="C11" s="70">
        <v>0.03</v>
      </c>
    </row>
    <row r="12" spans="1:15" x14ac:dyDescent="0.25">
      <c r="H12" s="87"/>
      <c r="I12" s="87"/>
    </row>
    <row r="13" spans="1:15" x14ac:dyDescent="0.25">
      <c r="B13" s="77" t="s">
        <v>101</v>
      </c>
      <c r="G13" s="83">
        <f>F13+1</f>
        <v>1</v>
      </c>
      <c r="H13" s="83">
        <f t="shared" ref="H13:O13" si="0">G13+1</f>
        <v>2</v>
      </c>
      <c r="I13" s="83">
        <f t="shared" si="0"/>
        <v>3</v>
      </c>
      <c r="J13" s="83">
        <f t="shared" si="0"/>
        <v>4</v>
      </c>
      <c r="K13" s="83">
        <f t="shared" si="0"/>
        <v>5</v>
      </c>
      <c r="L13" s="83">
        <f t="shared" si="0"/>
        <v>6</v>
      </c>
      <c r="M13" s="83">
        <f t="shared" si="0"/>
        <v>7</v>
      </c>
      <c r="N13" s="83">
        <f t="shared" si="0"/>
        <v>8</v>
      </c>
      <c r="O13" s="83">
        <f t="shared" si="0"/>
        <v>9</v>
      </c>
    </row>
    <row r="14" spans="1:15" x14ac:dyDescent="0.25">
      <c r="H14" s="87"/>
      <c r="I14" s="87"/>
    </row>
    <row r="15" spans="1:15" ht="15.75" x14ac:dyDescent="0.25">
      <c r="A15" s="89" t="s">
        <v>212</v>
      </c>
      <c r="B15" s="77"/>
    </row>
    <row r="16" spans="1:15" ht="15.75" x14ac:dyDescent="0.25">
      <c r="A16" s="89"/>
      <c r="B16" s="77" t="s">
        <v>61</v>
      </c>
      <c r="E16" s="69">
        <f>E25/D25-1</f>
        <v>2.9398543558392554E-2</v>
      </c>
      <c r="F16" s="69">
        <f>F25/E25-1</f>
        <v>4.1921397379912628E-2</v>
      </c>
      <c r="G16" s="70">
        <v>0.05</v>
      </c>
      <c r="H16" s="70">
        <v>0.04</v>
      </c>
      <c r="I16" s="70">
        <v>0.03</v>
      </c>
      <c r="J16" s="70">
        <v>0.03</v>
      </c>
      <c r="K16" s="70">
        <v>2.5000000000000001E-2</v>
      </c>
      <c r="L16" s="70">
        <v>2.5000000000000001E-2</v>
      </c>
      <c r="M16" s="70">
        <v>2.5000000000000001E-2</v>
      </c>
      <c r="N16" s="70">
        <v>2.5000000000000001E-2</v>
      </c>
      <c r="O16" s="70">
        <v>2.5000000000000001E-2</v>
      </c>
    </row>
    <row r="17" spans="1:16" ht="15.75" x14ac:dyDescent="0.25">
      <c r="A17" s="89"/>
      <c r="B17" s="77" t="s">
        <v>31</v>
      </c>
      <c r="D17" s="69">
        <f>+D26/D25</f>
        <v>0.2104573534889097</v>
      </c>
      <c r="E17" s="69">
        <f>+E26/E25</f>
        <v>0.20456781035558322</v>
      </c>
      <c r="F17" s="69">
        <f>+F26/F25</f>
        <v>0.20704107292539817</v>
      </c>
      <c r="G17" s="70">
        <v>0.22500000000000001</v>
      </c>
      <c r="H17" s="70">
        <v>0.22500000000000001</v>
      </c>
      <c r="I17" s="70">
        <v>0.22500000000000001</v>
      </c>
      <c r="J17" s="70">
        <v>0.22500000000000001</v>
      </c>
      <c r="K17" s="70">
        <v>0.22500000000000001</v>
      </c>
      <c r="L17" s="70">
        <v>0.22500000000000001</v>
      </c>
      <c r="M17" s="70">
        <v>0.22500000000000001</v>
      </c>
      <c r="N17" s="70">
        <v>0.22500000000000001</v>
      </c>
      <c r="O17" s="70">
        <v>0.22500000000000001</v>
      </c>
    </row>
    <row r="18" spans="1:16" ht="15.75" x14ac:dyDescent="0.25">
      <c r="A18" s="89"/>
      <c r="B18" s="77" t="s">
        <v>159</v>
      </c>
      <c r="E18" s="90">
        <f>+E32/E25</f>
        <v>0</v>
      </c>
      <c r="F18" s="90">
        <f>+F32/F25</f>
        <v>0</v>
      </c>
      <c r="G18" s="70">
        <v>0.1</v>
      </c>
      <c r="H18" s="70">
        <v>0.1</v>
      </c>
      <c r="I18" s="70">
        <v>0.1</v>
      </c>
      <c r="J18" s="70">
        <v>0.1</v>
      </c>
      <c r="K18" s="70">
        <v>0.1</v>
      </c>
      <c r="L18" s="70">
        <v>0.1</v>
      </c>
      <c r="M18" s="70">
        <v>0.1</v>
      </c>
      <c r="N18" s="70">
        <v>0.1</v>
      </c>
      <c r="O18" s="70">
        <v>0.1</v>
      </c>
    </row>
    <row r="19" spans="1:16" ht="15.75" x14ac:dyDescent="0.25">
      <c r="A19" s="89"/>
      <c r="B19" s="77" t="s">
        <v>168</v>
      </c>
      <c r="E19" s="69">
        <f>+E27/E25</f>
        <v>3.7554585152838424E-2</v>
      </c>
      <c r="F19" s="69">
        <f>+F27/F25</f>
        <v>3.8558256496228002E-2</v>
      </c>
      <c r="G19" s="70">
        <v>3.5000000000000003E-2</v>
      </c>
      <c r="H19" s="70">
        <v>0.04</v>
      </c>
      <c r="I19" s="70">
        <v>0.04</v>
      </c>
      <c r="J19" s="70">
        <v>0.04</v>
      </c>
      <c r="K19" s="70">
        <v>0.04</v>
      </c>
      <c r="L19" s="70">
        <v>0.04</v>
      </c>
      <c r="M19" s="70">
        <v>0.04</v>
      </c>
      <c r="N19" s="70">
        <v>0.04</v>
      </c>
      <c r="O19" s="70">
        <v>0.04</v>
      </c>
    </row>
    <row r="20" spans="1:16" ht="15.75" x14ac:dyDescent="0.25">
      <c r="A20" s="89"/>
      <c r="B20" s="77" t="s">
        <v>214</v>
      </c>
      <c r="E20" s="69">
        <f>+E28/E27</f>
        <v>0.93023255813953487</v>
      </c>
      <c r="F20" s="69">
        <f>+F28/F27</f>
        <v>0.9565217391304347</v>
      </c>
      <c r="G20" s="70">
        <v>0.96</v>
      </c>
      <c r="H20" s="70">
        <v>0.96</v>
      </c>
      <c r="I20" s="70">
        <v>0.96</v>
      </c>
      <c r="J20" s="70">
        <v>0.96</v>
      </c>
      <c r="K20" s="70">
        <v>0.96</v>
      </c>
      <c r="L20" s="70">
        <v>0.96</v>
      </c>
      <c r="M20" s="70">
        <v>0.96</v>
      </c>
      <c r="N20" s="70">
        <v>0.96</v>
      </c>
      <c r="O20" s="70">
        <v>0.96</v>
      </c>
    </row>
    <row r="21" spans="1:16" ht="15.75" x14ac:dyDescent="0.25">
      <c r="A21" s="89"/>
      <c r="B21" s="77" t="s">
        <v>169</v>
      </c>
      <c r="E21" s="69"/>
      <c r="F21" s="69"/>
      <c r="G21" s="70">
        <v>0.03</v>
      </c>
      <c r="H21" s="70">
        <v>0.05</v>
      </c>
      <c r="I21" s="70">
        <v>7.4999999999999997E-2</v>
      </c>
      <c r="J21" s="70">
        <v>7.4999999999999997E-2</v>
      </c>
      <c r="K21" s="70">
        <v>7.4999999999999997E-2</v>
      </c>
      <c r="L21" s="70">
        <v>7.4999999999999997E-2</v>
      </c>
      <c r="M21" s="70">
        <v>7.4999999999999997E-2</v>
      </c>
      <c r="N21" s="70">
        <v>7.4999999999999997E-2</v>
      </c>
      <c r="O21" s="70">
        <v>7.4999999999999997E-2</v>
      </c>
    </row>
    <row r="22" spans="1:16" customFormat="1" ht="15.75" x14ac:dyDescent="0.25">
      <c r="A22" s="89"/>
      <c r="B22" s="77" t="s">
        <v>218</v>
      </c>
      <c r="C22" s="83"/>
      <c r="D22" s="83"/>
      <c r="E22" s="69"/>
      <c r="F22" s="69"/>
      <c r="G22" s="106"/>
      <c r="H22" s="106"/>
      <c r="I22" s="106"/>
      <c r="J22" s="106"/>
      <c r="K22" s="106"/>
      <c r="L22" s="106"/>
      <c r="M22" s="106"/>
      <c r="N22" s="106"/>
      <c r="O22" s="106"/>
      <c r="P22" s="83"/>
    </row>
    <row r="23" spans="1:16" ht="15.75" x14ac:dyDescent="0.25">
      <c r="A23" s="91"/>
      <c r="B23" s="77"/>
    </row>
    <row r="24" spans="1:16" ht="15.75" x14ac:dyDescent="0.25">
      <c r="A24" s="89" t="s">
        <v>213</v>
      </c>
      <c r="B24" s="77"/>
    </row>
    <row r="25" spans="1:16" ht="15.75" x14ac:dyDescent="0.25">
      <c r="A25" s="89"/>
      <c r="B25" s="77" t="s">
        <v>42</v>
      </c>
      <c r="D25" s="66">
        <v>111.23</v>
      </c>
      <c r="E25" s="66">
        <v>114.5</v>
      </c>
      <c r="F25" s="66">
        <v>119.3</v>
      </c>
    </row>
    <row r="26" spans="1:16" ht="15.75" x14ac:dyDescent="0.25">
      <c r="A26" s="89"/>
      <c r="B26" s="77" t="s">
        <v>24</v>
      </c>
      <c r="D26" s="66">
        <v>23.409171428571426</v>
      </c>
      <c r="E26" s="66">
        <v>23.423014285714277</v>
      </c>
      <c r="F26" s="66">
        <v>24.7</v>
      </c>
    </row>
    <row r="27" spans="1:16" ht="15.75" x14ac:dyDescent="0.25">
      <c r="A27" s="89"/>
      <c r="B27" s="77" t="s">
        <v>158</v>
      </c>
      <c r="D27" s="66"/>
      <c r="E27" s="66">
        <v>4.3</v>
      </c>
      <c r="F27" s="66">
        <v>4.6000000000000005</v>
      </c>
    </row>
    <row r="28" spans="1:16" ht="15.75" x14ac:dyDescent="0.25">
      <c r="A28" s="89"/>
      <c r="B28" s="77" t="s">
        <v>63</v>
      </c>
      <c r="D28" s="66">
        <v>3.7</v>
      </c>
      <c r="E28" s="66">
        <v>4</v>
      </c>
      <c r="F28" s="66">
        <v>4.4000000000000004</v>
      </c>
    </row>
    <row r="29" spans="1:16" ht="15.75" x14ac:dyDescent="0.25">
      <c r="A29" s="89"/>
      <c r="B29" s="77" t="s">
        <v>22</v>
      </c>
    </row>
    <row r="30" spans="1:16" ht="15.75" x14ac:dyDescent="0.25">
      <c r="A30" s="89"/>
      <c r="B30" s="77" t="s">
        <v>28</v>
      </c>
      <c r="E30" s="66">
        <v>23.114285714285717</v>
      </c>
      <c r="F30" s="66">
        <v>24.485714285714284</v>
      </c>
      <c r="G30" s="105"/>
      <c r="H30" s="105"/>
      <c r="I30" s="105"/>
      <c r="J30" s="105"/>
      <c r="K30" s="105"/>
      <c r="L30" s="105"/>
      <c r="M30" s="105"/>
      <c r="N30" s="105"/>
      <c r="O30" s="105"/>
    </row>
    <row r="31" spans="1:16" ht="15.75" x14ac:dyDescent="0.25">
      <c r="A31" s="89"/>
      <c r="B31" s="77" t="s">
        <v>29</v>
      </c>
      <c r="E31" s="66">
        <v>-12.200000000000001</v>
      </c>
      <c r="F31" s="66">
        <v>-14.242857142857144</v>
      </c>
      <c r="G31" s="105"/>
      <c r="H31" s="105"/>
      <c r="I31" s="105"/>
      <c r="J31" s="105"/>
      <c r="K31" s="105"/>
      <c r="L31" s="105"/>
      <c r="M31" s="105"/>
      <c r="N31" s="105"/>
      <c r="O31" s="105"/>
    </row>
    <row r="32" spans="1:16" ht="15.75" x14ac:dyDescent="0.25">
      <c r="A32" s="89"/>
      <c r="B32" s="77" t="s">
        <v>170</v>
      </c>
    </row>
    <row r="33" spans="1:15" ht="15.75" x14ac:dyDescent="0.25">
      <c r="A33" s="89"/>
      <c r="B33" s="77"/>
    </row>
    <row r="34" spans="1:15" ht="15.75" x14ac:dyDescent="0.25">
      <c r="A34" s="89" t="s">
        <v>216</v>
      </c>
    </row>
    <row r="35" spans="1:15" ht="15.75" x14ac:dyDescent="0.25">
      <c r="A35" s="89"/>
      <c r="B35" s="77" t="s">
        <v>42</v>
      </c>
      <c r="G35"/>
      <c r="H35"/>
      <c r="I35"/>
      <c r="J35"/>
      <c r="K35"/>
      <c r="L35"/>
      <c r="M35"/>
      <c r="N35"/>
      <c r="O35"/>
    </row>
    <row r="36" spans="1:15" x14ac:dyDescent="0.25">
      <c r="B36" s="77" t="s">
        <v>24</v>
      </c>
      <c r="G36"/>
      <c r="H36"/>
      <c r="I36"/>
      <c r="J36"/>
      <c r="K36"/>
      <c r="L36"/>
      <c r="M36"/>
      <c r="N36"/>
      <c r="O36"/>
    </row>
    <row r="37" spans="1:15" x14ac:dyDescent="0.25">
      <c r="B37" s="77" t="s">
        <v>74</v>
      </c>
      <c r="G37"/>
      <c r="H37"/>
      <c r="I37"/>
      <c r="J37"/>
      <c r="K37"/>
      <c r="L37"/>
      <c r="M37"/>
      <c r="N37"/>
      <c r="O37"/>
    </row>
    <row r="38" spans="1:15" x14ac:dyDescent="0.25">
      <c r="B38" s="77" t="s">
        <v>91</v>
      </c>
      <c r="G38"/>
      <c r="H38"/>
      <c r="I38"/>
      <c r="J38"/>
      <c r="K38"/>
      <c r="L38"/>
      <c r="M38"/>
      <c r="N38"/>
      <c r="O38"/>
    </row>
    <row r="39" spans="1:15" x14ac:dyDescent="0.25">
      <c r="B39" s="77" t="s">
        <v>63</v>
      </c>
      <c r="G39"/>
      <c r="H39"/>
      <c r="I39"/>
      <c r="J39"/>
      <c r="K39"/>
      <c r="L39"/>
      <c r="M39"/>
      <c r="N39"/>
      <c r="O39"/>
    </row>
    <row r="40" spans="1:15" x14ac:dyDescent="0.25">
      <c r="B40" s="77" t="s">
        <v>22</v>
      </c>
      <c r="G40"/>
      <c r="H40"/>
      <c r="I40"/>
      <c r="J40"/>
      <c r="K40"/>
      <c r="L40"/>
      <c r="M40"/>
      <c r="N40"/>
      <c r="O40"/>
    </row>
    <row r="41" spans="1:15" x14ac:dyDescent="0.25">
      <c r="B41" s="77" t="s">
        <v>158</v>
      </c>
      <c r="G41"/>
      <c r="H41"/>
      <c r="I41"/>
      <c r="J41"/>
      <c r="K41"/>
      <c r="L41"/>
      <c r="M41"/>
      <c r="N41"/>
      <c r="O41"/>
    </row>
    <row r="42" spans="1:15" x14ac:dyDescent="0.25">
      <c r="B42" s="77" t="s">
        <v>171</v>
      </c>
      <c r="G42"/>
      <c r="H42"/>
      <c r="I42"/>
      <c r="J42"/>
      <c r="K42"/>
      <c r="L42"/>
      <c r="M42"/>
      <c r="N42"/>
      <c r="O42"/>
    </row>
  </sheetData>
  <printOptions headings="1" gridLines="1"/>
  <pageMargins left="0.25" right="0.25" top="0.75" bottom="0.75" header="0.3" footer="0.3"/>
  <pageSetup paperSize="9" scale="6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6"/>
    <pageSetUpPr fitToPage="1"/>
  </sheetPr>
  <dimension ref="A1:Z134"/>
  <sheetViews>
    <sheetView zoomScaleNormal="100" workbookViewId="0">
      <pane xSplit="2" ySplit="3" topLeftCell="C4" activePane="bottomRight" state="frozen"/>
      <selection sqref="A1:O42"/>
      <selection pane="topRight" sqref="A1:O42"/>
      <selection pane="bottomLeft" sqref="A1:O42"/>
      <selection pane="bottomRight"/>
    </sheetView>
  </sheetViews>
  <sheetFormatPr defaultColWidth="12.5703125" defaultRowHeight="15" customHeight="1" x14ac:dyDescent="0.25"/>
  <cols>
    <col min="1" max="1" width="1.140625" customWidth="1"/>
    <col min="2" max="2" width="49.42578125" bestFit="1" customWidth="1"/>
    <col min="3" max="15" width="10.28515625" customWidth="1"/>
    <col min="16" max="16" width="29" bestFit="1" customWidth="1"/>
    <col min="17" max="26" width="8" customWidth="1"/>
  </cols>
  <sheetData>
    <row r="1" spans="1:26" ht="45" customHeight="1" x14ac:dyDescent="0.45">
      <c r="A1" s="94" t="str">
        <f>Info!N5&amp;" LBO Analysis &amp; Add-On Acquisition"</f>
        <v>Talisman LBO Analysis &amp; Add-On Acquisition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3">
      <c r="A2" s="48"/>
      <c r="B2" s="48"/>
      <c r="C2" s="48"/>
      <c r="D2" s="48" t="s">
        <v>164</v>
      </c>
      <c r="E2" s="48" t="s">
        <v>164</v>
      </c>
      <c r="F2" s="48" t="s">
        <v>164</v>
      </c>
      <c r="G2" s="48" t="s">
        <v>163</v>
      </c>
      <c r="H2" s="48" t="s">
        <v>163</v>
      </c>
      <c r="I2" s="48" t="s">
        <v>163</v>
      </c>
      <c r="J2" s="48" t="s">
        <v>163</v>
      </c>
      <c r="K2" s="48" t="s">
        <v>163</v>
      </c>
      <c r="L2" s="48" t="s">
        <v>163</v>
      </c>
      <c r="M2" s="48" t="s">
        <v>163</v>
      </c>
      <c r="N2" s="48" t="s">
        <v>163</v>
      </c>
      <c r="O2" s="48" t="s">
        <v>163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25">
      <c r="A3" s="48"/>
      <c r="B3" s="48"/>
      <c r="C3" s="51"/>
      <c r="D3" s="51">
        <f t="shared" ref="D3" si="0">DATE(YEAR(E3)-1,MONTH(E3),DAY(E3))</f>
        <v>44196</v>
      </c>
      <c r="E3" s="51">
        <f>DATE(YEAR(F3)-1,MONTH(F3),DAY(F3))</f>
        <v>44561</v>
      </c>
      <c r="F3" s="51">
        <v>44926</v>
      </c>
      <c r="G3" s="51">
        <v>45291</v>
      </c>
      <c r="H3" s="51">
        <f>DATE(YEAR(G3)+1,MONTH(G3),DAY(G3))</f>
        <v>45657</v>
      </c>
      <c r="I3" s="51">
        <f t="shared" ref="I3:O3" si="1">DATE(YEAR(H3)+1,MONTH(H3),DAY(H3))</f>
        <v>46022</v>
      </c>
      <c r="J3" s="51">
        <f t="shared" si="1"/>
        <v>46387</v>
      </c>
      <c r="K3" s="51">
        <f t="shared" si="1"/>
        <v>46752</v>
      </c>
      <c r="L3" s="51">
        <f t="shared" si="1"/>
        <v>47118</v>
      </c>
      <c r="M3" s="51">
        <f t="shared" si="1"/>
        <v>47483</v>
      </c>
      <c r="N3" s="51">
        <f t="shared" si="1"/>
        <v>47848</v>
      </c>
      <c r="O3" s="51">
        <f t="shared" si="1"/>
        <v>48213</v>
      </c>
    </row>
    <row r="4" spans="1:26" ht="15" customHeight="1" x14ac:dyDescent="0.25">
      <c r="A4" s="71" t="str">
        <f>"All numbers in "&amp;Info!$N$7&amp;LOWER(LEFT(Info!$N$8,1))&amp;" unless otherwise stated"</f>
        <v>All numbers in EURm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2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25">
      <c r="A6" s="71"/>
      <c r="B6" t="s">
        <v>185</v>
      </c>
      <c r="C6" s="96">
        <v>1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50"/>
    </row>
    <row r="7" spans="1:26" ht="15" customHeight="1" x14ac:dyDescent="0.25"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50"/>
    </row>
    <row r="8" spans="1:26" ht="15" customHeight="1" x14ac:dyDescent="0.25">
      <c r="A8" s="37" t="s">
        <v>154</v>
      </c>
      <c r="B8" s="16"/>
      <c r="C8" s="16"/>
      <c r="D8" s="16"/>
      <c r="E8" s="16"/>
      <c r="F8" s="16"/>
      <c r="G8" s="37" t="s">
        <v>77</v>
      </c>
      <c r="H8" s="16"/>
      <c r="I8" s="16"/>
      <c r="J8" s="16"/>
      <c r="K8" s="16"/>
      <c r="L8" s="16"/>
      <c r="M8" s="71" t="s">
        <v>208</v>
      </c>
      <c r="N8" s="16"/>
      <c r="O8" s="16"/>
      <c r="P8" s="50"/>
    </row>
    <row r="9" spans="1:26" ht="15" customHeight="1" x14ac:dyDescent="0.25">
      <c r="A9" s="37"/>
      <c r="B9" s="71" t="s">
        <v>60</v>
      </c>
      <c r="C9" s="16"/>
      <c r="E9" s="16"/>
      <c r="F9" s="72">
        <f>+F27</f>
        <v>281.3</v>
      </c>
      <c r="G9" s="71" t="s">
        <v>72</v>
      </c>
      <c r="H9" s="72"/>
      <c r="I9" s="72"/>
      <c r="J9" s="72">
        <f>+F9*F11</f>
        <v>3094.3</v>
      </c>
      <c r="K9" s="71" t="s">
        <v>81</v>
      </c>
      <c r="L9" s="16"/>
      <c r="M9" s="54">
        <v>4</v>
      </c>
      <c r="N9" s="72">
        <f>+M9*$F$9</f>
        <v>1125.2</v>
      </c>
      <c r="O9" s="16"/>
      <c r="P9" s="50"/>
    </row>
    <row r="10" spans="1:26" ht="15" customHeight="1" x14ac:dyDescent="0.25">
      <c r="A10" s="37"/>
      <c r="B10" s="71" t="s">
        <v>215</v>
      </c>
      <c r="C10" s="16"/>
      <c r="D10" s="16"/>
      <c r="E10" s="50"/>
      <c r="F10" s="54">
        <v>6</v>
      </c>
      <c r="G10" s="71" t="s">
        <v>78</v>
      </c>
      <c r="H10" s="72"/>
      <c r="I10" s="72"/>
      <c r="J10" s="72">
        <f>+F19*J9</f>
        <v>30.943000000000001</v>
      </c>
      <c r="K10" s="72" t="s">
        <v>83</v>
      </c>
      <c r="L10" s="16"/>
      <c r="M10" s="80">
        <f>+F10-M9</f>
        <v>2</v>
      </c>
      <c r="N10" s="72">
        <f>+M10*$F$9</f>
        <v>562.6</v>
      </c>
      <c r="O10" s="16"/>
      <c r="P10" s="16"/>
    </row>
    <row r="11" spans="1:26" ht="15" customHeight="1" x14ac:dyDescent="0.25">
      <c r="A11" s="37"/>
      <c r="B11" s="72" t="s">
        <v>84</v>
      </c>
      <c r="C11" s="16"/>
      <c r="D11" s="16"/>
      <c r="E11" s="40"/>
      <c r="F11" s="67">
        <v>11</v>
      </c>
      <c r="K11" s="71" t="s">
        <v>64</v>
      </c>
      <c r="L11" s="16"/>
      <c r="M11" s="16"/>
      <c r="N11" s="72">
        <f>+J12-N10-N9</f>
        <v>1437.4430000000004</v>
      </c>
      <c r="O11" s="16"/>
      <c r="P11" s="16"/>
    </row>
    <row r="12" spans="1:26" ht="15" customHeight="1" x14ac:dyDescent="0.25">
      <c r="A12" s="37"/>
      <c r="B12" s="72" t="s">
        <v>152</v>
      </c>
      <c r="F12" s="67">
        <v>11</v>
      </c>
      <c r="G12" s="71" t="s">
        <v>79</v>
      </c>
      <c r="H12" s="72"/>
      <c r="I12" s="72"/>
      <c r="J12" s="72">
        <f>SUM(J9:J10)</f>
        <v>3125.2430000000004</v>
      </c>
      <c r="K12" s="71" t="s">
        <v>80</v>
      </c>
      <c r="L12" s="16"/>
      <c r="M12" s="16"/>
      <c r="N12" s="72">
        <f>SUM(N9:N11)</f>
        <v>3125.2430000000004</v>
      </c>
      <c r="O12" s="16"/>
      <c r="P12" s="16"/>
    </row>
    <row r="13" spans="1:26" ht="15" customHeight="1" x14ac:dyDescent="0.25">
      <c r="A13" s="37"/>
      <c r="B13" s="72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25">
      <c r="A14" s="37"/>
      <c r="B14" s="71" t="s">
        <v>85</v>
      </c>
      <c r="C14" s="16"/>
      <c r="D14" s="16"/>
      <c r="F14" s="57">
        <v>2.4178000000000002E-2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25">
      <c r="A15" s="37"/>
      <c r="B15" s="71" t="s">
        <v>73</v>
      </c>
      <c r="C15" s="16"/>
      <c r="D15" s="16"/>
      <c r="F15" s="57">
        <v>2.5000000000000001E-2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26" ht="15" customHeight="1" x14ac:dyDescent="0.25">
      <c r="A16" s="37"/>
      <c r="B16" s="71" t="s">
        <v>86</v>
      </c>
      <c r="C16" s="16"/>
      <c r="D16" s="16"/>
      <c r="F16" s="79">
        <f>SUM(F14:F15)</f>
        <v>4.9177999999999999E-2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26" ht="15" customHeight="1" x14ac:dyDescent="0.25">
      <c r="A17" s="37"/>
      <c r="B17" s="72" t="s">
        <v>87</v>
      </c>
      <c r="C17" s="16"/>
      <c r="D17" s="16"/>
      <c r="F17" s="57">
        <v>7.0000000000000007E-2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ht="15" customHeight="1" x14ac:dyDescent="0.25">
      <c r="A18" s="37"/>
      <c r="B18" s="72" t="s">
        <v>62</v>
      </c>
      <c r="C18" s="16"/>
      <c r="D18" s="16"/>
      <c r="F18" s="57">
        <v>3.0000000000000001E-3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ht="15" customHeight="1" x14ac:dyDescent="0.25">
      <c r="A19" s="37"/>
      <c r="B19" s="71" t="s">
        <v>88</v>
      </c>
      <c r="C19" s="16"/>
      <c r="D19" s="16"/>
      <c r="F19" s="57">
        <v>0.01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25">
      <c r="A20" s="37"/>
      <c r="B20" s="71" t="s">
        <v>89</v>
      </c>
      <c r="C20" s="16"/>
      <c r="D20" s="16"/>
      <c r="F20" s="44">
        <v>5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26" ht="15" customHeight="1" x14ac:dyDescent="0.2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25">
      <c r="A22" s="37"/>
      <c r="B22" s="71" t="s">
        <v>101</v>
      </c>
      <c r="C22" s="72"/>
      <c r="D22" s="72"/>
      <c r="E22" s="72"/>
      <c r="G22" s="72">
        <f>F22+1</f>
        <v>1</v>
      </c>
      <c r="H22" s="72">
        <f t="shared" ref="H22:O22" si="2">G22+1</f>
        <v>2</v>
      </c>
      <c r="I22" s="72">
        <f t="shared" si="2"/>
        <v>3</v>
      </c>
      <c r="J22" s="72">
        <f t="shared" si="2"/>
        <v>4</v>
      </c>
      <c r="K22" s="72">
        <f t="shared" si="2"/>
        <v>5</v>
      </c>
      <c r="L22" s="72">
        <f t="shared" si="2"/>
        <v>6</v>
      </c>
      <c r="M22" s="72">
        <f t="shared" si="2"/>
        <v>7</v>
      </c>
      <c r="N22" s="72">
        <f t="shared" si="2"/>
        <v>8</v>
      </c>
      <c r="O22" s="72">
        <f t="shared" si="2"/>
        <v>9</v>
      </c>
      <c r="P22" s="16"/>
    </row>
    <row r="23" spans="1:26" ht="15" customHeight="1" x14ac:dyDescent="0.25">
      <c r="A23" s="37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</row>
    <row r="24" spans="1:26" ht="15" customHeight="1" x14ac:dyDescent="0.25">
      <c r="A24" s="37" t="s">
        <v>155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</row>
    <row r="25" spans="1:26" ht="15" customHeight="1" x14ac:dyDescent="0.25">
      <c r="A25" s="37"/>
      <c r="B25" s="72" t="s">
        <v>42</v>
      </c>
      <c r="C25" s="16"/>
      <c r="D25" s="75">
        <v>1168.595</v>
      </c>
      <c r="E25" s="75">
        <v>1317.9849999999999</v>
      </c>
      <c r="F25" s="75">
        <v>1469.1375</v>
      </c>
      <c r="G25">
        <f>(1+G26)*F25</f>
        <v>1616.0512500000002</v>
      </c>
      <c r="H25">
        <f t="shared" ref="H25:O25" si="3">(1+H26)*G25</f>
        <v>1761.4958625000004</v>
      </c>
      <c r="I25">
        <f t="shared" si="3"/>
        <v>1902.4155315000005</v>
      </c>
      <c r="J25">
        <f t="shared" si="3"/>
        <v>2035.5846187050006</v>
      </c>
      <c r="K25">
        <f t="shared" si="3"/>
        <v>2157.7196958273007</v>
      </c>
      <c r="L25">
        <f t="shared" si="3"/>
        <v>2265.6056806186657</v>
      </c>
      <c r="M25">
        <f t="shared" si="3"/>
        <v>2356.2299078434125</v>
      </c>
      <c r="N25">
        <f t="shared" si="3"/>
        <v>2426.9168050787148</v>
      </c>
      <c r="O25">
        <f t="shared" si="3"/>
        <v>2475.455141180289</v>
      </c>
      <c r="P25" s="16"/>
    </row>
    <row r="26" spans="1:26" ht="15" customHeight="1" x14ac:dyDescent="0.25">
      <c r="A26" s="37"/>
      <c r="B26" s="72" t="s">
        <v>156</v>
      </c>
      <c r="C26" s="16"/>
      <c r="D26" s="75"/>
      <c r="E26" s="76">
        <f>+E25/D25-1</f>
        <v>0.1278372746759997</v>
      </c>
      <c r="F26" s="76">
        <f>+F25/E25-1</f>
        <v>0.11468453738092621</v>
      </c>
      <c r="G26" s="70">
        <v>0.1</v>
      </c>
      <c r="H26" s="70">
        <f>G26-1%</f>
        <v>9.0000000000000011E-2</v>
      </c>
      <c r="I26" s="70">
        <f t="shared" ref="I26:O26" si="4">H26-1%</f>
        <v>8.0000000000000016E-2</v>
      </c>
      <c r="J26" s="70">
        <f t="shared" si="4"/>
        <v>7.0000000000000021E-2</v>
      </c>
      <c r="K26" s="70">
        <f t="shared" si="4"/>
        <v>6.0000000000000019E-2</v>
      </c>
      <c r="L26" s="70">
        <f t="shared" si="4"/>
        <v>5.0000000000000017E-2</v>
      </c>
      <c r="M26" s="70">
        <f t="shared" si="4"/>
        <v>4.0000000000000015E-2</v>
      </c>
      <c r="N26" s="70">
        <f t="shared" si="4"/>
        <v>3.0000000000000013E-2</v>
      </c>
      <c r="O26" s="70">
        <f t="shared" si="4"/>
        <v>2.0000000000000011E-2</v>
      </c>
      <c r="P26" s="16"/>
    </row>
    <row r="27" spans="1:26" ht="15" customHeight="1" x14ac:dyDescent="0.25">
      <c r="A27" s="37"/>
      <c r="B27" s="72" t="s">
        <v>24</v>
      </c>
      <c r="C27" s="16"/>
      <c r="D27" s="75">
        <v>250.96750000000009</v>
      </c>
      <c r="E27" s="75">
        <v>278.55749999999989</v>
      </c>
      <c r="F27" s="75">
        <v>281.3</v>
      </c>
      <c r="G27">
        <f>G28*G25</f>
        <v>339.37076250000001</v>
      </c>
      <c r="H27">
        <f t="shared" ref="H27:O27" si="5">H28*H25</f>
        <v>369.91413112500004</v>
      </c>
      <c r="I27">
        <f t="shared" si="5"/>
        <v>399.50726161500006</v>
      </c>
      <c r="J27">
        <f t="shared" si="5"/>
        <v>427.47276992805013</v>
      </c>
      <c r="K27">
        <f t="shared" si="5"/>
        <v>453.12113612373315</v>
      </c>
      <c r="L27">
        <f t="shared" si="5"/>
        <v>475.77719292991981</v>
      </c>
      <c r="M27">
        <f t="shared" si="5"/>
        <v>494.80828064711659</v>
      </c>
      <c r="N27">
        <f t="shared" si="5"/>
        <v>509.65252906653006</v>
      </c>
      <c r="O27">
        <f t="shared" si="5"/>
        <v>519.84557964786063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25">
      <c r="A28" s="37"/>
      <c r="B28" s="72" t="s">
        <v>31</v>
      </c>
      <c r="C28" s="16"/>
      <c r="D28" s="16"/>
      <c r="E28" s="73">
        <f>+E27/E25</f>
        <v>0.21135103965523122</v>
      </c>
      <c r="F28" s="73">
        <f>+F27/F25</f>
        <v>0.19147288800401596</v>
      </c>
      <c r="G28" s="52">
        <v>0.21</v>
      </c>
      <c r="H28" s="52">
        <f t="shared" ref="H28:O28" si="6">+G28</f>
        <v>0.21</v>
      </c>
      <c r="I28" s="52">
        <f t="shared" si="6"/>
        <v>0.21</v>
      </c>
      <c r="J28" s="52">
        <f t="shared" si="6"/>
        <v>0.21</v>
      </c>
      <c r="K28" s="52">
        <f t="shared" si="6"/>
        <v>0.21</v>
      </c>
      <c r="L28" s="52">
        <f t="shared" si="6"/>
        <v>0.21</v>
      </c>
      <c r="M28" s="52">
        <f t="shared" si="6"/>
        <v>0.21</v>
      </c>
      <c r="N28" s="52">
        <f t="shared" si="6"/>
        <v>0.21</v>
      </c>
      <c r="O28" s="52">
        <f t="shared" si="6"/>
        <v>0.21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25">
      <c r="A29" s="37"/>
      <c r="B29" s="72" t="s">
        <v>150</v>
      </c>
      <c r="C29" s="16"/>
      <c r="D29" s="16"/>
      <c r="E29" s="53"/>
      <c r="F29" s="53"/>
      <c r="G29" s="52">
        <v>0.02</v>
      </c>
      <c r="H29" s="52">
        <v>0.02</v>
      </c>
      <c r="I29" s="52">
        <v>0.02</v>
      </c>
      <c r="J29" s="52">
        <v>0.02</v>
      </c>
      <c r="K29" s="52">
        <v>0.02</v>
      </c>
      <c r="L29" s="52">
        <v>0.02</v>
      </c>
      <c r="M29" s="52">
        <v>0.02</v>
      </c>
      <c r="N29" s="52">
        <v>0.02</v>
      </c>
      <c r="O29" s="52">
        <v>0.02</v>
      </c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" customHeight="1" x14ac:dyDescent="0.25">
      <c r="A30" s="37"/>
      <c r="B30" s="72" t="s">
        <v>90</v>
      </c>
      <c r="C30" s="16"/>
      <c r="D30" s="16"/>
      <c r="E30" s="16"/>
      <c r="F30" s="16"/>
      <c r="G30" s="72">
        <f>G29*G25</f>
        <v>32.321025000000006</v>
      </c>
      <c r="H30" s="72">
        <f t="shared" ref="H30:O30" si="7">H29*H25</f>
        <v>35.229917250000007</v>
      </c>
      <c r="I30" s="72">
        <f t="shared" si="7"/>
        <v>38.04831063000001</v>
      </c>
      <c r="J30" s="72">
        <f t="shared" si="7"/>
        <v>40.711692374100011</v>
      </c>
      <c r="K30" s="72">
        <f t="shared" si="7"/>
        <v>43.154393916546013</v>
      </c>
      <c r="L30" s="72">
        <f t="shared" si="7"/>
        <v>45.312113612373317</v>
      </c>
      <c r="M30" s="72">
        <f t="shared" si="7"/>
        <v>47.124598156868252</v>
      </c>
      <c r="N30" s="72">
        <f t="shared" si="7"/>
        <v>48.538336101574295</v>
      </c>
      <c r="O30" s="72">
        <f t="shared" si="7"/>
        <v>49.50910282360578</v>
      </c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" customHeight="1" x14ac:dyDescent="0.25">
      <c r="A31" s="37"/>
      <c r="B31" s="71" t="s">
        <v>91</v>
      </c>
      <c r="C31" s="16"/>
      <c r="D31" s="16"/>
      <c r="E31" s="16"/>
      <c r="F31" s="16"/>
      <c r="G31" s="72">
        <f>G27+G30</f>
        <v>371.69178750000003</v>
      </c>
      <c r="H31" s="72">
        <f t="shared" ref="H31:O31" si="8">H27+H30</f>
        <v>405.14404837500007</v>
      </c>
      <c r="I31" s="72">
        <f t="shared" si="8"/>
        <v>437.55557224500006</v>
      </c>
      <c r="J31" s="72">
        <f t="shared" si="8"/>
        <v>468.18446230215011</v>
      </c>
      <c r="K31" s="72">
        <f t="shared" si="8"/>
        <v>496.27553004027914</v>
      </c>
      <c r="L31" s="72">
        <f t="shared" si="8"/>
        <v>521.08930654229312</v>
      </c>
      <c r="M31" s="72">
        <f t="shared" si="8"/>
        <v>541.93287880398486</v>
      </c>
      <c r="N31" s="72">
        <f t="shared" si="8"/>
        <v>558.19086516810432</v>
      </c>
      <c r="O31" s="72">
        <f t="shared" si="8"/>
        <v>569.35468247146639</v>
      </c>
      <c r="P31" s="16"/>
    </row>
    <row r="32" spans="1:26" ht="15" customHeight="1" x14ac:dyDescent="0.25">
      <c r="A32" s="36"/>
      <c r="B32" s="72" t="s">
        <v>151</v>
      </c>
      <c r="C32" s="16"/>
      <c r="D32" s="16"/>
      <c r="E32" s="16"/>
      <c r="F32" s="16"/>
      <c r="G32" s="73">
        <f>G31/G25</f>
        <v>0.22999999999999998</v>
      </c>
      <c r="H32" s="73">
        <f t="shared" ref="H32:O32" si="9">H31/H25</f>
        <v>0.22999999999999998</v>
      </c>
      <c r="I32" s="73">
        <f t="shared" si="9"/>
        <v>0.22999999999999998</v>
      </c>
      <c r="J32" s="73">
        <f t="shared" si="9"/>
        <v>0.22999999999999998</v>
      </c>
      <c r="K32" s="73">
        <f t="shared" si="9"/>
        <v>0.22999999999999998</v>
      </c>
      <c r="L32" s="73">
        <f t="shared" si="9"/>
        <v>0.23</v>
      </c>
      <c r="M32" s="73">
        <f t="shared" si="9"/>
        <v>0.22999999999999998</v>
      </c>
      <c r="N32" s="73">
        <f t="shared" si="9"/>
        <v>0.22999999999999995</v>
      </c>
      <c r="O32" s="73">
        <f t="shared" si="9"/>
        <v>0.22999999999999995</v>
      </c>
      <c r="P32" s="16"/>
    </row>
    <row r="33" spans="1:26" ht="15" customHeight="1" x14ac:dyDescent="0.25">
      <c r="A33" s="36"/>
      <c r="B33" s="72" t="s">
        <v>158</v>
      </c>
      <c r="C33" s="16"/>
      <c r="D33" s="75">
        <v>63.6</v>
      </c>
      <c r="E33" s="75">
        <v>91.44</v>
      </c>
      <c r="F33" s="75">
        <v>77.034999999999997</v>
      </c>
      <c r="G33">
        <f>G34*G25</f>
        <v>101.81122875000001</v>
      </c>
      <c r="H33">
        <f t="shared" ref="H33:O33" si="10">H34*H25</f>
        <v>110.97423933750002</v>
      </c>
      <c r="I33">
        <f t="shared" si="10"/>
        <v>119.85217848450003</v>
      </c>
      <c r="J33">
        <f t="shared" si="10"/>
        <v>128.24183097841504</v>
      </c>
      <c r="K33">
        <f t="shared" si="10"/>
        <v>135.93634083711996</v>
      </c>
      <c r="L33">
        <f t="shared" si="10"/>
        <v>142.73315787897593</v>
      </c>
      <c r="M33">
        <f t="shared" si="10"/>
        <v>148.44248419413501</v>
      </c>
      <c r="N33">
        <f t="shared" si="10"/>
        <v>152.89575871995902</v>
      </c>
      <c r="O33">
        <f t="shared" si="10"/>
        <v>155.95367389435822</v>
      </c>
      <c r="P33" s="16"/>
    </row>
    <row r="34" spans="1:26" ht="15" customHeight="1" x14ac:dyDescent="0.25">
      <c r="A34" s="36"/>
      <c r="B34" s="72" t="s">
        <v>157</v>
      </c>
      <c r="C34" s="16"/>
      <c r="D34" s="73">
        <f>+D33/D25</f>
        <v>5.4424330071581685E-2</v>
      </c>
      <c r="E34" s="73">
        <f t="shared" ref="E34:F34" si="11">+E33/E25</f>
        <v>6.9378634809956111E-2</v>
      </c>
      <c r="F34" s="73">
        <f t="shared" si="11"/>
        <v>5.2435527648024775E-2</v>
      </c>
      <c r="G34" s="70">
        <v>6.3E-2</v>
      </c>
      <c r="H34" s="70">
        <v>6.3E-2</v>
      </c>
      <c r="I34" s="70">
        <v>6.3E-2</v>
      </c>
      <c r="J34" s="70">
        <v>6.3E-2</v>
      </c>
      <c r="K34" s="70">
        <v>6.3E-2</v>
      </c>
      <c r="L34" s="70">
        <v>6.3E-2</v>
      </c>
      <c r="M34" s="70">
        <v>6.3E-2</v>
      </c>
      <c r="N34" s="70">
        <v>6.3E-2</v>
      </c>
      <c r="O34" s="70">
        <v>6.3E-2</v>
      </c>
      <c r="P34" s="16"/>
    </row>
    <row r="35" spans="1:26" ht="15" customHeight="1" x14ac:dyDescent="0.25">
      <c r="A35" s="36"/>
      <c r="B35" s="72" t="s">
        <v>63</v>
      </c>
      <c r="C35" s="16"/>
      <c r="D35" s="75">
        <v>34.784999999999997</v>
      </c>
      <c r="E35" s="75">
        <v>44.742499999999993</v>
      </c>
      <c r="F35" s="75">
        <v>53.7</v>
      </c>
      <c r="G35">
        <f>G36*G33</f>
        <v>71.267860124999999</v>
      </c>
      <c r="H35">
        <f t="shared" ref="H35:O35" si="12">H36*H33</f>
        <v>77.681967536250013</v>
      </c>
      <c r="I35">
        <f t="shared" si="12"/>
        <v>83.896524939150012</v>
      </c>
      <c r="J35">
        <f t="shared" si="12"/>
        <v>96.181373233811286</v>
      </c>
      <c r="K35">
        <f t="shared" si="12"/>
        <v>108.74907266969598</v>
      </c>
      <c r="L35">
        <f t="shared" si="12"/>
        <v>121.32318419712954</v>
      </c>
      <c r="M35">
        <f t="shared" si="12"/>
        <v>133.5982357747215</v>
      </c>
      <c r="N35">
        <f t="shared" si="12"/>
        <v>145.25097078396107</v>
      </c>
      <c r="O35">
        <f t="shared" si="12"/>
        <v>148.15599019964031</v>
      </c>
      <c r="P35" s="16"/>
    </row>
    <row r="36" spans="1:26" ht="15" customHeight="1" x14ac:dyDescent="0.25">
      <c r="A36" s="36"/>
      <c r="B36" s="72" t="s">
        <v>270</v>
      </c>
      <c r="C36" s="16"/>
      <c r="D36" s="73">
        <f>+D35/D33</f>
        <v>0.54693396226415092</v>
      </c>
      <c r="E36" s="73">
        <f t="shared" ref="E36:F36" si="13">+E35/E33</f>
        <v>0.48930993000874884</v>
      </c>
      <c r="F36" s="73">
        <f t="shared" si="13"/>
        <v>0.69708574024793934</v>
      </c>
      <c r="G36" s="70">
        <v>0.7</v>
      </c>
      <c r="H36" s="70">
        <v>0.7</v>
      </c>
      <c r="I36" s="70">
        <v>0.7</v>
      </c>
      <c r="J36" s="70">
        <v>0.75</v>
      </c>
      <c r="K36" s="70">
        <v>0.8</v>
      </c>
      <c r="L36" s="70">
        <v>0.85</v>
      </c>
      <c r="M36" s="70">
        <v>0.9</v>
      </c>
      <c r="N36" s="70">
        <v>0.95</v>
      </c>
      <c r="O36" s="70">
        <v>0.95</v>
      </c>
      <c r="P36" s="16"/>
    </row>
    <row r="37" spans="1:26" ht="15" customHeight="1" x14ac:dyDescent="0.25">
      <c r="A37" s="36"/>
      <c r="B37" s="72" t="s">
        <v>268</v>
      </c>
      <c r="C37" s="16"/>
      <c r="D37" s="53"/>
      <c r="E37" s="75">
        <v>159.38750000000002</v>
      </c>
      <c r="F37" s="75">
        <v>184.45750000000004</v>
      </c>
      <c r="G37">
        <f>G38*G25</f>
        <v>218.16691875000004</v>
      </c>
      <c r="H37">
        <f t="shared" ref="H37:O37" si="14">H38*H25</f>
        <v>237.80194143750006</v>
      </c>
      <c r="I37">
        <f t="shared" si="14"/>
        <v>256.82609675250006</v>
      </c>
      <c r="J37">
        <f t="shared" si="14"/>
        <v>274.80392352517509</v>
      </c>
      <c r="K37">
        <f t="shared" si="14"/>
        <v>291.29215893668561</v>
      </c>
      <c r="L37">
        <f t="shared" si="14"/>
        <v>305.85676688351987</v>
      </c>
      <c r="M37">
        <f t="shared" si="14"/>
        <v>318.09103755886071</v>
      </c>
      <c r="N37">
        <f t="shared" si="14"/>
        <v>327.63376868562653</v>
      </c>
      <c r="O37">
        <f t="shared" si="14"/>
        <v>334.18644405933907</v>
      </c>
      <c r="P37" s="16"/>
    </row>
    <row r="38" spans="1:26" ht="15" customHeight="1" x14ac:dyDescent="0.25">
      <c r="A38" s="36"/>
      <c r="B38" s="77" t="s">
        <v>269</v>
      </c>
      <c r="C38" s="16"/>
      <c r="D38" s="53"/>
      <c r="E38" s="73">
        <f>+E37/E25</f>
        <v>0.12093271167729529</v>
      </c>
      <c r="F38" s="73">
        <f>+F37/F25</f>
        <v>0.12555495996800847</v>
      </c>
      <c r="G38" s="70">
        <v>0.13500000000000001</v>
      </c>
      <c r="H38" s="70">
        <v>0.13500000000000001</v>
      </c>
      <c r="I38" s="70">
        <v>0.13500000000000001</v>
      </c>
      <c r="J38" s="70">
        <v>0.13500000000000001</v>
      </c>
      <c r="K38" s="70">
        <v>0.13500000000000001</v>
      </c>
      <c r="L38" s="70">
        <v>0.13500000000000001</v>
      </c>
      <c r="M38" s="70">
        <v>0.13500000000000001</v>
      </c>
      <c r="N38" s="70">
        <v>0.13500000000000001</v>
      </c>
      <c r="O38" s="70">
        <v>0.13500000000000001</v>
      </c>
      <c r="P38" s="16"/>
    </row>
    <row r="39" spans="1:26" ht="15" customHeight="1" x14ac:dyDescent="0.25">
      <c r="A39" s="37"/>
      <c r="B39" s="71" t="s">
        <v>71</v>
      </c>
      <c r="C39" s="16"/>
      <c r="D39" s="16"/>
      <c r="E39" s="16"/>
      <c r="F39" s="39"/>
      <c r="G39" s="70">
        <v>0.2</v>
      </c>
      <c r="H39" s="70">
        <v>0.2</v>
      </c>
      <c r="I39" s="70">
        <v>0.2</v>
      </c>
      <c r="J39" s="70">
        <v>0.2</v>
      </c>
      <c r="K39" s="70">
        <v>0.2</v>
      </c>
      <c r="L39" s="70">
        <v>0.2</v>
      </c>
      <c r="M39" s="70">
        <v>0.2</v>
      </c>
      <c r="N39" s="70">
        <v>0.2</v>
      </c>
      <c r="O39" s="70">
        <v>0.2</v>
      </c>
      <c r="P39" s="16"/>
    </row>
    <row r="40" spans="1:26" ht="15" customHeight="1" x14ac:dyDescent="0.25">
      <c r="A40" s="37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</row>
    <row r="41" spans="1:26" ht="15" customHeight="1" x14ac:dyDescent="0.25">
      <c r="A41" s="37" t="s">
        <v>20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</row>
    <row r="42" spans="1:26" ht="15" customHeight="1" x14ac:dyDescent="0.25">
      <c r="A42" s="37"/>
      <c r="B42" s="71" t="s">
        <v>42</v>
      </c>
      <c r="C42" s="16"/>
      <c r="D42" s="16"/>
      <c r="E42" s="16"/>
      <c r="F42" s="2"/>
      <c r="G42" s="72">
        <f>G25</f>
        <v>1616.0512500000002</v>
      </c>
      <c r="H42" s="72">
        <f t="shared" ref="H42:O42" si="15">H25</f>
        <v>1761.4958625000004</v>
      </c>
      <c r="I42" s="72">
        <f t="shared" si="15"/>
        <v>1902.4155315000005</v>
      </c>
      <c r="J42" s="72">
        <f t="shared" si="15"/>
        <v>2035.5846187050006</v>
      </c>
      <c r="K42" s="72">
        <f t="shared" si="15"/>
        <v>2157.7196958273007</v>
      </c>
      <c r="L42" s="72">
        <f t="shared" si="15"/>
        <v>2265.6056806186657</v>
      </c>
      <c r="M42" s="72">
        <f t="shared" si="15"/>
        <v>2356.2299078434125</v>
      </c>
      <c r="N42" s="72">
        <f t="shared" si="15"/>
        <v>2426.9168050787148</v>
      </c>
      <c r="O42" s="72">
        <f t="shared" si="15"/>
        <v>2475.455141180289</v>
      </c>
      <c r="P42" s="16"/>
    </row>
    <row r="43" spans="1:26" ht="15" customHeight="1" x14ac:dyDescent="0.25">
      <c r="A43" s="37"/>
      <c r="B43" s="71" t="s">
        <v>172</v>
      </c>
      <c r="C43" s="16"/>
      <c r="D43" s="16"/>
      <c r="E43" s="16"/>
      <c r="F43" s="2"/>
      <c r="G43" s="122"/>
      <c r="H43" s="122"/>
      <c r="I43" s="122"/>
      <c r="J43" s="122"/>
      <c r="K43" s="122"/>
      <c r="L43" s="122"/>
      <c r="M43" s="122"/>
      <c r="N43" s="122"/>
      <c r="O43" s="122"/>
      <c r="P43" s="16"/>
    </row>
    <row r="44" spans="1:26" ht="15" customHeight="1" x14ac:dyDescent="0.25">
      <c r="A44" s="37"/>
      <c r="B44" s="71" t="s">
        <v>173</v>
      </c>
      <c r="C44" s="16"/>
      <c r="D44" s="16"/>
      <c r="E44" s="16"/>
      <c r="F44" s="2"/>
      <c r="G44" s="72">
        <f>SUM(G42:G43)</f>
        <v>1616.0512500000002</v>
      </c>
      <c r="H44" s="72">
        <f t="shared" ref="H44:O44" si="16">SUM(H42:H43)</f>
        <v>1761.4958625000004</v>
      </c>
      <c r="I44" s="72">
        <f t="shared" si="16"/>
        <v>1902.4155315000005</v>
      </c>
      <c r="J44" s="72">
        <f t="shared" si="16"/>
        <v>2035.5846187050006</v>
      </c>
      <c r="K44" s="72">
        <f t="shared" si="16"/>
        <v>2157.7196958273007</v>
      </c>
      <c r="L44" s="72">
        <f t="shared" si="16"/>
        <v>2265.6056806186657</v>
      </c>
      <c r="M44" s="72">
        <f t="shared" si="16"/>
        <v>2356.2299078434125</v>
      </c>
      <c r="N44" s="72">
        <f t="shared" si="16"/>
        <v>2426.9168050787148</v>
      </c>
      <c r="O44" s="72">
        <f t="shared" si="16"/>
        <v>2475.455141180289</v>
      </c>
      <c r="P44" s="16"/>
    </row>
    <row r="45" spans="1:26" ht="15" customHeight="1" x14ac:dyDescent="0.25">
      <c r="A45" s="37"/>
      <c r="B45" s="71" t="s">
        <v>92</v>
      </c>
      <c r="C45" s="16"/>
      <c r="D45" s="16"/>
      <c r="E45" s="16"/>
      <c r="F45" s="2"/>
      <c r="G45" s="72">
        <f>G27-G35</f>
        <v>268.10290237499999</v>
      </c>
      <c r="H45" s="72">
        <f t="shared" ref="H45:O45" si="17">H27-H35</f>
        <v>292.23216358875004</v>
      </c>
      <c r="I45" s="72">
        <f t="shared" si="17"/>
        <v>315.61073667585003</v>
      </c>
      <c r="J45" s="72">
        <f t="shared" si="17"/>
        <v>331.29139669423887</v>
      </c>
      <c r="K45" s="72">
        <f t="shared" si="17"/>
        <v>344.37206345403717</v>
      </c>
      <c r="L45" s="72">
        <f t="shared" si="17"/>
        <v>354.45400873279027</v>
      </c>
      <c r="M45" s="72">
        <f t="shared" si="17"/>
        <v>361.21004487239509</v>
      </c>
      <c r="N45" s="72">
        <f t="shared" si="17"/>
        <v>364.401558282569</v>
      </c>
      <c r="O45" s="72">
        <f t="shared" si="17"/>
        <v>371.68958944822032</v>
      </c>
      <c r="P45" s="16"/>
    </row>
    <row r="46" spans="1:26" ht="15" customHeight="1" x14ac:dyDescent="0.25">
      <c r="A46" s="37"/>
      <c r="B46" s="72" t="s">
        <v>90</v>
      </c>
      <c r="C46" s="16"/>
      <c r="D46" s="16"/>
      <c r="E46" s="16"/>
      <c r="F46" s="16"/>
      <c r="G46" s="72">
        <f>G30</f>
        <v>32.321025000000006</v>
      </c>
      <c r="H46" s="72">
        <f t="shared" ref="H46:O46" si="18">H30</f>
        <v>35.229917250000007</v>
      </c>
      <c r="I46" s="72">
        <f t="shared" si="18"/>
        <v>38.04831063000001</v>
      </c>
      <c r="J46" s="72">
        <f t="shared" si="18"/>
        <v>40.711692374100011</v>
      </c>
      <c r="K46" s="72">
        <f t="shared" si="18"/>
        <v>43.154393916546013</v>
      </c>
      <c r="L46" s="72">
        <f t="shared" si="18"/>
        <v>45.312113612373317</v>
      </c>
      <c r="M46" s="72">
        <f t="shared" si="18"/>
        <v>47.124598156868252</v>
      </c>
      <c r="N46" s="72">
        <f t="shared" si="18"/>
        <v>48.538336101574295</v>
      </c>
      <c r="O46" s="72">
        <f t="shared" si="18"/>
        <v>49.50910282360578</v>
      </c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5" customHeight="1" x14ac:dyDescent="0.25">
      <c r="A47" s="37"/>
      <c r="B47" s="72" t="s">
        <v>174</v>
      </c>
      <c r="C47" s="16"/>
      <c r="D47" s="16"/>
      <c r="E47" s="16"/>
      <c r="F47" s="16"/>
      <c r="G47" s="122"/>
      <c r="H47" s="122"/>
      <c r="I47" s="122"/>
      <c r="J47" s="122"/>
      <c r="K47" s="122"/>
      <c r="L47" s="122"/>
      <c r="M47" s="122"/>
      <c r="N47" s="122"/>
      <c r="O47" s="122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5" customHeight="1" x14ac:dyDescent="0.25">
      <c r="A48" s="37"/>
      <c r="B48" s="72" t="s">
        <v>175</v>
      </c>
      <c r="C48" s="16"/>
      <c r="D48" s="16"/>
      <c r="E48" s="16"/>
      <c r="F48" s="16"/>
      <c r="G48" s="72">
        <f>SUM(G45:G47)</f>
        <v>300.42392737500001</v>
      </c>
      <c r="H48" s="72">
        <f t="shared" ref="H48:O48" si="19">SUM(H45:H47)</f>
        <v>327.46208083875007</v>
      </c>
      <c r="I48" s="72">
        <f t="shared" si="19"/>
        <v>353.65904730585004</v>
      </c>
      <c r="J48" s="72">
        <f t="shared" si="19"/>
        <v>372.00308906833891</v>
      </c>
      <c r="K48" s="72">
        <f t="shared" si="19"/>
        <v>387.52645737058322</v>
      </c>
      <c r="L48" s="72">
        <f t="shared" si="19"/>
        <v>399.76612234516358</v>
      </c>
      <c r="M48" s="72">
        <f t="shared" si="19"/>
        <v>408.33464302926336</v>
      </c>
      <c r="N48" s="72">
        <f t="shared" si="19"/>
        <v>412.93989438414332</v>
      </c>
      <c r="O48" s="72">
        <f t="shared" si="19"/>
        <v>421.19869227182608</v>
      </c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16" ht="15" customHeight="1" x14ac:dyDescent="0.25">
      <c r="A49" s="37"/>
      <c r="B49" s="71" t="s">
        <v>25</v>
      </c>
      <c r="C49" s="16"/>
      <c r="D49" s="16"/>
      <c r="E49" s="16"/>
      <c r="F49" s="16"/>
      <c r="G49">
        <f t="shared" ref="G49:O49" ca="1" si="20">IF(CircSwitch=1,(G72+G86)*-1,0)</f>
        <v>-92.201002590747905</v>
      </c>
      <c r="H49">
        <f t="shared" ca="1" si="20"/>
        <v>-86.241245530157286</v>
      </c>
      <c r="I49">
        <f t="shared" ca="1" si="20"/>
        <v>-78.741512181956779</v>
      </c>
      <c r="J49">
        <f t="shared" ca="1" si="20"/>
        <v>-69.974581076684743</v>
      </c>
      <c r="K49">
        <f t="shared" ca="1" si="20"/>
        <v>-59.892696998750715</v>
      </c>
      <c r="L49">
        <f t="shared" ca="1" si="20"/>
        <v>-48.496366087600599</v>
      </c>
      <c r="M49">
        <f t="shared" ca="1" si="20"/>
        <v>-33.57960704397221</v>
      </c>
      <c r="N49">
        <f t="shared" ca="1" si="20"/>
        <v>-14.122852640340222</v>
      </c>
      <c r="O49">
        <f t="shared" ca="1" si="20"/>
        <v>-1.778769319355233</v>
      </c>
      <c r="P49" s="16"/>
    </row>
    <row r="50" spans="1:16" ht="15" customHeight="1" x14ac:dyDescent="0.25">
      <c r="A50" s="37"/>
      <c r="B50" s="71" t="s">
        <v>66</v>
      </c>
      <c r="C50" s="16"/>
      <c r="D50" s="16"/>
      <c r="E50" s="16"/>
      <c r="F50" s="16"/>
      <c r="G50">
        <f t="shared" ref="G50:O50" ca="1" si="21">IF(CircSwitch=1,G89,0)</f>
        <v>0</v>
      </c>
      <c r="H50">
        <f t="shared" ca="1" si="21"/>
        <v>0</v>
      </c>
      <c r="I50">
        <f t="shared" ca="1" si="21"/>
        <v>0</v>
      </c>
      <c r="J50">
        <f t="shared" ca="1" si="21"/>
        <v>0</v>
      </c>
      <c r="K50">
        <f t="shared" ca="1" si="21"/>
        <v>0</v>
      </c>
      <c r="L50">
        <f t="shared" ca="1" si="21"/>
        <v>0</v>
      </c>
      <c r="M50">
        <f t="shared" ca="1" si="21"/>
        <v>0</v>
      </c>
      <c r="N50">
        <f t="shared" ca="1" si="21"/>
        <v>0</v>
      </c>
      <c r="O50">
        <f t="shared" ca="1" si="21"/>
        <v>0.40603263727554006</v>
      </c>
      <c r="P50" s="16"/>
    </row>
    <row r="51" spans="1:16" ht="15" customHeight="1" x14ac:dyDescent="0.25">
      <c r="A51" s="37"/>
      <c r="B51" s="71" t="s">
        <v>26</v>
      </c>
      <c r="C51" s="16"/>
      <c r="D51" s="16"/>
      <c r="E51" s="16"/>
      <c r="F51" s="2"/>
      <c r="G51" s="72">
        <f ca="1">SUM(G48:G50)</f>
        <v>208.22292478425209</v>
      </c>
      <c r="H51" s="72">
        <f t="shared" ref="H51:O51" ca="1" si="22">SUM(H48:H50)</f>
        <v>241.22083530859277</v>
      </c>
      <c r="I51" s="72">
        <f t="shared" ca="1" si="22"/>
        <v>274.91753512389323</v>
      </c>
      <c r="J51" s="72">
        <f t="shared" ca="1" si="22"/>
        <v>302.02850799165418</v>
      </c>
      <c r="K51" s="72">
        <f t="shared" ca="1" si="22"/>
        <v>327.63376037183252</v>
      </c>
      <c r="L51" s="72">
        <f t="shared" ca="1" si="22"/>
        <v>351.26975625756296</v>
      </c>
      <c r="M51" s="72">
        <f t="shared" ca="1" si="22"/>
        <v>374.75503598529116</v>
      </c>
      <c r="N51" s="72">
        <f t="shared" ca="1" si="22"/>
        <v>398.81704174380309</v>
      </c>
      <c r="O51" s="72">
        <f t="shared" ca="1" si="22"/>
        <v>419.8259555897464</v>
      </c>
      <c r="P51" s="16"/>
    </row>
    <row r="52" spans="1:16" ht="15" customHeight="1" x14ac:dyDescent="0.25">
      <c r="A52" s="37"/>
      <c r="B52" s="71" t="s">
        <v>27</v>
      </c>
      <c r="C52" s="16"/>
      <c r="D52" s="16"/>
      <c r="E52" s="16"/>
      <c r="F52" s="2"/>
      <c r="G52" s="72">
        <f ca="1">G51*G39*-1</f>
        <v>-41.644584956850423</v>
      </c>
      <c r="H52" s="72">
        <f t="shared" ref="H52:O52" ca="1" si="23">H51*H39*-1</f>
        <v>-48.244167061718557</v>
      </c>
      <c r="I52" s="72">
        <f t="shared" ca="1" si="23"/>
        <v>-54.983507024778646</v>
      </c>
      <c r="J52" s="72">
        <f t="shared" ca="1" si="23"/>
        <v>-60.405701598330836</v>
      </c>
      <c r="K52" s="72">
        <f t="shared" ca="1" si="23"/>
        <v>-65.526752074366513</v>
      </c>
      <c r="L52" s="72">
        <f t="shared" ca="1" si="23"/>
        <v>-70.253951251512589</v>
      </c>
      <c r="M52" s="72">
        <f t="shared" ca="1" si="23"/>
        <v>-74.951007197058232</v>
      </c>
      <c r="N52" s="72">
        <f t="shared" ca="1" si="23"/>
        <v>-79.76340834876062</v>
      </c>
      <c r="O52" s="72">
        <f t="shared" ca="1" si="23"/>
        <v>-83.965191117949288</v>
      </c>
      <c r="P52" s="16"/>
    </row>
    <row r="53" spans="1:16" ht="15" customHeight="1" x14ac:dyDescent="0.25">
      <c r="A53" s="37"/>
      <c r="B53" s="71" t="s">
        <v>65</v>
      </c>
      <c r="C53" s="16"/>
      <c r="D53" s="16"/>
      <c r="E53" s="16"/>
      <c r="F53" s="2"/>
      <c r="G53" s="72">
        <f ca="1">SUM(G51:G52)</f>
        <v>166.57833982740166</v>
      </c>
      <c r="H53" s="72">
        <f t="shared" ref="H53:O53" ca="1" si="24">SUM(H51:H52)</f>
        <v>192.97666824687423</v>
      </c>
      <c r="I53" s="72">
        <f t="shared" ca="1" si="24"/>
        <v>219.93402809911458</v>
      </c>
      <c r="J53" s="72">
        <f t="shared" ca="1" si="24"/>
        <v>241.62280639332334</v>
      </c>
      <c r="K53" s="72">
        <f t="shared" ca="1" si="24"/>
        <v>262.107008297466</v>
      </c>
      <c r="L53" s="72">
        <f t="shared" ca="1" si="24"/>
        <v>281.01580500605036</v>
      </c>
      <c r="M53" s="72">
        <f t="shared" ca="1" si="24"/>
        <v>299.80402878823293</v>
      </c>
      <c r="N53" s="72">
        <f t="shared" ca="1" si="24"/>
        <v>319.05363339504248</v>
      </c>
      <c r="O53" s="72">
        <f t="shared" ca="1" si="24"/>
        <v>335.8607644717971</v>
      </c>
      <c r="P53" s="16"/>
    </row>
    <row r="54" spans="1:16" ht="15" customHeight="1" x14ac:dyDescent="0.25">
      <c r="A54" s="37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</row>
    <row r="55" spans="1:16" ht="15" customHeight="1" x14ac:dyDescent="0.25">
      <c r="A55" s="37" t="s">
        <v>93</v>
      </c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</row>
    <row r="56" spans="1:16" ht="15" customHeight="1" x14ac:dyDescent="0.25">
      <c r="A56" s="37"/>
      <c r="B56" s="71" t="s">
        <v>65</v>
      </c>
      <c r="C56" s="16"/>
      <c r="D56" s="16"/>
      <c r="E56" s="16"/>
      <c r="F56" s="2"/>
      <c r="G56" s="72">
        <f ca="1">G53</f>
        <v>166.57833982740166</v>
      </c>
      <c r="H56" s="72">
        <f t="shared" ref="H56:O56" ca="1" si="25">H53</f>
        <v>192.97666824687423</v>
      </c>
      <c r="I56" s="72">
        <f t="shared" ca="1" si="25"/>
        <v>219.93402809911458</v>
      </c>
      <c r="J56" s="72">
        <f t="shared" ca="1" si="25"/>
        <v>241.62280639332334</v>
      </c>
      <c r="K56" s="72">
        <f t="shared" ca="1" si="25"/>
        <v>262.107008297466</v>
      </c>
      <c r="L56" s="72">
        <f t="shared" ca="1" si="25"/>
        <v>281.01580500605036</v>
      </c>
      <c r="M56" s="72">
        <f t="shared" ca="1" si="25"/>
        <v>299.80402878823293</v>
      </c>
      <c r="N56" s="72">
        <f t="shared" ca="1" si="25"/>
        <v>319.05363339504248</v>
      </c>
      <c r="O56" s="72">
        <f t="shared" ca="1" si="25"/>
        <v>335.8607644717971</v>
      </c>
      <c r="P56" s="16"/>
    </row>
    <row r="57" spans="1:16" ht="15" customHeight="1" x14ac:dyDescent="0.25">
      <c r="A57" s="37"/>
      <c r="B57" s="71" t="s">
        <v>63</v>
      </c>
      <c r="C57" s="16"/>
      <c r="D57" s="16"/>
      <c r="E57" s="16"/>
      <c r="F57" s="2"/>
      <c r="G57" s="72">
        <f>G35</f>
        <v>71.267860124999999</v>
      </c>
      <c r="H57" s="72">
        <f t="shared" ref="H57:O57" si="26">H35</f>
        <v>77.681967536250013</v>
      </c>
      <c r="I57" s="72">
        <f t="shared" si="26"/>
        <v>83.896524939150012</v>
      </c>
      <c r="J57" s="72">
        <f t="shared" si="26"/>
        <v>96.181373233811286</v>
      </c>
      <c r="K57" s="72">
        <f t="shared" si="26"/>
        <v>108.74907266969598</v>
      </c>
      <c r="L57" s="72">
        <f t="shared" si="26"/>
        <v>121.32318419712954</v>
      </c>
      <c r="M57" s="72">
        <f t="shared" si="26"/>
        <v>133.5982357747215</v>
      </c>
      <c r="N57" s="72">
        <f t="shared" si="26"/>
        <v>145.25097078396107</v>
      </c>
      <c r="O57" s="72">
        <f t="shared" si="26"/>
        <v>148.15599019964031</v>
      </c>
      <c r="P57" s="16"/>
    </row>
    <row r="58" spans="1:16" ht="15" customHeight="1" x14ac:dyDescent="0.25">
      <c r="A58" s="37"/>
      <c r="B58" s="71" t="s">
        <v>177</v>
      </c>
      <c r="C58" s="16"/>
      <c r="D58" s="16"/>
      <c r="E58" s="16"/>
      <c r="F58" s="2"/>
      <c r="G58" s="122"/>
      <c r="H58" s="122"/>
      <c r="I58" s="122"/>
      <c r="J58" s="122"/>
      <c r="K58" s="122"/>
      <c r="L58" s="122"/>
      <c r="M58" s="122"/>
      <c r="N58" s="122"/>
      <c r="O58" s="122"/>
      <c r="P58" s="16"/>
    </row>
    <row r="59" spans="1:16" ht="15" customHeight="1" x14ac:dyDescent="0.25">
      <c r="A59" s="37"/>
      <c r="B59" s="71" t="s">
        <v>67</v>
      </c>
      <c r="C59" s="16"/>
      <c r="D59" s="16"/>
      <c r="E59" s="16"/>
      <c r="F59" s="50"/>
      <c r="G59" s="72">
        <f>F37-G37</f>
        <v>-33.709418749999998</v>
      </c>
      <c r="H59" s="72">
        <f t="shared" ref="H59:O59" si="27">G37-H37</f>
        <v>-19.635022687500026</v>
      </c>
      <c r="I59" s="72">
        <f t="shared" si="27"/>
        <v>-19.024155315000002</v>
      </c>
      <c r="J59" s="72">
        <f t="shared" si="27"/>
        <v>-17.97782677267503</v>
      </c>
      <c r="K59" s="72">
        <f t="shared" si="27"/>
        <v>-16.488235411510516</v>
      </c>
      <c r="L59" s="72">
        <f t="shared" si="27"/>
        <v>-14.564607946834258</v>
      </c>
      <c r="M59" s="72">
        <f t="shared" si="27"/>
        <v>-12.234270675340838</v>
      </c>
      <c r="N59" s="72">
        <f t="shared" si="27"/>
        <v>-9.5427311267658297</v>
      </c>
      <c r="O59" s="72">
        <f t="shared" si="27"/>
        <v>-6.5526753737125318</v>
      </c>
      <c r="P59" s="16"/>
    </row>
    <row r="60" spans="1:16" ht="15" customHeight="1" x14ac:dyDescent="0.25">
      <c r="A60" s="37"/>
      <c r="B60" s="71" t="s">
        <v>176</v>
      </c>
      <c r="C60" s="16"/>
      <c r="D60" s="16"/>
      <c r="E60" s="16"/>
      <c r="F60" s="50"/>
      <c r="G60" s="122"/>
      <c r="H60" s="122"/>
      <c r="I60" s="122"/>
      <c r="J60" s="122"/>
      <c r="K60" s="122"/>
      <c r="L60" s="122"/>
      <c r="M60" s="122"/>
      <c r="N60" s="122"/>
      <c r="O60" s="122"/>
      <c r="P60" s="16"/>
    </row>
    <row r="61" spans="1:16" ht="15" customHeight="1" x14ac:dyDescent="0.25">
      <c r="A61" s="37"/>
      <c r="B61" s="71" t="s">
        <v>68</v>
      </c>
      <c r="C61" s="16"/>
      <c r="D61" s="16"/>
      <c r="E61" s="16"/>
      <c r="F61" s="2"/>
      <c r="G61" s="72">
        <f>G33*-1</f>
        <v>-101.81122875000001</v>
      </c>
      <c r="H61" s="72">
        <f t="shared" ref="H61:O61" si="28">H33*-1</f>
        <v>-110.97423933750002</v>
      </c>
      <c r="I61" s="72">
        <f t="shared" si="28"/>
        <v>-119.85217848450003</v>
      </c>
      <c r="J61" s="72">
        <f t="shared" si="28"/>
        <v>-128.24183097841504</v>
      </c>
      <c r="K61" s="72">
        <f t="shared" si="28"/>
        <v>-135.93634083711996</v>
      </c>
      <c r="L61" s="72">
        <f t="shared" si="28"/>
        <v>-142.73315787897593</v>
      </c>
      <c r="M61" s="72">
        <f t="shared" si="28"/>
        <v>-148.44248419413501</v>
      </c>
      <c r="N61" s="72">
        <f t="shared" si="28"/>
        <v>-152.89575871995902</v>
      </c>
      <c r="O61" s="72">
        <f t="shared" si="28"/>
        <v>-155.95367389435822</v>
      </c>
      <c r="P61" s="16"/>
    </row>
    <row r="62" spans="1:16" ht="15" customHeight="1" x14ac:dyDescent="0.25">
      <c r="A62" s="37"/>
      <c r="B62" s="71" t="s">
        <v>178</v>
      </c>
      <c r="C62" s="16"/>
      <c r="D62" s="16"/>
      <c r="E62" s="16"/>
      <c r="F62" s="2"/>
      <c r="G62" s="122"/>
      <c r="H62" s="122"/>
      <c r="I62" s="122"/>
      <c r="J62" s="122"/>
      <c r="K62" s="122"/>
      <c r="L62" s="122"/>
      <c r="M62" s="122"/>
      <c r="N62" s="122"/>
      <c r="O62" s="122"/>
      <c r="P62" s="16"/>
    </row>
    <row r="63" spans="1:16" ht="15" customHeight="1" x14ac:dyDescent="0.25">
      <c r="A63" s="37"/>
      <c r="B63" s="74" t="s">
        <v>94</v>
      </c>
      <c r="C63" s="16"/>
      <c r="D63" s="16"/>
      <c r="E63" s="16"/>
      <c r="F63" s="2"/>
      <c r="G63" s="72">
        <f ca="1">SUM(G56:G62)</f>
        <v>102.32555245240165</v>
      </c>
      <c r="H63" s="72">
        <f t="shared" ref="H63:O63" ca="1" si="29">SUM(H56:H62)</f>
        <v>140.04937375812418</v>
      </c>
      <c r="I63" s="72">
        <f t="shared" ca="1" si="29"/>
        <v>164.95421923876455</v>
      </c>
      <c r="J63" s="72">
        <f t="shared" ca="1" si="29"/>
        <v>191.58452187604459</v>
      </c>
      <c r="K63" s="72">
        <f t="shared" ca="1" si="29"/>
        <v>218.4315047185315</v>
      </c>
      <c r="L63" s="72">
        <f t="shared" ca="1" si="29"/>
        <v>245.0412233773697</v>
      </c>
      <c r="M63" s="72">
        <f t="shared" ca="1" si="29"/>
        <v>272.72550969347856</v>
      </c>
      <c r="N63" s="72">
        <f t="shared" ca="1" si="29"/>
        <v>301.8661143322787</v>
      </c>
      <c r="O63" s="72">
        <f t="shared" ca="1" si="29"/>
        <v>321.51040540336669</v>
      </c>
      <c r="P63" s="16"/>
    </row>
    <row r="64" spans="1:16" ht="15" customHeight="1" x14ac:dyDescent="0.25">
      <c r="A64" s="37"/>
      <c r="B64" s="16"/>
      <c r="C64" s="16"/>
      <c r="D64" s="16"/>
      <c r="E64" s="16"/>
      <c r="F64" s="2"/>
      <c r="G64" s="72"/>
      <c r="H64" s="72"/>
      <c r="I64" s="72"/>
      <c r="J64" s="72"/>
      <c r="K64" s="72"/>
      <c r="L64" s="72"/>
      <c r="M64" s="72"/>
      <c r="N64" s="72"/>
      <c r="O64" s="72"/>
      <c r="P64" s="16"/>
    </row>
    <row r="65" spans="1:26" ht="15" customHeight="1" x14ac:dyDescent="0.25">
      <c r="A65" s="37"/>
      <c r="B65" s="72" t="s">
        <v>153</v>
      </c>
      <c r="C65" s="16"/>
      <c r="D65" s="16"/>
      <c r="E65" s="16"/>
      <c r="G65" s="72">
        <f>F88</f>
        <v>0</v>
      </c>
      <c r="H65" s="72">
        <f t="shared" ref="H65:O65" ca="1" si="30">G88</f>
        <v>0</v>
      </c>
      <c r="I65" s="72">
        <f t="shared" ca="1" si="30"/>
        <v>0</v>
      </c>
      <c r="J65" s="72">
        <f t="shared" ca="1" si="30"/>
        <v>0</v>
      </c>
      <c r="K65" s="72">
        <f t="shared" ca="1" si="30"/>
        <v>0</v>
      </c>
      <c r="L65" s="72">
        <f t="shared" ca="1" si="30"/>
        <v>0</v>
      </c>
      <c r="M65" s="72">
        <f t="shared" ca="1" si="30"/>
        <v>0</v>
      </c>
      <c r="N65" s="72">
        <f t="shared" ca="1" si="30"/>
        <v>0</v>
      </c>
      <c r="O65" s="72">
        <f t="shared" ca="1" si="30"/>
        <v>0</v>
      </c>
      <c r="P65" s="16"/>
    </row>
    <row r="66" spans="1:26" ht="15" customHeight="1" x14ac:dyDescent="0.25">
      <c r="A66" s="37"/>
      <c r="B66" s="74" t="s">
        <v>201</v>
      </c>
      <c r="C66" s="16"/>
      <c r="D66" s="16"/>
      <c r="E66" s="16"/>
      <c r="F66" s="16"/>
      <c r="G66" s="72">
        <f ca="1">G63+G65</f>
        <v>102.32555245240165</v>
      </c>
      <c r="H66" s="72">
        <f t="shared" ref="H66:O66" ca="1" si="31">H63+H65</f>
        <v>140.04937375812418</v>
      </c>
      <c r="I66" s="72">
        <f t="shared" ca="1" si="31"/>
        <v>164.95421923876455</v>
      </c>
      <c r="J66" s="72">
        <f t="shared" ca="1" si="31"/>
        <v>191.58452187604459</v>
      </c>
      <c r="K66" s="72">
        <f t="shared" ca="1" si="31"/>
        <v>218.4315047185315</v>
      </c>
      <c r="L66" s="72">
        <f t="shared" ca="1" si="31"/>
        <v>245.0412233773697</v>
      </c>
      <c r="M66" s="72">
        <f t="shared" ca="1" si="31"/>
        <v>272.72550969347856</v>
      </c>
      <c r="N66" s="72">
        <f t="shared" ca="1" si="31"/>
        <v>301.8661143322787</v>
      </c>
      <c r="O66" s="72">
        <f t="shared" ca="1" si="31"/>
        <v>321.51040540336669</v>
      </c>
      <c r="P66" s="16"/>
    </row>
    <row r="67" spans="1:26" ht="15" customHeight="1" x14ac:dyDescent="0.25">
      <c r="A67" s="37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</row>
    <row r="68" spans="1:26" ht="15" customHeight="1" x14ac:dyDescent="0.25">
      <c r="A68" s="37" t="s">
        <v>95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</row>
    <row r="69" spans="1:26" ht="15" customHeight="1" x14ac:dyDescent="0.25">
      <c r="A69" s="37"/>
      <c r="B69" s="71" t="s">
        <v>96</v>
      </c>
      <c r="C69" s="72"/>
      <c r="D69" s="72"/>
      <c r="E69" s="72"/>
      <c r="F69" s="72"/>
      <c r="G69" s="72">
        <f>F71</f>
        <v>1125.2</v>
      </c>
      <c r="H69" s="72">
        <f t="shared" ref="H69:O69" ca="1" si="32">G71</f>
        <v>1022.8744475475984</v>
      </c>
      <c r="I69" s="72">
        <f t="shared" ca="1" si="32"/>
        <v>882.82507378947423</v>
      </c>
      <c r="J69" s="72">
        <f t="shared" ca="1" si="32"/>
        <v>717.87085455070974</v>
      </c>
      <c r="K69" s="72">
        <f t="shared" ca="1" si="32"/>
        <v>526.28633267466512</v>
      </c>
      <c r="L69" s="72">
        <f t="shared" ca="1" si="32"/>
        <v>307.85482795613359</v>
      </c>
      <c r="M69" s="72">
        <f t="shared" ca="1" si="32"/>
        <v>62.813604578763886</v>
      </c>
      <c r="N69" s="72">
        <f t="shared" ca="1" si="32"/>
        <v>0</v>
      </c>
      <c r="O69" s="72">
        <f t="shared" ca="1" si="32"/>
        <v>0</v>
      </c>
      <c r="P69" s="16"/>
    </row>
    <row r="70" spans="1:26" ht="15" customHeight="1" x14ac:dyDescent="0.25">
      <c r="A70" s="37"/>
      <c r="B70" s="71" t="s">
        <v>70</v>
      </c>
      <c r="C70" s="72"/>
      <c r="D70" s="72"/>
      <c r="E70" s="72"/>
      <c r="F70" s="72"/>
      <c r="G70" s="72">
        <f ca="1">-MIN(G66,G69)</f>
        <v>-102.32555245240165</v>
      </c>
      <c r="H70" s="72">
        <f t="shared" ref="H70:O70" ca="1" si="33">-MIN(H66,H69)</f>
        <v>-140.04937375812418</v>
      </c>
      <c r="I70" s="72">
        <f t="shared" ca="1" si="33"/>
        <v>-164.95421923876455</v>
      </c>
      <c r="J70" s="72">
        <f t="shared" ca="1" si="33"/>
        <v>-191.58452187604459</v>
      </c>
      <c r="K70" s="72">
        <f t="shared" ca="1" si="33"/>
        <v>-218.4315047185315</v>
      </c>
      <c r="L70" s="72">
        <f t="shared" ca="1" si="33"/>
        <v>-245.0412233773697</v>
      </c>
      <c r="M70" s="72">
        <f t="shared" ca="1" si="33"/>
        <v>-62.813604578763886</v>
      </c>
      <c r="N70" s="72">
        <f t="shared" ca="1" si="33"/>
        <v>0</v>
      </c>
      <c r="O70" s="72">
        <f t="shared" ca="1" si="33"/>
        <v>0</v>
      </c>
      <c r="P70" s="16"/>
    </row>
    <row r="71" spans="1:26" ht="15" customHeight="1" x14ac:dyDescent="0.25">
      <c r="A71" s="37"/>
      <c r="B71" s="71" t="s">
        <v>97</v>
      </c>
      <c r="C71" s="72"/>
      <c r="D71" s="72"/>
      <c r="E71" s="72"/>
      <c r="F71" s="72">
        <f>N9</f>
        <v>1125.2</v>
      </c>
      <c r="G71" s="72">
        <f ca="1">SUM(G69:G70)</f>
        <v>1022.8744475475984</v>
      </c>
      <c r="H71" s="72">
        <f t="shared" ref="H71:O71" ca="1" si="34">SUM(H69:H70)</f>
        <v>882.82507378947423</v>
      </c>
      <c r="I71" s="72">
        <f t="shared" ca="1" si="34"/>
        <v>717.87085455070974</v>
      </c>
      <c r="J71" s="72">
        <f t="shared" ca="1" si="34"/>
        <v>526.28633267466512</v>
      </c>
      <c r="K71" s="72">
        <f t="shared" ca="1" si="34"/>
        <v>307.85482795613359</v>
      </c>
      <c r="L71" s="72">
        <f t="shared" ca="1" si="34"/>
        <v>62.813604578763886</v>
      </c>
      <c r="M71" s="72">
        <f t="shared" ca="1" si="34"/>
        <v>0</v>
      </c>
      <c r="N71" s="72">
        <f t="shared" ca="1" si="34"/>
        <v>0</v>
      </c>
      <c r="O71" s="72">
        <f t="shared" ca="1" si="34"/>
        <v>0</v>
      </c>
      <c r="P71" s="16"/>
    </row>
    <row r="72" spans="1:26" ht="15" customHeight="1" x14ac:dyDescent="0.25">
      <c r="A72" s="37"/>
      <c r="B72" s="71" t="s">
        <v>25</v>
      </c>
      <c r="C72" s="72"/>
      <c r="D72" s="72"/>
      <c r="E72" s="72"/>
      <c r="F72" s="72"/>
      <c r="G72" s="72">
        <f ca="1">$F$16*AVERAGE(F71:G71)</f>
        <v>52.8190025907479</v>
      </c>
      <c r="H72" s="72">
        <f t="shared" ref="H72:O72" ca="1" si="35">$F$16*AVERAGE(G71:H71)</f>
        <v>46.859245530157281</v>
      </c>
      <c r="I72" s="72">
        <f t="shared" ca="1" si="35"/>
        <v>39.359512181956781</v>
      </c>
      <c r="J72" s="72">
        <f t="shared" ca="1" si="35"/>
        <v>30.592581076684741</v>
      </c>
      <c r="K72" s="72">
        <f t="shared" ca="1" si="35"/>
        <v>20.51069699875071</v>
      </c>
      <c r="L72" s="72">
        <f t="shared" ca="1" si="35"/>
        <v>9.1143660876005939</v>
      </c>
      <c r="M72" s="72">
        <f t="shared" ca="1" si="35"/>
        <v>1.5445237229872253</v>
      </c>
      <c r="N72" s="72">
        <f t="shared" ca="1" si="35"/>
        <v>0</v>
      </c>
      <c r="O72" s="72">
        <f t="shared" ca="1" si="35"/>
        <v>0</v>
      </c>
      <c r="P72" s="16"/>
    </row>
    <row r="73" spans="1:26" ht="15" customHeight="1" x14ac:dyDescent="0.25">
      <c r="A73" s="37"/>
      <c r="B73" s="72"/>
      <c r="C73" s="72"/>
      <c r="D73" s="72"/>
      <c r="E73" s="72"/>
      <c r="F73" s="72"/>
      <c r="G73" s="72"/>
      <c r="H73" s="72"/>
      <c r="I73" s="72"/>
      <c r="J73" s="72"/>
      <c r="K73" s="72"/>
      <c r="L73" s="72"/>
      <c r="M73" s="72"/>
      <c r="N73" s="72"/>
      <c r="O73" s="72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25">
      <c r="A74" s="37"/>
      <c r="B74" s="72" t="s">
        <v>179</v>
      </c>
      <c r="C74" s="72"/>
      <c r="D74" s="72"/>
      <c r="G74" s="123"/>
      <c r="H74" s="123"/>
      <c r="I74" s="123"/>
      <c r="J74" s="123"/>
      <c r="K74" s="123"/>
      <c r="L74" s="123"/>
      <c r="M74" s="123"/>
      <c r="N74" s="123"/>
      <c r="O74" s="123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25">
      <c r="A75" s="37"/>
      <c r="B75" s="72"/>
      <c r="C75" s="72"/>
      <c r="D75" s="72"/>
      <c r="E75" s="72"/>
      <c r="F75" s="72"/>
      <c r="G75" s="72"/>
      <c r="H75" s="72"/>
      <c r="I75" s="72"/>
      <c r="J75" s="72"/>
      <c r="K75" s="72"/>
      <c r="L75" s="72"/>
      <c r="M75" s="72"/>
      <c r="N75" s="72"/>
      <c r="O75" s="72"/>
      <c r="P75" s="16"/>
    </row>
    <row r="76" spans="1:26" ht="15" customHeight="1" x14ac:dyDescent="0.25">
      <c r="A76" s="37"/>
      <c r="B76" s="71" t="s">
        <v>180</v>
      </c>
      <c r="C76" s="72"/>
      <c r="D76" s="72"/>
      <c r="E76" s="72"/>
      <c r="F76" s="72"/>
      <c r="G76" s="123"/>
      <c r="H76" s="123"/>
      <c r="I76" s="123"/>
      <c r="J76" s="123"/>
      <c r="K76" s="123"/>
      <c r="L76" s="123"/>
      <c r="M76" s="123"/>
      <c r="N76" s="123"/>
      <c r="O76" s="123"/>
      <c r="P76" s="16"/>
    </row>
    <row r="77" spans="1:26" ht="15" customHeight="1" x14ac:dyDescent="0.25">
      <c r="A77" s="37"/>
      <c r="B77" s="71" t="s">
        <v>70</v>
      </c>
      <c r="C77" s="72"/>
      <c r="D77" s="72"/>
      <c r="E77" s="72"/>
      <c r="F77" s="72"/>
      <c r="G77" s="123"/>
      <c r="H77" s="123"/>
      <c r="I77" s="123"/>
      <c r="J77" s="123"/>
      <c r="K77" s="123"/>
      <c r="L77" s="123"/>
      <c r="M77" s="123"/>
      <c r="N77" s="123"/>
      <c r="O77" s="123"/>
      <c r="P77" s="16"/>
    </row>
    <row r="78" spans="1:26" ht="15" customHeight="1" x14ac:dyDescent="0.25">
      <c r="A78" s="37"/>
      <c r="B78" s="71" t="s">
        <v>181</v>
      </c>
      <c r="C78" s="72"/>
      <c r="D78" s="72"/>
      <c r="E78" s="72"/>
      <c r="F78" s="66">
        <v>0</v>
      </c>
      <c r="G78" s="123"/>
      <c r="H78" s="123"/>
      <c r="I78" s="123"/>
      <c r="J78" s="123"/>
      <c r="K78" s="123"/>
      <c r="L78" s="123"/>
      <c r="M78" s="123"/>
      <c r="N78" s="123"/>
      <c r="O78" s="123"/>
      <c r="P78" s="16"/>
    </row>
    <row r="79" spans="1:26" ht="15" customHeight="1" x14ac:dyDescent="0.25">
      <c r="A79" s="37"/>
      <c r="B79" s="71" t="s">
        <v>25</v>
      </c>
      <c r="C79" s="72"/>
      <c r="D79" s="72"/>
      <c r="E79" s="72"/>
      <c r="F79" s="72"/>
      <c r="G79" s="123"/>
      <c r="H79" s="123"/>
      <c r="I79" s="123"/>
      <c r="J79" s="123"/>
      <c r="K79" s="123"/>
      <c r="L79" s="123"/>
      <c r="M79" s="123"/>
      <c r="N79" s="123"/>
      <c r="O79" s="123"/>
      <c r="P79" s="16"/>
    </row>
    <row r="80" spans="1:26" ht="15" customHeight="1" x14ac:dyDescent="0.25">
      <c r="A80" s="37"/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16"/>
    </row>
    <row r="81" spans="1:26" ht="15" customHeight="1" x14ac:dyDescent="0.25">
      <c r="A81" s="37"/>
      <c r="B81" s="72" t="s">
        <v>182</v>
      </c>
      <c r="C81" s="72"/>
      <c r="D81" s="72"/>
      <c r="E81" s="72"/>
      <c r="F81" s="72"/>
      <c r="G81" s="72">
        <f ca="1">G66+G70</f>
        <v>0</v>
      </c>
      <c r="H81" s="72">
        <f t="shared" ref="H81:O81" ca="1" si="36">H66+H70</f>
        <v>0</v>
      </c>
      <c r="I81" s="72">
        <f t="shared" ca="1" si="36"/>
        <v>0</v>
      </c>
      <c r="J81" s="72">
        <f t="shared" ca="1" si="36"/>
        <v>0</v>
      </c>
      <c r="K81" s="72">
        <f t="shared" ca="1" si="36"/>
        <v>0</v>
      </c>
      <c r="L81" s="72">
        <f t="shared" ca="1" si="36"/>
        <v>0</v>
      </c>
      <c r="M81" s="72">
        <f t="shared" ca="1" si="36"/>
        <v>209.91190511471467</v>
      </c>
      <c r="N81" s="72">
        <f t="shared" ca="1" si="36"/>
        <v>301.8661143322787</v>
      </c>
      <c r="O81" s="72">
        <f t="shared" ca="1" si="36"/>
        <v>321.51040540336669</v>
      </c>
      <c r="P81" s="16"/>
    </row>
    <row r="82" spans="1:26" ht="15" customHeight="1" x14ac:dyDescent="0.25">
      <c r="A82" s="37"/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16"/>
    </row>
    <row r="83" spans="1:26" ht="15" customHeight="1" x14ac:dyDescent="0.25">
      <c r="A83" s="37"/>
      <c r="B83" s="72" t="s">
        <v>98</v>
      </c>
      <c r="C83" s="72"/>
      <c r="D83" s="72"/>
      <c r="E83" s="72"/>
      <c r="F83" s="72"/>
      <c r="G83" s="72">
        <f>F85</f>
        <v>562.6</v>
      </c>
      <c r="H83" s="72">
        <f t="shared" ref="H83:O83" ca="1" si="37">G85</f>
        <v>562.6</v>
      </c>
      <c r="I83" s="72">
        <f t="shared" ca="1" si="37"/>
        <v>562.6</v>
      </c>
      <c r="J83" s="72">
        <f t="shared" ca="1" si="37"/>
        <v>562.6</v>
      </c>
      <c r="K83" s="72">
        <f t="shared" ca="1" si="37"/>
        <v>562.6</v>
      </c>
      <c r="L83" s="72">
        <f t="shared" ca="1" si="37"/>
        <v>562.6</v>
      </c>
      <c r="M83" s="72">
        <f t="shared" ca="1" si="37"/>
        <v>562.6</v>
      </c>
      <c r="N83" s="72">
        <f t="shared" ca="1" si="37"/>
        <v>352.68809488528535</v>
      </c>
      <c r="O83" s="72">
        <f t="shared" ca="1" si="37"/>
        <v>50.821980553006654</v>
      </c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25">
      <c r="A84" s="37"/>
      <c r="B84" s="72" t="s">
        <v>70</v>
      </c>
      <c r="C84" s="72"/>
      <c r="D84" s="72"/>
      <c r="E84" s="72"/>
      <c r="F84" s="72"/>
      <c r="G84" s="72">
        <f ca="1">-MIN(G81,G83)</f>
        <v>0</v>
      </c>
      <c r="H84" s="72">
        <f t="shared" ref="H84:O84" ca="1" si="38">-MIN(H81,H83)</f>
        <v>0</v>
      </c>
      <c r="I84" s="72">
        <f t="shared" ca="1" si="38"/>
        <v>0</v>
      </c>
      <c r="J84" s="72">
        <f t="shared" ca="1" si="38"/>
        <v>0</v>
      </c>
      <c r="K84" s="72">
        <f t="shared" ca="1" si="38"/>
        <v>0</v>
      </c>
      <c r="L84" s="72">
        <f t="shared" ca="1" si="38"/>
        <v>0</v>
      </c>
      <c r="M84" s="72">
        <f t="shared" ca="1" si="38"/>
        <v>-209.91190511471467</v>
      </c>
      <c r="N84" s="72">
        <f t="shared" ca="1" si="38"/>
        <v>-301.8661143322787</v>
      </c>
      <c r="O84" s="72">
        <f t="shared" ca="1" si="38"/>
        <v>-50.821980553006654</v>
      </c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25">
      <c r="A85" s="37"/>
      <c r="B85" s="72" t="s">
        <v>99</v>
      </c>
      <c r="C85" s="72"/>
      <c r="D85" s="72"/>
      <c r="E85" s="72"/>
      <c r="F85" s="72">
        <f>N10</f>
        <v>562.6</v>
      </c>
      <c r="G85" s="72">
        <f ca="1">SUM(G83:G84)</f>
        <v>562.6</v>
      </c>
      <c r="H85" s="72">
        <f t="shared" ref="H85:O85" ca="1" si="39">SUM(H83:H84)</f>
        <v>562.6</v>
      </c>
      <c r="I85" s="72">
        <f t="shared" ca="1" si="39"/>
        <v>562.6</v>
      </c>
      <c r="J85" s="72">
        <f t="shared" ca="1" si="39"/>
        <v>562.6</v>
      </c>
      <c r="K85" s="72">
        <f t="shared" ca="1" si="39"/>
        <v>562.6</v>
      </c>
      <c r="L85" s="72">
        <f t="shared" ca="1" si="39"/>
        <v>562.6</v>
      </c>
      <c r="M85" s="72">
        <f t="shared" ca="1" si="39"/>
        <v>352.68809488528535</v>
      </c>
      <c r="N85" s="72">
        <f t="shared" ca="1" si="39"/>
        <v>50.821980553006654</v>
      </c>
      <c r="O85" s="72">
        <f t="shared" ca="1" si="39"/>
        <v>0</v>
      </c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" customHeight="1" x14ac:dyDescent="0.25">
      <c r="A86" s="37"/>
      <c r="B86" s="72" t="s">
        <v>25</v>
      </c>
      <c r="C86" s="72"/>
      <c r="D86" s="72"/>
      <c r="E86" s="72"/>
      <c r="F86" s="72"/>
      <c r="G86" s="72">
        <f ca="1">$F$17*AVERAGE(F85:G85)</f>
        <v>39.382000000000005</v>
      </c>
      <c r="H86" s="72">
        <f t="shared" ref="H86:O86" ca="1" si="40">$F$17*AVERAGE(G85:H85)</f>
        <v>39.382000000000005</v>
      </c>
      <c r="I86" s="72">
        <f t="shared" ca="1" si="40"/>
        <v>39.382000000000005</v>
      </c>
      <c r="J86" s="72">
        <f t="shared" ca="1" si="40"/>
        <v>39.382000000000005</v>
      </c>
      <c r="K86" s="72">
        <f t="shared" ca="1" si="40"/>
        <v>39.382000000000005</v>
      </c>
      <c r="L86" s="72">
        <f t="shared" ca="1" si="40"/>
        <v>39.382000000000005</v>
      </c>
      <c r="M86" s="72">
        <f t="shared" ca="1" si="40"/>
        <v>32.035083320984988</v>
      </c>
      <c r="N86" s="72">
        <f t="shared" ca="1" si="40"/>
        <v>14.122852640340222</v>
      </c>
      <c r="O86" s="72">
        <f t="shared" ca="1" si="40"/>
        <v>1.778769319355233</v>
      </c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" customHeight="1" x14ac:dyDescent="0.25">
      <c r="A87" s="37"/>
      <c r="B87" s="72"/>
      <c r="C87" s="72"/>
      <c r="D87" s="72"/>
      <c r="E87" s="72"/>
      <c r="F87" s="72"/>
      <c r="G87" s="72"/>
      <c r="H87" s="72"/>
      <c r="I87" s="72"/>
      <c r="J87" s="72"/>
      <c r="K87" s="72"/>
      <c r="L87" s="72"/>
      <c r="M87" s="72"/>
      <c r="N87" s="72"/>
      <c r="O87" s="72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" customHeight="1" x14ac:dyDescent="0.25">
      <c r="A88" s="37"/>
      <c r="B88" s="72" t="s">
        <v>69</v>
      </c>
      <c r="C88" s="72"/>
      <c r="D88" s="72"/>
      <c r="E88" s="72"/>
      <c r="F88" s="66">
        <v>0</v>
      </c>
      <c r="G88" s="72">
        <f ca="1">G81+G84</f>
        <v>0</v>
      </c>
      <c r="H88" s="72">
        <f t="shared" ref="H88:O88" ca="1" si="41">H81+H84</f>
        <v>0</v>
      </c>
      <c r="I88" s="72">
        <f t="shared" ca="1" si="41"/>
        <v>0</v>
      </c>
      <c r="J88" s="72">
        <f t="shared" ca="1" si="41"/>
        <v>0</v>
      </c>
      <c r="K88" s="72">
        <f t="shared" ca="1" si="41"/>
        <v>0</v>
      </c>
      <c r="L88" s="72">
        <f t="shared" ca="1" si="41"/>
        <v>0</v>
      </c>
      <c r="M88" s="72">
        <f t="shared" ca="1" si="41"/>
        <v>0</v>
      </c>
      <c r="N88" s="72">
        <f t="shared" ca="1" si="41"/>
        <v>0</v>
      </c>
      <c r="O88" s="72">
        <f t="shared" ca="1" si="41"/>
        <v>270.68842485036004</v>
      </c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" customHeight="1" x14ac:dyDescent="0.25">
      <c r="A89" s="37"/>
      <c r="B89" s="72" t="s">
        <v>66</v>
      </c>
      <c r="C89" s="72"/>
      <c r="D89" s="72"/>
      <c r="E89" s="72"/>
      <c r="F89" s="72"/>
      <c r="G89" s="72">
        <f ca="1">$F$18*AVERAGE(F88:G88)</f>
        <v>0</v>
      </c>
      <c r="H89" s="72">
        <f t="shared" ref="H89:O89" ca="1" si="42">$F$18*AVERAGE(G88:H88)</f>
        <v>0</v>
      </c>
      <c r="I89" s="72">
        <f t="shared" ca="1" si="42"/>
        <v>0</v>
      </c>
      <c r="J89" s="72">
        <f t="shared" ca="1" si="42"/>
        <v>0</v>
      </c>
      <c r="K89" s="72">
        <f t="shared" ca="1" si="42"/>
        <v>0</v>
      </c>
      <c r="L89" s="72">
        <f t="shared" ca="1" si="42"/>
        <v>0</v>
      </c>
      <c r="M89" s="72">
        <f t="shared" ca="1" si="42"/>
        <v>0</v>
      </c>
      <c r="N89" s="72">
        <f t="shared" ca="1" si="42"/>
        <v>0</v>
      </c>
      <c r="O89" s="72">
        <f t="shared" ca="1" si="42"/>
        <v>0.40603263727554006</v>
      </c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" customHeight="1" x14ac:dyDescent="0.25">
      <c r="A90" s="37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" customHeight="1" x14ac:dyDescent="0.25">
      <c r="A91" s="37"/>
      <c r="B91" s="72" t="s">
        <v>262</v>
      </c>
      <c r="C91" s="16"/>
      <c r="D91" s="16"/>
      <c r="E91" s="16"/>
      <c r="G91">
        <f>F95</f>
        <v>0</v>
      </c>
      <c r="H91">
        <f t="shared" ref="H91:O91" ca="1" si="43">G95</f>
        <v>102.32555245240165</v>
      </c>
      <c r="I91">
        <f t="shared" ca="1" si="43"/>
        <v>242.37492621052581</v>
      </c>
      <c r="J91">
        <f t="shared" ca="1" si="43"/>
        <v>407.32914544929037</v>
      </c>
      <c r="K91">
        <f t="shared" ca="1" si="43"/>
        <v>598.91366732533493</v>
      </c>
      <c r="L91">
        <f t="shared" ca="1" si="43"/>
        <v>817.34517204386646</v>
      </c>
      <c r="M91">
        <f t="shared" ca="1" si="43"/>
        <v>1062.3863954212361</v>
      </c>
      <c r="N91">
        <f t="shared" ca="1" si="43"/>
        <v>1335.1119051147148</v>
      </c>
      <c r="O91">
        <f t="shared" ca="1" si="43"/>
        <v>1636.9780194469936</v>
      </c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" customHeight="1" x14ac:dyDescent="0.25">
      <c r="A92" s="37"/>
      <c r="B92" s="72" t="s">
        <v>263</v>
      </c>
      <c r="C92" s="16"/>
      <c r="D92" s="16"/>
      <c r="E92" s="16"/>
      <c r="G92">
        <f ca="1">-G70</f>
        <v>102.32555245240165</v>
      </c>
      <c r="H92">
        <f t="shared" ref="H92:O92" ca="1" si="44">-H70</f>
        <v>140.04937375812418</v>
      </c>
      <c r="I92">
        <f t="shared" ca="1" si="44"/>
        <v>164.95421923876455</v>
      </c>
      <c r="J92">
        <f t="shared" ca="1" si="44"/>
        <v>191.58452187604459</v>
      </c>
      <c r="K92">
        <f t="shared" ca="1" si="44"/>
        <v>218.4315047185315</v>
      </c>
      <c r="L92">
        <f t="shared" ca="1" si="44"/>
        <v>245.0412233773697</v>
      </c>
      <c r="M92">
        <f t="shared" ca="1" si="44"/>
        <v>62.813604578763886</v>
      </c>
      <c r="N92">
        <f t="shared" ca="1" si="44"/>
        <v>0</v>
      </c>
      <c r="O92">
        <f t="shared" ca="1" si="44"/>
        <v>0</v>
      </c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" customHeight="1" x14ac:dyDescent="0.25">
      <c r="A93" s="37"/>
      <c r="B93" t="s">
        <v>267</v>
      </c>
      <c r="C93" s="16"/>
      <c r="D93" s="16"/>
      <c r="E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" customHeight="1" x14ac:dyDescent="0.25">
      <c r="A94" s="37"/>
      <c r="B94" s="72" t="s">
        <v>264</v>
      </c>
      <c r="C94" s="16"/>
      <c r="D94" s="16"/>
      <c r="E94" s="16"/>
      <c r="G94">
        <f ca="1">-G84</f>
        <v>0</v>
      </c>
      <c r="H94">
        <f t="shared" ref="H94:O94" ca="1" si="45">-H84</f>
        <v>0</v>
      </c>
      <c r="I94">
        <f t="shared" ca="1" si="45"/>
        <v>0</v>
      </c>
      <c r="J94">
        <f t="shared" ca="1" si="45"/>
        <v>0</v>
      </c>
      <c r="K94">
        <f t="shared" ca="1" si="45"/>
        <v>0</v>
      </c>
      <c r="L94">
        <f t="shared" ca="1" si="45"/>
        <v>0</v>
      </c>
      <c r="M94">
        <f t="shared" ca="1" si="45"/>
        <v>209.91190511471467</v>
      </c>
      <c r="N94">
        <f t="shared" ca="1" si="45"/>
        <v>301.8661143322787</v>
      </c>
      <c r="O94">
        <f t="shared" ca="1" si="45"/>
        <v>50.821980553006654</v>
      </c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" customHeight="1" x14ac:dyDescent="0.25">
      <c r="A95" s="37"/>
      <c r="B95" s="72" t="s">
        <v>265</v>
      </c>
      <c r="C95" s="16"/>
      <c r="D95" s="16"/>
      <c r="E95" s="16"/>
      <c r="F95" s="66">
        <v>0</v>
      </c>
      <c r="G95">
        <f ca="1">SUM(G91:G94)</f>
        <v>102.32555245240165</v>
      </c>
      <c r="H95">
        <f t="shared" ref="H95:O95" ca="1" si="46">SUM(H91:H94)</f>
        <v>242.37492621052581</v>
      </c>
      <c r="I95">
        <f t="shared" ca="1" si="46"/>
        <v>407.32914544929037</v>
      </c>
      <c r="J95">
        <f t="shared" ca="1" si="46"/>
        <v>598.91366732533493</v>
      </c>
      <c r="K95">
        <f t="shared" ca="1" si="46"/>
        <v>817.34517204386646</v>
      </c>
      <c r="L95">
        <f t="shared" ca="1" si="46"/>
        <v>1062.3863954212361</v>
      </c>
      <c r="M95">
        <f t="shared" ca="1" si="46"/>
        <v>1335.1119051147148</v>
      </c>
      <c r="N95">
        <f t="shared" ca="1" si="46"/>
        <v>1636.9780194469936</v>
      </c>
      <c r="O95">
        <f t="shared" ca="1" si="46"/>
        <v>1687.8000000000002</v>
      </c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" customHeight="1" x14ac:dyDescent="0.25">
      <c r="A96" s="37"/>
      <c r="B96" s="72"/>
      <c r="C96" s="16"/>
      <c r="D96" s="16"/>
      <c r="E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5" customHeight="1" x14ac:dyDescent="0.25">
      <c r="A97" s="37"/>
      <c r="B97" s="72" t="s">
        <v>190</v>
      </c>
      <c r="C97" s="16"/>
      <c r="D97" s="16"/>
      <c r="E97" s="16"/>
      <c r="F97">
        <f>F71+F85</f>
        <v>1687.8000000000002</v>
      </c>
      <c r="G97">
        <f ca="1">G71+G85</f>
        <v>1585.4744475475984</v>
      </c>
      <c r="H97">
        <f t="shared" ref="H97:O97" ca="1" si="47">H71+H85</f>
        <v>1445.4250737894743</v>
      </c>
      <c r="I97">
        <f t="shared" ca="1" si="47"/>
        <v>1280.4708545507096</v>
      </c>
      <c r="J97">
        <f t="shared" ca="1" si="47"/>
        <v>1088.886332674665</v>
      </c>
      <c r="K97">
        <f t="shared" ca="1" si="47"/>
        <v>870.45482795613361</v>
      </c>
      <c r="L97">
        <f t="shared" ca="1" si="47"/>
        <v>625.41360457876385</v>
      </c>
      <c r="M97">
        <f t="shared" ca="1" si="47"/>
        <v>352.68809488528535</v>
      </c>
      <c r="N97">
        <f t="shared" ca="1" si="47"/>
        <v>50.821980553006654</v>
      </c>
      <c r="O97">
        <f t="shared" ca="1" si="47"/>
        <v>0</v>
      </c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5" customHeight="1" x14ac:dyDescent="0.25">
      <c r="A98" s="37"/>
      <c r="B98" s="72" t="s">
        <v>261</v>
      </c>
      <c r="C98" s="16"/>
      <c r="D98" s="16"/>
      <c r="E98" s="16"/>
      <c r="G98" s="69">
        <f ca="1">G95/F97</f>
        <v>6.062658635644131E-2</v>
      </c>
      <c r="H98" s="69">
        <f t="shared" ref="H98:O98" ca="1" si="48">H95/G97</f>
        <v>0.15287217437368972</v>
      </c>
      <c r="I98" s="69">
        <f t="shared" ca="1" si="48"/>
        <v>0.28180578352732916</v>
      </c>
      <c r="J98" s="69">
        <f t="shared" ca="1" si="48"/>
        <v>0.46772924600105886</v>
      </c>
      <c r="K98" s="69">
        <f t="shared" ca="1" si="48"/>
        <v>0.75062487930783039</v>
      </c>
      <c r="L98" s="69">
        <f t="shared" ca="1" si="48"/>
        <v>1.2204957239605028</v>
      </c>
      <c r="M98" s="69">
        <f t="shared" ca="1" si="48"/>
        <v>2.1347663295779369</v>
      </c>
      <c r="N98" s="69">
        <f t="shared" ca="1" si="48"/>
        <v>4.6414325949375579</v>
      </c>
      <c r="O98" s="69">
        <f t="shared" ca="1" si="48"/>
        <v>33.21003986138728</v>
      </c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5" customHeight="1" x14ac:dyDescent="0.25">
      <c r="A99" s="37"/>
      <c r="B99" s="72" t="s">
        <v>266</v>
      </c>
      <c r="C99" s="16"/>
      <c r="D99" s="16"/>
      <c r="E99" s="16"/>
      <c r="G99" s="97">
        <f ca="1">G97/G31</f>
        <v>4.265562223506481</v>
      </c>
      <c r="H99" s="97">
        <f t="shared" ref="H99:O99" ca="1" si="49">H97/H31</f>
        <v>3.5676818642331218</v>
      </c>
      <c r="I99" s="97">
        <f t="shared" ca="1" si="49"/>
        <v>2.9264188043152992</v>
      </c>
      <c r="J99" s="97">
        <f t="shared" ca="1" si="49"/>
        <v>2.3257634978324746</v>
      </c>
      <c r="K99" s="97">
        <f t="shared" ca="1" si="49"/>
        <v>1.7539749096343418</v>
      </c>
      <c r="L99" s="97">
        <f t="shared" ca="1" si="49"/>
        <v>1.2002042581313332</v>
      </c>
      <c r="M99" s="97">
        <f t="shared" ca="1" si="49"/>
        <v>0.65079663677842903</v>
      </c>
      <c r="N99" s="97">
        <f t="shared" ca="1" si="49"/>
        <v>9.1047675131159925E-2</v>
      </c>
      <c r="O99" s="97">
        <f t="shared" ca="1" si="49"/>
        <v>0</v>
      </c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5" customHeight="1" x14ac:dyDescent="0.25">
      <c r="A100" s="37"/>
      <c r="B100" s="16"/>
      <c r="C100" s="16"/>
      <c r="D100" s="16"/>
      <c r="E100" s="16"/>
      <c r="F100" s="16"/>
      <c r="G100" s="112"/>
      <c r="H100" s="112"/>
      <c r="I100" s="112"/>
      <c r="J100" s="112"/>
      <c r="K100" s="112"/>
      <c r="L100" s="112"/>
      <c r="M100" s="112"/>
      <c r="N100" s="112"/>
      <c r="O100" s="112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5" customHeight="1" x14ac:dyDescent="0.25">
      <c r="A101" s="37" t="s">
        <v>100</v>
      </c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  <row r="102" spans="1:26" ht="15" customHeight="1" x14ac:dyDescent="0.25">
      <c r="A102" s="37"/>
      <c r="B102" s="71" t="s">
        <v>184</v>
      </c>
      <c r="C102" s="72"/>
      <c r="D102" s="72"/>
      <c r="E102" s="72"/>
      <c r="G102" s="72">
        <f>G31</f>
        <v>371.69178750000003</v>
      </c>
      <c r="H102" s="72">
        <f t="shared" ref="H102:O102" si="50">H31</f>
        <v>405.14404837500007</v>
      </c>
      <c r="I102" s="72">
        <f t="shared" si="50"/>
        <v>437.55557224500006</v>
      </c>
      <c r="J102" s="72">
        <f t="shared" si="50"/>
        <v>468.18446230215011</v>
      </c>
      <c r="K102" s="72">
        <f t="shared" si="50"/>
        <v>496.27553004027914</v>
      </c>
      <c r="L102" s="72">
        <f t="shared" si="50"/>
        <v>521.08930654229312</v>
      </c>
      <c r="M102" s="72">
        <f t="shared" si="50"/>
        <v>541.93287880398486</v>
      </c>
      <c r="N102" s="72">
        <f t="shared" si="50"/>
        <v>558.19086516810432</v>
      </c>
      <c r="O102" s="72">
        <f t="shared" si="50"/>
        <v>569.35468247146639</v>
      </c>
      <c r="P102" s="16"/>
    </row>
    <row r="103" spans="1:26" ht="15" customHeight="1" x14ac:dyDescent="0.25">
      <c r="A103" s="37"/>
      <c r="B103" s="71" t="s">
        <v>72</v>
      </c>
      <c r="C103" s="72"/>
      <c r="D103" s="72"/>
      <c r="E103" s="72"/>
      <c r="F103" s="71"/>
      <c r="G103" s="72">
        <f>$F$12*G102</f>
        <v>4088.6096625000005</v>
      </c>
      <c r="H103" s="72">
        <f t="shared" ref="H103:O103" si="51">$F$12*H102</f>
        <v>4456.5845321250008</v>
      </c>
      <c r="I103" s="72">
        <f t="shared" si="51"/>
        <v>4813.1112946950007</v>
      </c>
      <c r="J103" s="72">
        <f t="shared" si="51"/>
        <v>5150.0290853236511</v>
      </c>
      <c r="K103" s="72">
        <f t="shared" si="51"/>
        <v>5459.030830443071</v>
      </c>
      <c r="L103" s="72">
        <f t="shared" si="51"/>
        <v>5731.982371965224</v>
      </c>
      <c r="M103" s="72">
        <f t="shared" si="51"/>
        <v>5961.2616668438332</v>
      </c>
      <c r="N103" s="72">
        <f t="shared" si="51"/>
        <v>6140.0995168491472</v>
      </c>
      <c r="O103" s="72">
        <f t="shared" si="51"/>
        <v>6262.9015071861304</v>
      </c>
      <c r="P103" s="16"/>
    </row>
    <row r="104" spans="1:26" ht="15" customHeight="1" x14ac:dyDescent="0.25">
      <c r="A104" s="37"/>
      <c r="B104" s="71" t="s">
        <v>30</v>
      </c>
      <c r="C104" s="72"/>
      <c r="D104" s="72"/>
      <c r="E104" s="72"/>
      <c r="F104" s="72"/>
      <c r="G104" s="72">
        <f ca="1">G97-G88</f>
        <v>1585.4744475475984</v>
      </c>
      <c r="H104" s="72">
        <f t="shared" ref="H104:O104" ca="1" si="52">H97-H88</f>
        <v>1445.4250737894743</v>
      </c>
      <c r="I104" s="72">
        <f t="shared" ca="1" si="52"/>
        <v>1280.4708545507096</v>
      </c>
      <c r="J104" s="72">
        <f t="shared" ca="1" si="52"/>
        <v>1088.886332674665</v>
      </c>
      <c r="K104" s="72">
        <f t="shared" ca="1" si="52"/>
        <v>870.45482795613361</v>
      </c>
      <c r="L104" s="72">
        <f t="shared" ca="1" si="52"/>
        <v>625.41360457876385</v>
      </c>
      <c r="M104" s="72">
        <f t="shared" ca="1" si="52"/>
        <v>352.68809488528535</v>
      </c>
      <c r="N104" s="72">
        <f t="shared" ca="1" si="52"/>
        <v>50.821980553006654</v>
      </c>
      <c r="O104" s="72">
        <f t="shared" ca="1" si="52"/>
        <v>-270.68842485036004</v>
      </c>
      <c r="P104" s="16"/>
    </row>
    <row r="105" spans="1:26" ht="15" customHeight="1" x14ac:dyDescent="0.25">
      <c r="A105" s="37"/>
      <c r="B105" s="71" t="s">
        <v>102</v>
      </c>
      <c r="C105" s="72"/>
      <c r="D105" s="72"/>
      <c r="E105" s="72"/>
      <c r="F105" s="72"/>
      <c r="G105" s="72">
        <f ca="1">G103-G104</f>
        <v>2503.1352149524018</v>
      </c>
      <c r="H105" s="72">
        <f t="shared" ref="H105:O105" ca="1" si="53">H103-H104</f>
        <v>3011.1594583355263</v>
      </c>
      <c r="I105" s="72">
        <f t="shared" ca="1" si="53"/>
        <v>3532.640440144291</v>
      </c>
      <c r="J105" s="72">
        <f t="shared" ca="1" si="53"/>
        <v>4061.1427526489861</v>
      </c>
      <c r="K105" s="72">
        <f t="shared" ca="1" si="53"/>
        <v>4588.5760024869378</v>
      </c>
      <c r="L105" s="72">
        <f t="shared" ca="1" si="53"/>
        <v>5106.5687673864604</v>
      </c>
      <c r="M105" s="72">
        <f t="shared" ca="1" si="53"/>
        <v>5608.5735719585482</v>
      </c>
      <c r="N105" s="72">
        <f t="shared" ca="1" si="53"/>
        <v>6089.2775362961402</v>
      </c>
      <c r="O105" s="72">
        <f t="shared" ca="1" si="53"/>
        <v>6533.5899320364906</v>
      </c>
      <c r="P105" s="16"/>
    </row>
    <row r="106" spans="1:26" ht="15" customHeight="1" x14ac:dyDescent="0.25">
      <c r="A106" s="37"/>
      <c r="B106" s="71" t="s">
        <v>183</v>
      </c>
      <c r="C106" s="72"/>
      <c r="D106" s="72"/>
      <c r="E106" s="72"/>
      <c r="F106" s="72"/>
      <c r="G106" s="98"/>
      <c r="H106" s="98"/>
      <c r="I106" s="98"/>
      <c r="J106" s="98"/>
      <c r="K106" s="98"/>
      <c r="L106" s="98"/>
      <c r="M106" s="98"/>
      <c r="N106" s="98"/>
      <c r="O106" s="98"/>
      <c r="P106" s="16"/>
    </row>
    <row r="107" spans="1:26" ht="15" customHeight="1" x14ac:dyDescent="0.25">
      <c r="A107" s="37"/>
      <c r="B107" s="72"/>
      <c r="C107" s="72"/>
      <c r="D107" s="72"/>
      <c r="E107" s="72"/>
      <c r="P107" s="16"/>
    </row>
    <row r="108" spans="1:26" ht="15" customHeight="1" x14ac:dyDescent="0.25">
      <c r="A108" s="37"/>
      <c r="B108" s="71" t="s">
        <v>103</v>
      </c>
      <c r="C108" s="72"/>
      <c r="D108" s="72"/>
      <c r="E108" s="72"/>
      <c r="F108" s="72">
        <f>-N11</f>
        <v>-1437.4430000000004</v>
      </c>
      <c r="G108" s="72">
        <f t="shared" ref="G108:O108" si="54">IF(G22=$F$20,G105,0)</f>
        <v>0</v>
      </c>
      <c r="H108" s="72">
        <f t="shared" si="54"/>
        <v>0</v>
      </c>
      <c r="I108" s="72">
        <f t="shared" si="54"/>
        <v>0</v>
      </c>
      <c r="J108" s="72">
        <f t="shared" si="54"/>
        <v>0</v>
      </c>
      <c r="K108" s="72">
        <f t="shared" ca="1" si="54"/>
        <v>4588.5760024869378</v>
      </c>
      <c r="L108" s="72">
        <f t="shared" si="54"/>
        <v>0</v>
      </c>
      <c r="M108" s="72">
        <f t="shared" si="54"/>
        <v>0</v>
      </c>
      <c r="N108" s="72">
        <f t="shared" si="54"/>
        <v>0</v>
      </c>
      <c r="O108" s="72">
        <f t="shared" si="54"/>
        <v>0</v>
      </c>
      <c r="P108" s="16"/>
    </row>
    <row r="109" spans="1:26" ht="15" customHeight="1" x14ac:dyDescent="0.25">
      <c r="A109" s="37"/>
      <c r="B109" s="71" t="s">
        <v>104</v>
      </c>
      <c r="C109" s="72"/>
      <c r="D109" s="72"/>
      <c r="F109" s="78">
        <f ca="1">IRR(F108:O108)</f>
        <v>0.261297280777264</v>
      </c>
      <c r="G109" s="72"/>
      <c r="H109" s="72"/>
      <c r="I109" s="72"/>
      <c r="J109" s="72"/>
      <c r="K109" s="72"/>
      <c r="L109" s="72"/>
      <c r="M109" s="72"/>
      <c r="N109" s="72"/>
      <c r="O109" s="72"/>
      <c r="P109" s="16"/>
    </row>
    <row r="110" spans="1:26" ht="15" customHeight="1" x14ac:dyDescent="0.25">
      <c r="A110" s="37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26" ht="15" customHeight="1" x14ac:dyDescent="0.25">
      <c r="A111" s="37" t="s">
        <v>105</v>
      </c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26" ht="15" customHeight="1" x14ac:dyDescent="0.25">
      <c r="A112" s="37"/>
      <c r="B112" s="71" t="s">
        <v>106</v>
      </c>
      <c r="C112" s="72"/>
      <c r="D112" s="72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25">
      <c r="A113" s="37"/>
      <c r="B113" s="72"/>
      <c r="C113" s="72"/>
      <c r="D113" s="100" t="s">
        <v>89</v>
      </c>
      <c r="E113" s="101"/>
      <c r="F113" s="101"/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25">
      <c r="A114" s="37"/>
      <c r="B114" s="16"/>
      <c r="C114" s="81">
        <f ca="1">F109</f>
        <v>0.261297280777264</v>
      </c>
      <c r="D114" s="56">
        <v>3</v>
      </c>
      <c r="E114" s="56">
        <v>4</v>
      </c>
      <c r="F114" s="56">
        <v>5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25">
      <c r="A115" s="37"/>
      <c r="B115" s="16"/>
      <c r="C115" s="55">
        <v>9</v>
      </c>
      <c r="D115" s="39">
        <f t="dataTable" ref="D115:F132" dt2D="1" dtr="1" r1="F20" r2="F11" ca="1"/>
        <v>0.59584390120761865</v>
      </c>
      <c r="E115" s="39">
        <v>0.4702121618844739</v>
      </c>
      <c r="F115" s="39">
        <v>0.39479359238956335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25">
      <c r="A116" s="37"/>
      <c r="B116" s="16"/>
      <c r="C116" s="55">
        <f t="shared" ref="C116:C132" si="55">C115+0.5</f>
        <v>9.5</v>
      </c>
      <c r="D116" s="39">
        <v>0.51731914088026731</v>
      </c>
      <c r="E116" s="39">
        <v>0.41561418952733531</v>
      </c>
      <c r="F116" s="39">
        <v>0.35319959932294576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25">
      <c r="A117" s="37"/>
      <c r="B117" s="16"/>
      <c r="C117" s="55">
        <f t="shared" si="55"/>
        <v>10</v>
      </c>
      <c r="D117" s="39">
        <v>0.45227417894207322</v>
      </c>
      <c r="E117" s="39">
        <v>0.36985205845672242</v>
      </c>
      <c r="F117" s="39">
        <v>0.31808940197117153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  <row r="118" spans="1:16" ht="15" customHeight="1" x14ac:dyDescent="0.25">
      <c r="A118" s="37"/>
      <c r="B118" s="16"/>
      <c r="C118" s="55">
        <f t="shared" si="55"/>
        <v>10.5</v>
      </c>
      <c r="D118" s="39">
        <v>0.39711886383186878</v>
      </c>
      <c r="E118" s="39">
        <v>0.33064504844295151</v>
      </c>
      <c r="F118" s="39">
        <v>0.28782162234008291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 ht="15" customHeight="1" x14ac:dyDescent="0.25">
      <c r="A119" s="37"/>
      <c r="B119" s="16"/>
      <c r="C119" s="55">
        <f t="shared" si="55"/>
        <v>11</v>
      </c>
      <c r="D119" s="39">
        <v>0.34948978442101675</v>
      </c>
      <c r="E119" s="39">
        <v>0.29647577365343336</v>
      </c>
      <c r="F119" s="39">
        <v>0.261297280777264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/>
    </row>
    <row r="120" spans="1:16" ht="15" customHeight="1" x14ac:dyDescent="0.25">
      <c r="A120" s="37"/>
      <c r="B120" s="16"/>
      <c r="C120" s="55">
        <f t="shared" si="55"/>
        <v>11.5</v>
      </c>
      <c r="D120" s="39">
        <v>0.30775577890057848</v>
      </c>
      <c r="E120" s="39">
        <v>0.2662871235601274</v>
      </c>
      <c r="F120" s="39">
        <v>0.23774644415424051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</row>
    <row r="121" spans="1:16" ht="15" customHeight="1" x14ac:dyDescent="0.25">
      <c r="A121" s="37"/>
      <c r="B121" s="71" t="s">
        <v>107</v>
      </c>
      <c r="C121" s="55">
        <f t="shared" si="55"/>
        <v>12</v>
      </c>
      <c r="D121" s="39">
        <v>0.27074797794224947</v>
      </c>
      <c r="E121" s="39">
        <v>0.23931519725310535</v>
      </c>
      <c r="F121" s="39">
        <v>0.21660992488529307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</row>
    <row r="122" spans="1:16" ht="15" customHeight="1" x14ac:dyDescent="0.25">
      <c r="A122" s="37"/>
      <c r="B122" s="16"/>
      <c r="C122" s="55">
        <f t="shared" si="55"/>
        <v>12.5</v>
      </c>
      <c r="D122" s="39">
        <v>0.23760277311624911</v>
      </c>
      <c r="E122" s="39">
        <v>0.21499127773559401</v>
      </c>
      <c r="F122" s="39">
        <v>0.19746950651253892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</row>
    <row r="123" spans="1:16" ht="15" customHeight="1" x14ac:dyDescent="0.25">
      <c r="A123" s="37"/>
      <c r="B123" s="16"/>
      <c r="C123" s="55">
        <f t="shared" si="55"/>
        <v>13</v>
      </c>
      <c r="D123" s="39">
        <v>0.20766568068734359</v>
      </c>
      <c r="E123" s="39">
        <v>0.19288134915838384</v>
      </c>
      <c r="F123" s="39">
        <v>0.18000469015221698</v>
      </c>
      <c r="G123" s="16"/>
      <c r="H123" s="16"/>
      <c r="I123" s="16"/>
      <c r="J123" s="16"/>
      <c r="K123" s="16"/>
      <c r="L123" s="16"/>
      <c r="M123" s="16"/>
      <c r="N123" s="16"/>
      <c r="O123" s="16"/>
      <c r="P123" s="16"/>
    </row>
    <row r="124" spans="1:16" ht="15" customHeight="1" x14ac:dyDescent="0.25">
      <c r="A124" s="37"/>
      <c r="B124" s="16"/>
      <c r="C124" s="55">
        <f t="shared" si="55"/>
        <v>13.5</v>
      </c>
      <c r="D124" s="39">
        <v>0.18042995260871653</v>
      </c>
      <c r="E124" s="39">
        <v>0.17264719892154679</v>
      </c>
      <c r="F124" s="39">
        <v>0.16396475812815847</v>
      </c>
      <c r="G124" s="16"/>
      <c r="H124" s="16"/>
      <c r="I124" s="16"/>
      <c r="J124" s="16"/>
      <c r="K124" s="16"/>
      <c r="L124" s="16"/>
      <c r="M124" s="16"/>
      <c r="N124" s="16"/>
      <c r="O124" s="16"/>
      <c r="P124" s="16"/>
    </row>
    <row r="125" spans="1:16" ht="15" customHeight="1" x14ac:dyDescent="0.25">
      <c r="A125" s="37"/>
      <c r="B125" s="16"/>
      <c r="C125" s="55">
        <f t="shared" si="55"/>
        <v>14</v>
      </c>
      <c r="D125" s="39">
        <v>0.15549596448047764</v>
      </c>
      <c r="E125" s="92">
        <v>0.15402051579455134</v>
      </c>
      <c r="F125" s="39">
        <v>0.14915009815041569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</row>
    <row r="126" spans="1:16" ht="15" customHeight="1" x14ac:dyDescent="0.25">
      <c r="A126" s="37"/>
      <c r="B126" s="16"/>
      <c r="C126" s="55">
        <f t="shared" si="55"/>
        <v>14.5</v>
      </c>
      <c r="D126" s="39">
        <v>0.13254352681202652</v>
      </c>
      <c r="E126" s="39">
        <v>0.13678512317294245</v>
      </c>
      <c r="F126" s="39">
        <v>0.13539934655645447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</row>
    <row r="127" spans="1:16" ht="15" customHeight="1" x14ac:dyDescent="0.25">
      <c r="A127" s="37"/>
      <c r="B127" s="16"/>
      <c r="C127" s="55">
        <f t="shared" si="55"/>
        <v>15</v>
      </c>
      <c r="D127" s="39">
        <v>0.11131251032419764</v>
      </c>
      <c r="E127" s="39">
        <v>0.12076447686695579</v>
      </c>
      <c r="F127" s="39">
        <v>0.12258031052656615</v>
      </c>
      <c r="G127" s="16"/>
      <c r="H127" s="16"/>
      <c r="I127" s="16"/>
      <c r="J127" s="16"/>
      <c r="K127" s="16"/>
      <c r="L127" s="16"/>
      <c r="M127" s="16"/>
      <c r="N127" s="16"/>
      <c r="O127" s="16"/>
      <c r="P127" s="16"/>
    </row>
    <row r="128" spans="1:16" ht="15" customHeight="1" x14ac:dyDescent="0.25">
      <c r="A128" s="37"/>
      <c r="B128" s="16"/>
      <c r="C128" s="55">
        <f t="shared" si="55"/>
        <v>15.5</v>
      </c>
      <c r="D128" s="39">
        <v>9.158897832442503E-2</v>
      </c>
      <c r="E128" s="39">
        <v>0.10581266925033339</v>
      </c>
      <c r="F128" s="39">
        <v>0.11058341560236684</v>
      </c>
      <c r="G128" s="16"/>
      <c r="H128" s="16"/>
      <c r="I128" s="16"/>
      <c r="J128" s="16"/>
      <c r="K128" s="16"/>
      <c r="L128" s="16"/>
      <c r="M128" s="16"/>
      <c r="N128" s="16"/>
      <c r="O128" s="16"/>
      <c r="P128" s="16"/>
    </row>
    <row r="129" spans="1:16" ht="15" customHeight="1" x14ac:dyDescent="0.25">
      <c r="A129" s="37"/>
      <c r="B129" s="16"/>
      <c r="C129" s="55">
        <f t="shared" si="55"/>
        <v>16</v>
      </c>
      <c r="D129" s="39">
        <v>7.3195061145300722E-2</v>
      </c>
      <c r="E129" s="39">
        <v>9.1807828248552159E-2</v>
      </c>
      <c r="F129" s="39">
        <v>9.9316883212352547E-2</v>
      </c>
      <c r="G129" s="16"/>
      <c r="H129" s="16"/>
      <c r="I129" s="16"/>
      <c r="J129" s="16"/>
      <c r="K129" s="16"/>
      <c r="L129" s="16"/>
      <c r="M129" s="16"/>
      <c r="N129" s="16"/>
      <c r="O129" s="16"/>
      <c r="P129" s="16"/>
    </row>
    <row r="130" spans="1:16" ht="15" customHeight="1" x14ac:dyDescent="0.25">
      <c r="A130" s="37"/>
      <c r="B130" s="16"/>
      <c r="C130" s="55">
        <f t="shared" si="55"/>
        <v>16.5</v>
      </c>
      <c r="D130" s="39">
        <v>5.5981431136926663E-2</v>
      </c>
      <c r="E130" s="39">
        <v>7.8647188718766303E-2</v>
      </c>
      <c r="F130" s="39">
        <v>8.8703119971890176E-2</v>
      </c>
      <c r="G130" s="16"/>
      <c r="H130" s="16"/>
      <c r="I130" s="16"/>
      <c r="J130" s="16"/>
      <c r="K130" s="16"/>
      <c r="L130" s="16"/>
      <c r="M130" s="16"/>
      <c r="N130" s="16"/>
      <c r="O130" s="16"/>
      <c r="P130" s="16"/>
    </row>
    <row r="131" spans="1:16" ht="15" customHeight="1" x14ac:dyDescent="0.25">
      <c r="A131" s="37"/>
      <c r="B131" s="16"/>
      <c r="C131" s="55">
        <f t="shared" si="55"/>
        <v>17</v>
      </c>
      <c r="D131" s="39">
        <v>3.982162143650414E-2</v>
      </c>
      <c r="E131" s="39">
        <v>6.6243354961281975E-2</v>
      </c>
      <c r="F131" s="39">
        <v>7.8675972272161721E-2</v>
      </c>
      <c r="G131" s="16"/>
      <c r="H131" s="16"/>
      <c r="I131" s="16"/>
      <c r="J131" s="16"/>
      <c r="K131" s="16"/>
      <c r="L131" s="16"/>
      <c r="M131" s="16"/>
      <c r="N131" s="16"/>
      <c r="O131" s="16"/>
      <c r="P131" s="16"/>
    </row>
    <row r="132" spans="1:16" ht="15" customHeight="1" x14ac:dyDescent="0.25">
      <c r="A132" s="37"/>
      <c r="B132" s="16"/>
      <c r="C132" s="55">
        <f t="shared" si="55"/>
        <v>17.5</v>
      </c>
      <c r="D132" s="39">
        <v>2.4607675558701247E-2</v>
      </c>
      <c r="E132" s="39">
        <v>5.452142669908322E-2</v>
      </c>
      <c r="F132" s="39">
        <v>6.9178609872962982E-2</v>
      </c>
      <c r="G132" s="16"/>
      <c r="H132" s="16"/>
      <c r="I132" s="16"/>
      <c r="J132" s="16"/>
      <c r="K132" s="16"/>
      <c r="L132" s="16"/>
      <c r="M132" s="16"/>
      <c r="N132" s="16"/>
      <c r="O132" s="16"/>
      <c r="P132" s="16"/>
    </row>
    <row r="133" spans="1:16" ht="15" customHeight="1" x14ac:dyDescent="0.25">
      <c r="A133" s="37"/>
      <c r="B133" s="16"/>
      <c r="C133" s="16"/>
      <c r="D133" s="39"/>
      <c r="E133" s="39"/>
      <c r="F133" s="39"/>
      <c r="G133" s="16"/>
      <c r="H133" s="16"/>
      <c r="I133" s="16"/>
      <c r="J133" s="16"/>
      <c r="K133" s="16"/>
      <c r="L133" s="16"/>
      <c r="M133" s="16"/>
      <c r="N133" s="16"/>
      <c r="O133" s="16"/>
      <c r="P133" s="16"/>
    </row>
    <row r="134" spans="1:16" ht="15" customHeight="1" x14ac:dyDescent="0.25">
      <c r="A134" s="37" t="s">
        <v>32</v>
      </c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</row>
  </sheetData>
  <printOptions headings="1" gridLines="1"/>
  <pageMargins left="0.25" right="0.25" top="0.75" bottom="0.75" header="0.3" footer="0.3"/>
  <pageSetup paperSize="9" scale="48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9C8E9-0BE7-47E9-9F04-DF01868F4A68}">
  <sheetPr>
    <tabColor theme="9"/>
    <pageSetUpPr fitToPage="1"/>
  </sheetPr>
  <dimension ref="A1:Z64"/>
  <sheetViews>
    <sheetView zoomScaleNormal="100" workbookViewId="0">
      <pane xSplit="2" ySplit="3" topLeftCell="C4" activePane="bottomRight" state="frozen"/>
      <selection sqref="A1:O42"/>
      <selection pane="topRight" sqref="A1:O42"/>
      <selection pane="bottomLeft" sqref="A1:O42"/>
      <selection pane="bottomRight"/>
    </sheetView>
  </sheetViews>
  <sheetFormatPr defaultColWidth="12.5703125" defaultRowHeight="15" customHeight="1" x14ac:dyDescent="0.25"/>
  <cols>
    <col min="1" max="1" width="1.140625" customWidth="1"/>
    <col min="2" max="2" width="49.42578125" bestFit="1" customWidth="1"/>
    <col min="3" max="15" width="10.28515625" customWidth="1"/>
    <col min="16" max="16" width="29" bestFit="1" customWidth="1"/>
    <col min="17" max="26" width="8" customWidth="1"/>
  </cols>
  <sheetData>
    <row r="1" spans="1:26" ht="45" customHeight="1" x14ac:dyDescent="0.45">
      <c r="A1" s="41" t="str">
        <f>Info!N5&amp;" Leveraged Recapitalization"</f>
        <v>Talisman Leveraged Recapitalization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3">
      <c r="A2" s="48"/>
      <c r="B2" s="48"/>
      <c r="C2" s="48"/>
      <c r="D2" s="48" t="s">
        <v>164</v>
      </c>
      <c r="E2" s="48" t="s">
        <v>164</v>
      </c>
      <c r="F2" s="48" t="s">
        <v>164</v>
      </c>
      <c r="G2" s="48" t="s">
        <v>163</v>
      </c>
      <c r="H2" s="48" t="s">
        <v>163</v>
      </c>
      <c r="I2" s="48" t="s">
        <v>163</v>
      </c>
      <c r="J2" s="48" t="s">
        <v>163</v>
      </c>
      <c r="K2" s="48" t="s">
        <v>163</v>
      </c>
      <c r="L2" s="48" t="s">
        <v>163</v>
      </c>
      <c r="M2" s="48" t="s">
        <v>163</v>
      </c>
      <c r="N2" s="48" t="s">
        <v>163</v>
      </c>
      <c r="O2" s="48" t="s">
        <v>163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25">
      <c r="A3" s="48"/>
      <c r="B3" s="48"/>
      <c r="C3" s="51"/>
      <c r="D3" s="51">
        <f t="shared" ref="D3" si="0">DATE(YEAR(E3)-1,MONTH(E3),DAY(E3))</f>
        <v>44196</v>
      </c>
      <c r="E3" s="51">
        <f>DATE(YEAR(F3)-1,MONTH(F3),DAY(F3))</f>
        <v>44561</v>
      </c>
      <c r="F3" s="51">
        <v>44926</v>
      </c>
      <c r="G3" s="51">
        <v>45291</v>
      </c>
      <c r="H3" s="51">
        <f>DATE(YEAR(G3)+1,MONTH(G3),DAY(G3))</f>
        <v>45657</v>
      </c>
      <c r="I3" s="51">
        <f t="shared" ref="I3:O3" si="1">DATE(YEAR(H3)+1,MONTH(H3),DAY(H3))</f>
        <v>46022</v>
      </c>
      <c r="J3" s="51">
        <f t="shared" si="1"/>
        <v>46387</v>
      </c>
      <c r="K3" s="51">
        <f t="shared" si="1"/>
        <v>46752</v>
      </c>
      <c r="L3" s="51">
        <f t="shared" si="1"/>
        <v>47118</v>
      </c>
      <c r="M3" s="51">
        <f t="shared" si="1"/>
        <v>47483</v>
      </c>
      <c r="N3" s="51">
        <f t="shared" si="1"/>
        <v>47848</v>
      </c>
      <c r="O3" s="51">
        <f t="shared" si="1"/>
        <v>48213</v>
      </c>
    </row>
    <row r="4" spans="1:26" ht="15" customHeight="1" x14ac:dyDescent="0.25">
      <c r="A4" s="71" t="str">
        <f>"All numbers in "&amp;Info!$N$7&amp;LOWER(LEFT(Info!$N$8,1))&amp;" unless otherwise stated"</f>
        <v>All numbers in EURm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2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25">
      <c r="A6" s="95" t="s">
        <v>188</v>
      </c>
    </row>
    <row r="7" spans="1:26" ht="15" customHeight="1" x14ac:dyDescent="0.25">
      <c r="B7" t="s">
        <v>206</v>
      </c>
      <c r="C7" s="96">
        <v>3</v>
      </c>
    </row>
    <row r="8" spans="1:26" ht="15" customHeight="1" x14ac:dyDescent="0.25">
      <c r="B8" t="s">
        <v>187</v>
      </c>
      <c r="C8" s="57">
        <v>0.02</v>
      </c>
    </row>
    <row r="9" spans="1:26" ht="15" customHeight="1" x14ac:dyDescent="0.25">
      <c r="B9" t="s">
        <v>192</v>
      </c>
      <c r="C9" s="57">
        <v>0.01</v>
      </c>
    </row>
    <row r="10" spans="1:26" ht="15" customHeight="1" x14ac:dyDescent="0.25">
      <c r="B10" t="s">
        <v>198</v>
      </c>
      <c r="C10" s="52">
        <v>1</v>
      </c>
    </row>
    <row r="11" spans="1:26" ht="15" customHeight="1" x14ac:dyDescent="0.25">
      <c r="C11" s="69"/>
    </row>
    <row r="12" spans="1:26" ht="15" customHeight="1" x14ac:dyDescent="0.25">
      <c r="A12" s="95" t="s">
        <v>260</v>
      </c>
      <c r="C12" s="69" t="s">
        <v>209</v>
      </c>
      <c r="D12" t="s">
        <v>166</v>
      </c>
    </row>
    <row r="13" spans="1:26" ht="15" customHeight="1" x14ac:dyDescent="0.25">
      <c r="B13" t="s">
        <v>81</v>
      </c>
      <c r="C13" s="67">
        <v>3.5</v>
      </c>
      <c r="D13" s="57">
        <v>0.06</v>
      </c>
    </row>
    <row r="14" spans="1:26" ht="15" customHeight="1" x14ac:dyDescent="0.25">
      <c r="B14" t="s">
        <v>83</v>
      </c>
      <c r="C14" s="67">
        <v>1.5</v>
      </c>
      <c r="D14" s="57">
        <v>0.09</v>
      </c>
    </row>
    <row r="16" spans="1:26" ht="15" customHeight="1" x14ac:dyDescent="0.25">
      <c r="B16" t="s">
        <v>101</v>
      </c>
      <c r="F16" s="66">
        <v>0</v>
      </c>
      <c r="G16">
        <f>F16+1</f>
        <v>1</v>
      </c>
      <c r="H16">
        <f t="shared" ref="H16:O16" si="2">G16+1</f>
        <v>2</v>
      </c>
      <c r="I16">
        <f t="shared" si="2"/>
        <v>3</v>
      </c>
      <c r="J16">
        <f t="shared" si="2"/>
        <v>4</v>
      </c>
      <c r="K16">
        <f t="shared" si="2"/>
        <v>5</v>
      </c>
      <c r="L16">
        <f t="shared" si="2"/>
        <v>6</v>
      </c>
      <c r="M16">
        <f t="shared" si="2"/>
        <v>7</v>
      </c>
      <c r="N16">
        <f t="shared" si="2"/>
        <v>8</v>
      </c>
      <c r="O16">
        <f t="shared" si="2"/>
        <v>9</v>
      </c>
    </row>
    <row r="18" spans="1:15" ht="15" customHeight="1" x14ac:dyDescent="0.25">
      <c r="A18" s="95" t="s">
        <v>189</v>
      </c>
    </row>
    <row r="19" spans="1:15" ht="15" customHeight="1" x14ac:dyDescent="0.25">
      <c r="B19" t="s">
        <v>81</v>
      </c>
    </row>
    <row r="20" spans="1:15" ht="15" customHeight="1" x14ac:dyDescent="0.25">
      <c r="B20" t="s">
        <v>83</v>
      </c>
    </row>
    <row r="21" spans="1:15" ht="15" customHeight="1" x14ac:dyDescent="0.25">
      <c r="B21" t="s">
        <v>190</v>
      </c>
    </row>
    <row r="22" spans="1:15" ht="15" customHeight="1" x14ac:dyDescent="0.25">
      <c r="B22" t="s">
        <v>191</v>
      </c>
    </row>
    <row r="23" spans="1:15" ht="15" customHeight="1" x14ac:dyDescent="0.25">
      <c r="B23" t="s">
        <v>30</v>
      </c>
    </row>
    <row r="25" spans="1:15" ht="15" customHeight="1" x14ac:dyDescent="0.25">
      <c r="A25" s="95" t="s">
        <v>223</v>
      </c>
    </row>
    <row r="26" spans="1:15" ht="15" customHeight="1" x14ac:dyDescent="0.25">
      <c r="B26" t="s">
        <v>81</v>
      </c>
      <c r="F26" s="97"/>
      <c r="G26" s="97"/>
      <c r="H26" s="97"/>
      <c r="I26" s="97"/>
      <c r="J26" s="97"/>
      <c r="K26" s="97"/>
      <c r="L26" s="97"/>
      <c r="M26" s="97"/>
      <c r="N26" s="97"/>
      <c r="O26" s="97"/>
    </row>
    <row r="27" spans="1:15" ht="15" customHeight="1" x14ac:dyDescent="0.25">
      <c r="B27" t="s">
        <v>83</v>
      </c>
      <c r="F27" s="97"/>
      <c r="G27" s="97"/>
      <c r="H27" s="97"/>
      <c r="I27" s="97"/>
      <c r="J27" s="97"/>
      <c r="K27" s="97"/>
      <c r="L27" s="97"/>
      <c r="M27" s="97"/>
      <c r="N27" s="97"/>
      <c r="O27" s="97"/>
    </row>
    <row r="28" spans="1:15" ht="15" customHeight="1" x14ac:dyDescent="0.25">
      <c r="B28" t="s">
        <v>190</v>
      </c>
      <c r="F28" s="97"/>
      <c r="G28" s="97"/>
      <c r="H28" s="97"/>
      <c r="I28" s="97"/>
      <c r="J28" s="97"/>
      <c r="K28" s="97"/>
      <c r="L28" s="97"/>
      <c r="M28" s="97"/>
      <c r="N28" s="97"/>
      <c r="O28" s="97"/>
    </row>
    <row r="29" spans="1:15" ht="15" customHeight="1" x14ac:dyDescent="0.25">
      <c r="B29" t="s">
        <v>30</v>
      </c>
      <c r="F29" s="97"/>
      <c r="G29" s="97"/>
      <c r="H29" s="97"/>
      <c r="I29" s="97"/>
      <c r="J29" s="97"/>
      <c r="K29" s="97"/>
      <c r="L29" s="97"/>
      <c r="M29" s="97"/>
      <c r="N29" s="97"/>
      <c r="O29" s="97"/>
    </row>
    <row r="31" spans="1:15" ht="15" customHeight="1" x14ac:dyDescent="0.25">
      <c r="A31" s="95" t="s">
        <v>193</v>
      </c>
    </row>
    <row r="32" spans="1:15" ht="15" customHeight="1" x14ac:dyDescent="0.25">
      <c r="B32" t="str">
        <f>B13&amp;" recap"</f>
        <v>Senior debt recap</v>
      </c>
    </row>
    <row r="33" spans="1:3" ht="15" customHeight="1" x14ac:dyDescent="0.25">
      <c r="B33" t="str">
        <f>B14&amp;" recap"</f>
        <v>Unsecured notes recap</v>
      </c>
    </row>
    <row r="34" spans="1:3" ht="15" customHeight="1" x14ac:dyDescent="0.25">
      <c r="B34" t="s">
        <v>194</v>
      </c>
    </row>
    <row r="36" spans="1:3" ht="15" customHeight="1" x14ac:dyDescent="0.25">
      <c r="A36" s="95" t="s">
        <v>195</v>
      </c>
    </row>
    <row r="37" spans="1:3" ht="15" customHeight="1" x14ac:dyDescent="0.25">
      <c r="B37" t="str">
        <f>B13&amp;" repayment"</f>
        <v>Senior debt repayment</v>
      </c>
    </row>
    <row r="38" spans="1:3" ht="15" customHeight="1" x14ac:dyDescent="0.25">
      <c r="B38" t="str">
        <f>B14&amp;" repayment"</f>
        <v>Unsecured notes repayment</v>
      </c>
    </row>
    <row r="39" spans="1:3" ht="15" customHeight="1" x14ac:dyDescent="0.25">
      <c r="B39" t="s">
        <v>196</v>
      </c>
    </row>
    <row r="40" spans="1:3" ht="15" customHeight="1" x14ac:dyDescent="0.25">
      <c r="B40" t="s">
        <v>225</v>
      </c>
      <c r="C40" s="96">
        <v>0</v>
      </c>
    </row>
    <row r="41" spans="1:3" ht="15" customHeight="1" x14ac:dyDescent="0.25">
      <c r="B41" t="s">
        <v>226</v>
      </c>
      <c r="C41" s="96">
        <v>1</v>
      </c>
    </row>
    <row r="42" spans="1:3" ht="15" customHeight="1" x14ac:dyDescent="0.25">
      <c r="B42" t="s">
        <v>200</v>
      </c>
    </row>
    <row r="44" spans="1:3" ht="15" customHeight="1" x14ac:dyDescent="0.25">
      <c r="B44" t="s">
        <v>197</v>
      </c>
    </row>
    <row r="45" spans="1:3" ht="15" customHeight="1" x14ac:dyDescent="0.25">
      <c r="B45" t="s">
        <v>199</v>
      </c>
    </row>
    <row r="47" spans="1:3" ht="15" customHeight="1" x14ac:dyDescent="0.25">
      <c r="A47" s="95" t="s">
        <v>227</v>
      </c>
    </row>
    <row r="48" spans="1:3" ht="15" customHeight="1" x14ac:dyDescent="0.25">
      <c r="B48" t="s">
        <v>81</v>
      </c>
    </row>
    <row r="49" spans="1:15" ht="15" customHeight="1" x14ac:dyDescent="0.25">
      <c r="B49" t="s">
        <v>83</v>
      </c>
    </row>
    <row r="50" spans="1:15" ht="15" customHeight="1" x14ac:dyDescent="0.25">
      <c r="B50" t="s">
        <v>190</v>
      </c>
    </row>
    <row r="51" spans="1:15" ht="15" customHeight="1" x14ac:dyDescent="0.25">
      <c r="B51" t="s">
        <v>191</v>
      </c>
    </row>
    <row r="52" spans="1:15" ht="15" customHeight="1" x14ac:dyDescent="0.25">
      <c r="B52" t="s">
        <v>30</v>
      </c>
    </row>
    <row r="54" spans="1:15" ht="15" customHeight="1" x14ac:dyDescent="0.25">
      <c r="A54" s="95" t="s">
        <v>224</v>
      </c>
    </row>
    <row r="55" spans="1:15" ht="15" customHeight="1" x14ac:dyDescent="0.25">
      <c r="B55" t="s">
        <v>81</v>
      </c>
      <c r="F55" s="97"/>
      <c r="G55" s="97"/>
      <c r="H55" s="97"/>
      <c r="I55" s="97"/>
      <c r="J55" s="97"/>
      <c r="K55" s="97"/>
      <c r="L55" s="97"/>
      <c r="M55" s="97"/>
      <c r="N55" s="97"/>
      <c r="O55" s="97"/>
    </row>
    <row r="56" spans="1:15" ht="15" customHeight="1" x14ac:dyDescent="0.25">
      <c r="B56" t="s">
        <v>83</v>
      </c>
      <c r="F56" s="97"/>
      <c r="G56" s="97"/>
      <c r="H56" s="97"/>
      <c r="I56" s="97"/>
      <c r="J56" s="97"/>
      <c r="K56" s="97"/>
      <c r="L56" s="97"/>
      <c r="M56" s="97"/>
      <c r="N56" s="97"/>
      <c r="O56" s="97"/>
    </row>
    <row r="57" spans="1:15" ht="15" customHeight="1" x14ac:dyDescent="0.25">
      <c r="B57" t="s">
        <v>190</v>
      </c>
      <c r="F57" s="97"/>
      <c r="G57" s="97"/>
      <c r="H57" s="97"/>
      <c r="I57" s="97"/>
      <c r="J57" s="97"/>
      <c r="K57" s="97"/>
      <c r="L57" s="97"/>
      <c r="M57" s="97"/>
      <c r="N57" s="97"/>
      <c r="O57" s="97"/>
    </row>
    <row r="58" spans="1:15" ht="15" customHeight="1" x14ac:dyDescent="0.25">
      <c r="B58" t="s">
        <v>30</v>
      </c>
      <c r="F58" s="97"/>
      <c r="G58" s="97"/>
      <c r="H58" s="97"/>
      <c r="I58" s="97"/>
      <c r="J58" s="97"/>
      <c r="K58" s="97"/>
      <c r="L58" s="97"/>
      <c r="M58" s="97"/>
      <c r="N58" s="97"/>
      <c r="O58" s="97"/>
    </row>
    <row r="63" spans="1:15" ht="15" customHeight="1" x14ac:dyDescent="0.25">
      <c r="I63" s="99"/>
    </row>
    <row r="64" spans="1:15" ht="15" customHeight="1" x14ac:dyDescent="0.25">
      <c r="I64" s="99"/>
    </row>
  </sheetData>
  <printOptions headings="1" gridLines="1"/>
  <pageMargins left="0.25" right="0.25" top="0.75" bottom="0.75" header="0.3" footer="0.3"/>
  <pageSetup paperSize="9" scale="4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2652C-A419-473A-97FE-CF2534842F99}">
  <sheetPr>
    <tabColor theme="9"/>
    <pageSetUpPr fitToPage="1"/>
  </sheetPr>
  <dimension ref="A1:Z143"/>
  <sheetViews>
    <sheetView zoomScaleNormal="100" workbookViewId="0">
      <pane xSplit="2" ySplit="3" topLeftCell="C4" activePane="bottomRight" state="frozen"/>
      <selection sqref="A1:O42"/>
      <selection pane="topRight" sqref="A1:O42"/>
      <selection pane="bottomLeft" sqref="A1:O42"/>
      <selection pane="bottomRight"/>
    </sheetView>
  </sheetViews>
  <sheetFormatPr defaultColWidth="12.5703125" defaultRowHeight="15" customHeight="1" x14ac:dyDescent="0.25"/>
  <cols>
    <col min="1" max="1" width="1.140625" customWidth="1"/>
    <col min="2" max="2" width="49.42578125" bestFit="1" customWidth="1"/>
    <col min="3" max="15" width="10.28515625" customWidth="1"/>
    <col min="16" max="16" width="29" bestFit="1" customWidth="1"/>
    <col min="17" max="26" width="8" customWidth="1"/>
  </cols>
  <sheetData>
    <row r="1" spans="1:26" ht="45" customHeight="1" x14ac:dyDescent="0.45">
      <c r="A1" s="94" t="str">
        <f>Info!N5&amp;" LBO Analysis &amp; Recapitalization"</f>
        <v>Talisman LBO Analysis &amp; Recapitalization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2"/>
      <c r="Q1" s="42"/>
      <c r="R1" s="42"/>
      <c r="S1" s="42"/>
      <c r="T1" s="42"/>
      <c r="U1" s="42"/>
      <c r="V1" s="42"/>
      <c r="W1" s="42"/>
      <c r="X1" s="42"/>
      <c r="Y1" s="42"/>
      <c r="Z1" s="42"/>
    </row>
    <row r="2" spans="1:26" ht="15" customHeight="1" x14ac:dyDescent="0.3">
      <c r="A2" s="48"/>
      <c r="B2" s="48"/>
      <c r="C2" s="48"/>
      <c r="D2" s="48" t="s">
        <v>164</v>
      </c>
      <c r="E2" s="48" t="s">
        <v>164</v>
      </c>
      <c r="F2" s="48" t="s">
        <v>164</v>
      </c>
      <c r="G2" s="48" t="s">
        <v>163</v>
      </c>
      <c r="H2" s="48" t="s">
        <v>163</v>
      </c>
      <c r="I2" s="48" t="s">
        <v>163</v>
      </c>
      <c r="J2" s="48" t="s">
        <v>163</v>
      </c>
      <c r="K2" s="48" t="s">
        <v>163</v>
      </c>
      <c r="L2" s="48" t="s">
        <v>163</v>
      </c>
      <c r="M2" s="48" t="s">
        <v>163</v>
      </c>
      <c r="N2" s="48" t="s">
        <v>163</v>
      </c>
      <c r="O2" s="48" t="s">
        <v>163</v>
      </c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</row>
    <row r="3" spans="1:26" ht="15" customHeight="1" x14ac:dyDescent="0.25">
      <c r="A3" s="48"/>
      <c r="B3" s="48"/>
      <c r="C3" s="51"/>
      <c r="D3" s="51">
        <f>DATE(YEAR(E3)-1,MONTH(E3),DAY(E3))</f>
        <v>44196</v>
      </c>
      <c r="E3" s="51">
        <f>DATE(YEAR(F3)-1,MONTH(F3),DAY(F3))</f>
        <v>44561</v>
      </c>
      <c r="F3" s="51">
        <v>44926</v>
      </c>
      <c r="G3" s="51">
        <v>45291</v>
      </c>
      <c r="H3" s="51">
        <f t="shared" ref="H3:O3" si="0">DATE(YEAR(G3)+1,MONTH(G3),DAY(G3))</f>
        <v>45657</v>
      </c>
      <c r="I3" s="51">
        <f t="shared" si="0"/>
        <v>46022</v>
      </c>
      <c r="J3" s="51">
        <f t="shared" si="0"/>
        <v>46387</v>
      </c>
      <c r="K3" s="51">
        <f t="shared" si="0"/>
        <v>46752</v>
      </c>
      <c r="L3" s="51">
        <f t="shared" si="0"/>
        <v>47118</v>
      </c>
      <c r="M3" s="51">
        <f t="shared" si="0"/>
        <v>47483</v>
      </c>
      <c r="N3" s="51">
        <f t="shared" si="0"/>
        <v>47848</v>
      </c>
      <c r="O3" s="51">
        <f t="shared" si="0"/>
        <v>48213</v>
      </c>
    </row>
    <row r="4" spans="1:26" ht="15" customHeight="1" x14ac:dyDescent="0.25">
      <c r="A4" s="71" t="str">
        <f>"All numbers in "&amp;Info!$N$7&amp;LOWER(LEFT(Info!$N$8,1))&amp;" unless otherwise stated"</f>
        <v>All numbers in EURm unless otherwise stated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26" ht="15" customHeight="1" x14ac:dyDescent="0.25">
      <c r="A5" s="71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26" ht="15" customHeight="1" x14ac:dyDescent="0.25">
      <c r="A6" s="71"/>
      <c r="B6" s="50" t="s">
        <v>205</v>
      </c>
      <c r="C6" s="96">
        <v>1</v>
      </c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pans="1:26" ht="15" customHeight="1" x14ac:dyDescent="0.25">
      <c r="A7" s="71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</row>
    <row r="8" spans="1:26" ht="15" customHeight="1" x14ac:dyDescent="0.25">
      <c r="A8" s="37" t="s">
        <v>154</v>
      </c>
      <c r="B8" s="16"/>
      <c r="C8" s="16"/>
      <c r="D8" s="16"/>
      <c r="E8" s="16"/>
      <c r="F8" s="16"/>
      <c r="G8" s="37" t="s">
        <v>77</v>
      </c>
      <c r="H8" s="16"/>
      <c r="I8" s="16"/>
      <c r="J8" s="16"/>
      <c r="K8" s="16"/>
      <c r="L8" s="16"/>
      <c r="M8" s="71" t="s">
        <v>208</v>
      </c>
      <c r="N8" s="16"/>
      <c r="O8" s="16"/>
      <c r="P8" s="50"/>
    </row>
    <row r="9" spans="1:26" ht="15" customHeight="1" x14ac:dyDescent="0.25">
      <c r="A9" s="37"/>
      <c r="B9" s="71" t="s">
        <v>60</v>
      </c>
      <c r="C9" s="16"/>
      <c r="D9" s="16"/>
      <c r="E9" s="68"/>
      <c r="F9" s="72">
        <f>+F27</f>
        <v>281.3</v>
      </c>
      <c r="G9" s="71" t="s">
        <v>72</v>
      </c>
      <c r="H9" s="72"/>
      <c r="I9" s="72"/>
      <c r="J9" s="72">
        <f>+F9*F11</f>
        <v>3094.3</v>
      </c>
      <c r="K9" s="71" t="s">
        <v>81</v>
      </c>
      <c r="L9" s="16"/>
      <c r="M9" s="54">
        <v>4</v>
      </c>
      <c r="N9" s="72">
        <f>M9*F9</f>
        <v>1125.2</v>
      </c>
      <c r="O9" s="16"/>
      <c r="P9" s="50"/>
    </row>
    <row r="10" spans="1:26" ht="15" customHeight="1" x14ac:dyDescent="0.25">
      <c r="A10" s="37"/>
      <c r="B10" s="71" t="s">
        <v>82</v>
      </c>
      <c r="C10" s="16"/>
      <c r="D10" s="16"/>
      <c r="E10" s="50"/>
      <c r="F10" s="54">
        <v>6</v>
      </c>
      <c r="G10" s="71" t="s">
        <v>78</v>
      </c>
      <c r="H10" s="72"/>
      <c r="I10" s="72"/>
      <c r="J10" s="72">
        <f>+F19*J9</f>
        <v>30.943000000000001</v>
      </c>
      <c r="K10" s="72" t="s">
        <v>83</v>
      </c>
      <c r="L10" s="16"/>
      <c r="M10" s="80">
        <f>+F10-M9</f>
        <v>2</v>
      </c>
      <c r="N10" s="72">
        <f>M10*F9</f>
        <v>562.6</v>
      </c>
      <c r="O10" s="16"/>
      <c r="P10" s="16"/>
    </row>
    <row r="11" spans="1:26" ht="15" customHeight="1" x14ac:dyDescent="0.25">
      <c r="A11" s="37"/>
      <c r="B11" s="72" t="s">
        <v>84</v>
      </c>
      <c r="C11" s="16"/>
      <c r="D11" s="16"/>
      <c r="E11" s="40"/>
      <c r="F11" s="67">
        <v>11</v>
      </c>
      <c r="K11" s="71" t="s">
        <v>64</v>
      </c>
      <c r="L11" s="16"/>
      <c r="M11" s="16"/>
      <c r="N11" s="72">
        <f>J12-SUM(N9:N10)</f>
        <v>1437.4430000000002</v>
      </c>
      <c r="O11" s="16"/>
      <c r="P11" s="16"/>
    </row>
    <row r="12" spans="1:26" ht="15" customHeight="1" x14ac:dyDescent="0.25">
      <c r="A12" s="37"/>
      <c r="B12" s="72" t="s">
        <v>152</v>
      </c>
      <c r="F12" s="67">
        <v>11</v>
      </c>
      <c r="G12" s="71" t="s">
        <v>79</v>
      </c>
      <c r="H12" s="72"/>
      <c r="I12" s="72"/>
      <c r="J12" s="72">
        <f>SUM(J9:J10)</f>
        <v>3125.2430000000004</v>
      </c>
      <c r="K12" s="71" t="s">
        <v>80</v>
      </c>
      <c r="L12" s="16"/>
      <c r="M12" s="16"/>
      <c r="N12" s="72"/>
      <c r="O12" s="16"/>
      <c r="P12" s="16"/>
    </row>
    <row r="13" spans="1:26" ht="15" customHeight="1" x14ac:dyDescent="0.25">
      <c r="A13" s="37"/>
      <c r="B13" s="72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</row>
    <row r="14" spans="1:26" ht="15" customHeight="1" x14ac:dyDescent="0.25">
      <c r="A14" s="37"/>
      <c r="B14" s="71" t="s">
        <v>85</v>
      </c>
      <c r="C14" s="16"/>
      <c r="D14" s="16"/>
      <c r="F14" s="57">
        <v>2.4178000000000002E-2</v>
      </c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26" ht="15" customHeight="1" x14ac:dyDescent="0.25">
      <c r="A15" s="37"/>
      <c r="B15" s="71" t="s">
        <v>73</v>
      </c>
      <c r="C15" s="16"/>
      <c r="D15" s="16"/>
      <c r="F15" s="57">
        <v>2.5000000000000001E-2</v>
      </c>
      <c r="G15" s="16"/>
      <c r="H15" s="16"/>
      <c r="I15" s="16"/>
      <c r="J15" s="16"/>
      <c r="K15" s="16"/>
      <c r="L15" s="16"/>
      <c r="M15" s="16"/>
      <c r="N15" s="16"/>
      <c r="O15" s="16"/>
      <c r="P15" s="16"/>
    </row>
    <row r="16" spans="1:26" ht="15" customHeight="1" x14ac:dyDescent="0.25">
      <c r="A16" s="37"/>
      <c r="B16" s="71" t="s">
        <v>86</v>
      </c>
      <c r="C16" s="16"/>
      <c r="D16" s="16"/>
      <c r="F16" s="79">
        <f>SUM(F14:F15)</f>
        <v>4.9177999999999999E-2</v>
      </c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26" ht="15" customHeight="1" x14ac:dyDescent="0.25">
      <c r="A17" s="37"/>
      <c r="B17" s="72" t="s">
        <v>87</v>
      </c>
      <c r="C17" s="16"/>
      <c r="D17" s="16"/>
      <c r="F17" s="57">
        <v>7.0000000000000007E-2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ht="15" customHeight="1" x14ac:dyDescent="0.25">
      <c r="A18" s="37"/>
      <c r="B18" s="72" t="s">
        <v>62</v>
      </c>
      <c r="C18" s="16"/>
      <c r="D18" s="16"/>
      <c r="F18" s="57">
        <v>3.0000000000000001E-3</v>
      </c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ht="15" customHeight="1" x14ac:dyDescent="0.25">
      <c r="A19" s="37"/>
      <c r="B19" s="71" t="s">
        <v>88</v>
      </c>
      <c r="C19" s="16"/>
      <c r="D19" s="16"/>
      <c r="F19" s="57">
        <v>0.01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</row>
    <row r="20" spans="1:26" ht="15" customHeight="1" x14ac:dyDescent="0.25">
      <c r="A20" s="37"/>
      <c r="B20" s="71" t="s">
        <v>89</v>
      </c>
      <c r="C20" s="16"/>
      <c r="D20" s="16"/>
      <c r="F20" s="44">
        <v>5</v>
      </c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26" ht="15" customHeight="1" x14ac:dyDescent="0.25">
      <c r="A21" s="37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</row>
    <row r="22" spans="1:26" ht="15" customHeight="1" x14ac:dyDescent="0.25">
      <c r="A22" s="37"/>
      <c r="B22" s="71" t="s">
        <v>101</v>
      </c>
      <c r="C22" s="72"/>
      <c r="D22" s="72"/>
      <c r="E22" s="72"/>
      <c r="G22" s="72">
        <f>F22+1</f>
        <v>1</v>
      </c>
      <c r="H22" s="72">
        <f t="shared" ref="H22:O22" si="1">G22+1</f>
        <v>2</v>
      </c>
      <c r="I22" s="72">
        <f t="shared" si="1"/>
        <v>3</v>
      </c>
      <c r="J22" s="72">
        <f t="shared" si="1"/>
        <v>4</v>
      </c>
      <c r="K22" s="72">
        <f t="shared" si="1"/>
        <v>5</v>
      </c>
      <c r="L22" s="72">
        <f t="shared" si="1"/>
        <v>6</v>
      </c>
      <c r="M22" s="72">
        <f t="shared" si="1"/>
        <v>7</v>
      </c>
      <c r="N22" s="72">
        <f t="shared" si="1"/>
        <v>8</v>
      </c>
      <c r="O22" s="72">
        <f t="shared" si="1"/>
        <v>9</v>
      </c>
      <c r="P22" s="16"/>
    </row>
    <row r="23" spans="1:26" ht="15" customHeight="1" x14ac:dyDescent="0.25">
      <c r="A23" s="37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</row>
    <row r="24" spans="1:26" ht="15" customHeight="1" x14ac:dyDescent="0.25">
      <c r="A24" s="37" t="s">
        <v>155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</row>
    <row r="25" spans="1:26" ht="15" customHeight="1" x14ac:dyDescent="0.25">
      <c r="A25" s="37"/>
      <c r="B25" s="72" t="s">
        <v>42</v>
      </c>
      <c r="C25" s="16"/>
      <c r="D25" s="75">
        <v>1168.595</v>
      </c>
      <c r="E25" s="75">
        <v>1317.9849999999999</v>
      </c>
      <c r="F25" s="75">
        <v>1469.1375</v>
      </c>
      <c r="G25">
        <f>(1+G26)*F25</f>
        <v>1616.0512500000002</v>
      </c>
      <c r="H25">
        <f t="shared" ref="H25:O25" si="2">(1+H26)*G25</f>
        <v>1761.4958625000004</v>
      </c>
      <c r="I25">
        <f t="shared" si="2"/>
        <v>1902.4155315000005</v>
      </c>
      <c r="J25">
        <f t="shared" si="2"/>
        <v>2035.5846187050006</v>
      </c>
      <c r="K25">
        <f t="shared" si="2"/>
        <v>2157.7196958273007</v>
      </c>
      <c r="L25">
        <f t="shared" si="2"/>
        <v>2265.6056806186657</v>
      </c>
      <c r="M25">
        <f t="shared" si="2"/>
        <v>2356.2299078434125</v>
      </c>
      <c r="N25">
        <f t="shared" si="2"/>
        <v>2426.9168050787148</v>
      </c>
      <c r="O25">
        <f t="shared" si="2"/>
        <v>2475.455141180289</v>
      </c>
      <c r="P25" s="16"/>
    </row>
    <row r="26" spans="1:26" ht="15" customHeight="1" x14ac:dyDescent="0.25">
      <c r="A26" s="37"/>
      <c r="B26" s="72" t="s">
        <v>156</v>
      </c>
      <c r="C26" s="16"/>
      <c r="D26" s="75"/>
      <c r="E26" s="76">
        <f>+E25/D25-1</f>
        <v>0.1278372746759997</v>
      </c>
      <c r="F26" s="76">
        <f>+F25/E25-1</f>
        <v>0.11468453738092621</v>
      </c>
      <c r="G26" s="70">
        <v>0.1</v>
      </c>
      <c r="H26" s="70">
        <f>G26-1%</f>
        <v>9.0000000000000011E-2</v>
      </c>
      <c r="I26" s="70">
        <f t="shared" ref="I26:O26" si="3">H26-1%</f>
        <v>8.0000000000000016E-2</v>
      </c>
      <c r="J26" s="70">
        <f t="shared" si="3"/>
        <v>7.0000000000000021E-2</v>
      </c>
      <c r="K26" s="70">
        <f t="shared" si="3"/>
        <v>6.0000000000000019E-2</v>
      </c>
      <c r="L26" s="70">
        <f t="shared" si="3"/>
        <v>5.0000000000000017E-2</v>
      </c>
      <c r="M26" s="70">
        <f t="shared" si="3"/>
        <v>4.0000000000000015E-2</v>
      </c>
      <c r="N26" s="70">
        <f t="shared" si="3"/>
        <v>3.0000000000000013E-2</v>
      </c>
      <c r="O26" s="70">
        <f t="shared" si="3"/>
        <v>2.0000000000000011E-2</v>
      </c>
      <c r="P26" s="16"/>
    </row>
    <row r="27" spans="1:26" ht="15" customHeight="1" x14ac:dyDescent="0.25">
      <c r="A27" s="37"/>
      <c r="B27" s="72" t="s">
        <v>24</v>
      </c>
      <c r="C27" s="16"/>
      <c r="D27" s="75">
        <v>250.96750000000009</v>
      </c>
      <c r="E27" s="75">
        <v>278.55749999999989</v>
      </c>
      <c r="F27" s="75">
        <v>281.3</v>
      </c>
      <c r="G27">
        <f>G28*G25</f>
        <v>339.37076250000001</v>
      </c>
      <c r="H27">
        <f t="shared" ref="H27:O27" si="4">H28*H25</f>
        <v>369.91413112500004</v>
      </c>
      <c r="I27">
        <f t="shared" si="4"/>
        <v>399.50726161500006</v>
      </c>
      <c r="J27">
        <f t="shared" si="4"/>
        <v>427.47276992805013</v>
      </c>
      <c r="K27">
        <f t="shared" si="4"/>
        <v>453.12113612373315</v>
      </c>
      <c r="L27">
        <f t="shared" si="4"/>
        <v>475.77719292991981</v>
      </c>
      <c r="M27">
        <f t="shared" si="4"/>
        <v>494.80828064711659</v>
      </c>
      <c r="N27">
        <f t="shared" si="4"/>
        <v>509.65252906653006</v>
      </c>
      <c r="O27">
        <f t="shared" si="4"/>
        <v>519.84557964786063</v>
      </c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</row>
    <row r="28" spans="1:26" ht="15" customHeight="1" x14ac:dyDescent="0.25">
      <c r="A28" s="37"/>
      <c r="B28" s="72" t="s">
        <v>31</v>
      </c>
      <c r="C28" s="16"/>
      <c r="D28" s="16"/>
      <c r="E28" s="73">
        <f>+E27/E25</f>
        <v>0.21135103965523122</v>
      </c>
      <c r="F28" s="73">
        <f>+F27/F25</f>
        <v>0.19147288800401596</v>
      </c>
      <c r="G28" s="52">
        <v>0.21</v>
      </c>
      <c r="H28" s="52">
        <f t="shared" ref="H28:O28" si="5">+G28</f>
        <v>0.21</v>
      </c>
      <c r="I28" s="52">
        <f t="shared" si="5"/>
        <v>0.21</v>
      </c>
      <c r="J28" s="52">
        <f t="shared" si="5"/>
        <v>0.21</v>
      </c>
      <c r="K28" s="52">
        <f t="shared" si="5"/>
        <v>0.21</v>
      </c>
      <c r="L28" s="52">
        <f t="shared" si="5"/>
        <v>0.21</v>
      </c>
      <c r="M28" s="52">
        <f t="shared" si="5"/>
        <v>0.21</v>
      </c>
      <c r="N28" s="52">
        <f t="shared" si="5"/>
        <v>0.21</v>
      </c>
      <c r="O28" s="52">
        <f t="shared" si="5"/>
        <v>0.21</v>
      </c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" customHeight="1" x14ac:dyDescent="0.25">
      <c r="A29" s="37"/>
      <c r="B29" s="72" t="s">
        <v>150</v>
      </c>
      <c r="C29" s="16"/>
      <c r="D29" s="16"/>
      <c r="E29" s="53"/>
      <c r="F29" s="53"/>
      <c r="G29" s="52">
        <v>0.02</v>
      </c>
      <c r="H29" s="52">
        <v>0.02</v>
      </c>
      <c r="I29" s="52">
        <v>0.02</v>
      </c>
      <c r="J29" s="52">
        <v>0.02</v>
      </c>
      <c r="K29" s="52">
        <v>0.02</v>
      </c>
      <c r="L29" s="52">
        <v>0.02</v>
      </c>
      <c r="M29" s="52">
        <v>0.02</v>
      </c>
      <c r="N29" s="52">
        <v>0.02</v>
      </c>
      <c r="O29" s="52">
        <v>0.02</v>
      </c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" customHeight="1" x14ac:dyDescent="0.25">
      <c r="A30" s="37"/>
      <c r="B30" s="72" t="s">
        <v>90</v>
      </c>
      <c r="C30" s="16"/>
      <c r="D30" s="16"/>
      <c r="E30" s="16"/>
      <c r="F30" s="16"/>
      <c r="G30" s="72">
        <f>G29*G25</f>
        <v>32.321025000000006</v>
      </c>
      <c r="H30" s="72">
        <f t="shared" ref="H30:O30" si="6">H29*H25</f>
        <v>35.229917250000007</v>
      </c>
      <c r="I30" s="72">
        <f t="shared" si="6"/>
        <v>38.04831063000001</v>
      </c>
      <c r="J30" s="72">
        <f t="shared" si="6"/>
        <v>40.711692374100011</v>
      </c>
      <c r="K30" s="72">
        <f t="shared" si="6"/>
        <v>43.154393916546013</v>
      </c>
      <c r="L30" s="72">
        <f t="shared" si="6"/>
        <v>45.312113612373317</v>
      </c>
      <c r="M30" s="72">
        <f t="shared" si="6"/>
        <v>47.124598156868252</v>
      </c>
      <c r="N30" s="72">
        <f t="shared" si="6"/>
        <v>48.538336101574295</v>
      </c>
      <c r="O30" s="72">
        <f t="shared" si="6"/>
        <v>49.50910282360578</v>
      </c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" customHeight="1" x14ac:dyDescent="0.25">
      <c r="A31" s="37"/>
      <c r="B31" s="71" t="s">
        <v>91</v>
      </c>
      <c r="C31" s="16"/>
      <c r="D31" s="16"/>
      <c r="E31" s="16"/>
      <c r="F31" s="16"/>
      <c r="G31" s="72">
        <f>G27+G30</f>
        <v>371.69178750000003</v>
      </c>
      <c r="H31" s="72">
        <f t="shared" ref="H31:O31" si="7">H27+H30</f>
        <v>405.14404837500007</v>
      </c>
      <c r="I31" s="72">
        <f t="shared" si="7"/>
        <v>437.55557224500006</v>
      </c>
      <c r="J31" s="72">
        <f t="shared" si="7"/>
        <v>468.18446230215011</v>
      </c>
      <c r="K31" s="72">
        <f t="shared" si="7"/>
        <v>496.27553004027914</v>
      </c>
      <c r="L31" s="72">
        <f t="shared" si="7"/>
        <v>521.08930654229312</v>
      </c>
      <c r="M31" s="72">
        <f t="shared" si="7"/>
        <v>541.93287880398486</v>
      </c>
      <c r="N31" s="72">
        <f t="shared" si="7"/>
        <v>558.19086516810432</v>
      </c>
      <c r="O31" s="72">
        <f t="shared" si="7"/>
        <v>569.35468247146639</v>
      </c>
      <c r="P31" s="16"/>
    </row>
    <row r="32" spans="1:26" ht="15" customHeight="1" x14ac:dyDescent="0.25">
      <c r="A32" s="36"/>
      <c r="B32" s="72" t="s">
        <v>151</v>
      </c>
      <c r="C32" s="16"/>
      <c r="D32" s="16"/>
      <c r="E32" s="16"/>
      <c r="F32" s="16"/>
      <c r="G32" s="73">
        <f>G31/G25</f>
        <v>0.22999999999999998</v>
      </c>
      <c r="H32" s="73">
        <f t="shared" ref="H32:O32" si="8">H31/H25</f>
        <v>0.22999999999999998</v>
      </c>
      <c r="I32" s="73">
        <f t="shared" si="8"/>
        <v>0.22999999999999998</v>
      </c>
      <c r="J32" s="73">
        <f t="shared" si="8"/>
        <v>0.22999999999999998</v>
      </c>
      <c r="K32" s="73">
        <f t="shared" si="8"/>
        <v>0.22999999999999998</v>
      </c>
      <c r="L32" s="73">
        <f t="shared" si="8"/>
        <v>0.23</v>
      </c>
      <c r="M32" s="73">
        <f t="shared" si="8"/>
        <v>0.22999999999999998</v>
      </c>
      <c r="N32" s="73">
        <f t="shared" si="8"/>
        <v>0.22999999999999995</v>
      </c>
      <c r="O32" s="73">
        <f t="shared" si="8"/>
        <v>0.22999999999999995</v>
      </c>
      <c r="P32" s="16"/>
    </row>
    <row r="33" spans="1:26" ht="15" customHeight="1" x14ac:dyDescent="0.25">
      <c r="A33" s="36"/>
      <c r="B33" s="72" t="s">
        <v>158</v>
      </c>
      <c r="C33" s="16"/>
      <c r="D33" s="75">
        <v>63.6</v>
      </c>
      <c r="E33" s="75">
        <v>91.44</v>
      </c>
      <c r="F33" s="75">
        <v>77.034999999999997</v>
      </c>
      <c r="G33">
        <f>G34*G25</f>
        <v>101.81122875000001</v>
      </c>
      <c r="H33">
        <f t="shared" ref="H33:O33" si="9">H34*H25</f>
        <v>110.97423933750002</v>
      </c>
      <c r="I33">
        <f t="shared" si="9"/>
        <v>119.85217848450003</v>
      </c>
      <c r="J33">
        <f t="shared" si="9"/>
        <v>128.24183097841504</v>
      </c>
      <c r="K33">
        <f t="shared" si="9"/>
        <v>135.93634083711996</v>
      </c>
      <c r="L33">
        <f t="shared" si="9"/>
        <v>142.73315787897593</v>
      </c>
      <c r="M33">
        <f t="shared" si="9"/>
        <v>148.44248419413501</v>
      </c>
      <c r="N33">
        <f t="shared" si="9"/>
        <v>152.89575871995902</v>
      </c>
      <c r="O33">
        <f t="shared" si="9"/>
        <v>155.95367389435822</v>
      </c>
      <c r="P33" s="16"/>
    </row>
    <row r="34" spans="1:26" ht="15" customHeight="1" x14ac:dyDescent="0.25">
      <c r="A34" s="36"/>
      <c r="B34" s="72" t="s">
        <v>157</v>
      </c>
      <c r="C34" s="16"/>
      <c r="D34" s="73">
        <f>+D33/D25</f>
        <v>5.4424330071581685E-2</v>
      </c>
      <c r="E34" s="73">
        <f t="shared" ref="E34:F34" si="10">+E33/E25</f>
        <v>6.9378634809956111E-2</v>
      </c>
      <c r="F34" s="73">
        <f t="shared" si="10"/>
        <v>5.2435527648024775E-2</v>
      </c>
      <c r="G34" s="70">
        <v>6.3E-2</v>
      </c>
      <c r="H34" s="70">
        <v>6.3E-2</v>
      </c>
      <c r="I34" s="70">
        <v>6.3E-2</v>
      </c>
      <c r="J34" s="70">
        <v>6.3E-2</v>
      </c>
      <c r="K34" s="70">
        <v>6.3E-2</v>
      </c>
      <c r="L34" s="70">
        <v>6.3E-2</v>
      </c>
      <c r="M34" s="70">
        <v>6.3E-2</v>
      </c>
      <c r="N34" s="70">
        <v>6.3E-2</v>
      </c>
      <c r="O34" s="70">
        <v>6.3E-2</v>
      </c>
      <c r="P34" s="16"/>
    </row>
    <row r="35" spans="1:26" ht="15" customHeight="1" x14ac:dyDescent="0.25">
      <c r="A35" s="36"/>
      <c r="B35" s="72" t="s">
        <v>63</v>
      </c>
      <c r="C35" s="16"/>
      <c r="D35" s="75">
        <v>34.784999999999997</v>
      </c>
      <c r="E35" s="75">
        <v>44.742499999999993</v>
      </c>
      <c r="F35" s="75">
        <v>53.7</v>
      </c>
      <c r="G35">
        <f>G36*G33</f>
        <v>71.267860124999999</v>
      </c>
      <c r="H35">
        <f t="shared" ref="H35:O35" si="11">H36*H33</f>
        <v>77.681967536250013</v>
      </c>
      <c r="I35">
        <f t="shared" si="11"/>
        <v>83.896524939150012</v>
      </c>
      <c r="J35">
        <f t="shared" si="11"/>
        <v>96.181373233811286</v>
      </c>
      <c r="K35">
        <f t="shared" si="11"/>
        <v>108.74907266969598</v>
      </c>
      <c r="L35">
        <f t="shared" si="11"/>
        <v>121.32318419712954</v>
      </c>
      <c r="M35">
        <f t="shared" si="11"/>
        <v>133.5982357747215</v>
      </c>
      <c r="N35">
        <f t="shared" si="11"/>
        <v>145.25097078396107</v>
      </c>
      <c r="O35">
        <f t="shared" si="11"/>
        <v>148.15599019964031</v>
      </c>
      <c r="P35" s="16"/>
    </row>
    <row r="36" spans="1:26" ht="15" customHeight="1" x14ac:dyDescent="0.25">
      <c r="A36" s="36"/>
      <c r="B36" s="72" t="s">
        <v>270</v>
      </c>
      <c r="C36" s="16"/>
      <c r="D36" s="73">
        <f>+D35/D33</f>
        <v>0.54693396226415092</v>
      </c>
      <c r="E36" s="73">
        <f t="shared" ref="E36:F36" si="12">+E35/E33</f>
        <v>0.48930993000874884</v>
      </c>
      <c r="F36" s="73">
        <f t="shared" si="12"/>
        <v>0.69708574024793934</v>
      </c>
      <c r="G36" s="70">
        <v>0.7</v>
      </c>
      <c r="H36" s="70">
        <v>0.7</v>
      </c>
      <c r="I36" s="70">
        <v>0.7</v>
      </c>
      <c r="J36" s="70">
        <v>0.75</v>
      </c>
      <c r="K36" s="70">
        <v>0.8</v>
      </c>
      <c r="L36" s="70">
        <v>0.85</v>
      </c>
      <c r="M36" s="70">
        <v>0.9</v>
      </c>
      <c r="N36" s="70">
        <v>0.95</v>
      </c>
      <c r="O36" s="70">
        <v>0.95</v>
      </c>
      <c r="P36" s="16"/>
    </row>
    <row r="37" spans="1:26" ht="15" customHeight="1" x14ac:dyDescent="0.25">
      <c r="A37" s="36"/>
      <c r="B37" s="72" t="s">
        <v>268</v>
      </c>
      <c r="C37" s="16"/>
      <c r="D37" s="53"/>
      <c r="E37" s="75">
        <v>159.38750000000002</v>
      </c>
      <c r="F37" s="75">
        <v>184.45750000000004</v>
      </c>
      <c r="G37">
        <f>G38*G25</f>
        <v>218.16691875000004</v>
      </c>
      <c r="H37">
        <f t="shared" ref="H37:O37" si="13">H38*H25</f>
        <v>237.80194143750006</v>
      </c>
      <c r="I37">
        <f t="shared" si="13"/>
        <v>256.82609675250006</v>
      </c>
      <c r="J37">
        <f t="shared" si="13"/>
        <v>274.80392352517509</v>
      </c>
      <c r="K37">
        <f t="shared" si="13"/>
        <v>291.29215893668561</v>
      </c>
      <c r="L37">
        <f t="shared" si="13"/>
        <v>305.85676688351987</v>
      </c>
      <c r="M37">
        <f t="shared" si="13"/>
        <v>318.09103755886071</v>
      </c>
      <c r="N37">
        <f t="shared" si="13"/>
        <v>327.63376868562653</v>
      </c>
      <c r="O37">
        <f t="shared" si="13"/>
        <v>334.18644405933907</v>
      </c>
      <c r="P37" s="16"/>
    </row>
    <row r="38" spans="1:26" ht="15" customHeight="1" x14ac:dyDescent="0.25">
      <c r="A38" s="36"/>
      <c r="B38" s="77" t="s">
        <v>269</v>
      </c>
      <c r="C38" s="16"/>
      <c r="D38" s="53"/>
      <c r="E38" s="73">
        <f>+E37/E25</f>
        <v>0.12093271167729529</v>
      </c>
      <c r="F38" s="73">
        <f>+F37/F25</f>
        <v>0.12555495996800847</v>
      </c>
      <c r="G38" s="70">
        <v>0.13500000000000001</v>
      </c>
      <c r="H38" s="70">
        <v>0.13500000000000001</v>
      </c>
      <c r="I38" s="70">
        <v>0.13500000000000001</v>
      </c>
      <c r="J38" s="70">
        <v>0.13500000000000001</v>
      </c>
      <c r="K38" s="70">
        <v>0.13500000000000001</v>
      </c>
      <c r="L38" s="70">
        <v>0.13500000000000001</v>
      </c>
      <c r="M38" s="70">
        <v>0.13500000000000001</v>
      </c>
      <c r="N38" s="70">
        <v>0.13500000000000001</v>
      </c>
      <c r="O38" s="70">
        <v>0.13500000000000001</v>
      </c>
      <c r="P38" s="16"/>
    </row>
    <row r="39" spans="1:26" ht="15" customHeight="1" x14ac:dyDescent="0.25">
      <c r="A39" s="37"/>
      <c r="B39" s="71" t="s">
        <v>71</v>
      </c>
      <c r="C39" s="16"/>
      <c r="D39" s="16"/>
      <c r="E39" s="16"/>
      <c r="F39" s="39"/>
      <c r="G39" s="70">
        <v>0.2</v>
      </c>
      <c r="H39" s="70">
        <v>0.2</v>
      </c>
      <c r="I39" s="70">
        <v>0.2</v>
      </c>
      <c r="J39" s="70">
        <v>0.2</v>
      </c>
      <c r="K39" s="70">
        <v>0.2</v>
      </c>
      <c r="L39" s="70">
        <v>0.2</v>
      </c>
      <c r="M39" s="70">
        <v>0.2</v>
      </c>
      <c r="N39" s="70">
        <v>0.2</v>
      </c>
      <c r="O39" s="70">
        <v>0.2</v>
      </c>
      <c r="P39" s="16"/>
    </row>
    <row r="40" spans="1:26" ht="15" customHeight="1" x14ac:dyDescent="0.25">
      <c r="A40" s="37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</row>
    <row r="41" spans="1:26" ht="15" customHeight="1" x14ac:dyDescent="0.25">
      <c r="A41" s="37" t="s">
        <v>20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</row>
    <row r="42" spans="1:26" ht="15" customHeight="1" x14ac:dyDescent="0.25">
      <c r="A42" s="37"/>
      <c r="B42" s="71" t="s">
        <v>42</v>
      </c>
      <c r="C42" s="16"/>
      <c r="D42" s="16"/>
      <c r="E42" s="16"/>
      <c r="F42" s="2"/>
      <c r="G42" s="72">
        <f>G25</f>
        <v>1616.0512500000002</v>
      </c>
      <c r="H42" s="72">
        <f t="shared" ref="H42:O42" si="14">H25</f>
        <v>1761.4958625000004</v>
      </c>
      <c r="I42" s="72">
        <f t="shared" si="14"/>
        <v>1902.4155315000005</v>
      </c>
      <c r="J42" s="72">
        <f t="shared" si="14"/>
        <v>2035.5846187050006</v>
      </c>
      <c r="K42" s="72">
        <f t="shared" si="14"/>
        <v>2157.7196958273007</v>
      </c>
      <c r="L42" s="72">
        <f t="shared" si="14"/>
        <v>2265.6056806186657</v>
      </c>
      <c r="M42" s="72">
        <f t="shared" si="14"/>
        <v>2356.2299078434125</v>
      </c>
      <c r="N42" s="72">
        <f t="shared" si="14"/>
        <v>2426.9168050787148</v>
      </c>
      <c r="O42" s="72">
        <f t="shared" si="14"/>
        <v>2475.455141180289</v>
      </c>
      <c r="P42" s="16"/>
    </row>
    <row r="43" spans="1:26" ht="15" customHeight="1" x14ac:dyDescent="0.25">
      <c r="A43" s="37"/>
      <c r="B43" s="71" t="s">
        <v>92</v>
      </c>
      <c r="C43" s="16"/>
      <c r="D43" s="16"/>
      <c r="E43" s="16"/>
      <c r="F43" s="2"/>
      <c r="G43" s="72">
        <f>G27-G35</f>
        <v>268.10290237499999</v>
      </c>
      <c r="H43" s="72">
        <f t="shared" ref="H43:O43" si="15">H27-H35</f>
        <v>292.23216358875004</v>
      </c>
      <c r="I43" s="72">
        <f t="shared" si="15"/>
        <v>315.61073667585003</v>
      </c>
      <c r="J43" s="72">
        <f t="shared" si="15"/>
        <v>331.29139669423887</v>
      </c>
      <c r="K43" s="72">
        <f t="shared" si="15"/>
        <v>344.37206345403717</v>
      </c>
      <c r="L43" s="72">
        <f t="shared" si="15"/>
        <v>354.45400873279027</v>
      </c>
      <c r="M43" s="72">
        <f t="shared" si="15"/>
        <v>361.21004487239509</v>
      </c>
      <c r="N43" s="72">
        <f t="shared" si="15"/>
        <v>364.401558282569</v>
      </c>
      <c r="O43" s="72">
        <f t="shared" si="15"/>
        <v>371.68958944822032</v>
      </c>
      <c r="P43" s="16"/>
    </row>
    <row r="44" spans="1:26" ht="15" customHeight="1" x14ac:dyDescent="0.25">
      <c r="A44" s="37"/>
      <c r="B44" s="72" t="s">
        <v>90</v>
      </c>
      <c r="C44" s="16"/>
      <c r="D44" s="16"/>
      <c r="E44" s="16"/>
      <c r="F44" s="16"/>
      <c r="G44" s="72">
        <f>G30</f>
        <v>32.321025000000006</v>
      </c>
      <c r="H44" s="72">
        <f t="shared" ref="H44:O44" si="16">H30</f>
        <v>35.229917250000007</v>
      </c>
      <c r="I44" s="72">
        <f t="shared" si="16"/>
        <v>38.04831063000001</v>
      </c>
      <c r="J44" s="72">
        <f t="shared" si="16"/>
        <v>40.711692374100011</v>
      </c>
      <c r="K44" s="72">
        <f t="shared" si="16"/>
        <v>43.154393916546013</v>
      </c>
      <c r="L44" s="72">
        <f t="shared" si="16"/>
        <v>45.312113612373317</v>
      </c>
      <c r="M44" s="72">
        <f t="shared" si="16"/>
        <v>47.124598156868252</v>
      </c>
      <c r="N44" s="72">
        <f t="shared" si="16"/>
        <v>48.538336101574295</v>
      </c>
      <c r="O44" s="72">
        <f t="shared" si="16"/>
        <v>49.50910282360578</v>
      </c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" customHeight="1" x14ac:dyDescent="0.25">
      <c r="A45" s="37"/>
      <c r="B45" s="72" t="s">
        <v>204</v>
      </c>
      <c r="C45" s="16"/>
      <c r="D45" s="16"/>
      <c r="E45" s="16"/>
      <c r="F45" s="16"/>
      <c r="G45" s="72">
        <f>SUM(G43:G44)</f>
        <v>300.42392737500001</v>
      </c>
      <c r="H45" s="72">
        <f t="shared" ref="H45:O45" si="17">SUM(H43:H44)</f>
        <v>327.46208083875007</v>
      </c>
      <c r="I45" s="72">
        <f t="shared" si="17"/>
        <v>353.65904730585004</v>
      </c>
      <c r="J45" s="72">
        <f t="shared" si="17"/>
        <v>372.00308906833891</v>
      </c>
      <c r="K45" s="72">
        <f t="shared" si="17"/>
        <v>387.52645737058322</v>
      </c>
      <c r="L45" s="72">
        <f t="shared" si="17"/>
        <v>399.76612234516358</v>
      </c>
      <c r="M45" s="72">
        <f t="shared" si="17"/>
        <v>408.33464302926336</v>
      </c>
      <c r="N45" s="72">
        <f t="shared" si="17"/>
        <v>412.93989438414332</v>
      </c>
      <c r="O45" s="72">
        <f t="shared" si="17"/>
        <v>421.19869227182608</v>
      </c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" customHeight="1" x14ac:dyDescent="0.25">
      <c r="A46" s="37"/>
      <c r="B46" s="71" t="s">
        <v>25</v>
      </c>
      <c r="C46" s="16"/>
      <c r="D46" s="16"/>
      <c r="E46" s="16"/>
      <c r="F46" s="16"/>
      <c r="G46">
        <f t="shared" ref="G46:O46" ca="1" si="18">IF(CircSwitch=1,(G69+G78)*-1,0)</f>
        <v>-92.201002590747905</v>
      </c>
      <c r="H46">
        <f t="shared" ca="1" si="18"/>
        <v>-86.241245530157286</v>
      </c>
      <c r="I46">
        <f t="shared" ca="1" si="18"/>
        <v>-78.741512181956779</v>
      </c>
      <c r="J46">
        <f t="shared" ca="1" si="18"/>
        <v>-69.974581076684743</v>
      </c>
      <c r="K46">
        <f t="shared" ca="1" si="18"/>
        <v>-59.892696998750715</v>
      </c>
      <c r="L46">
        <f t="shared" ca="1" si="18"/>
        <v>-48.496366087600599</v>
      </c>
      <c r="M46">
        <f t="shared" ca="1" si="18"/>
        <v>-33.57960704397221</v>
      </c>
      <c r="N46">
        <f t="shared" ca="1" si="18"/>
        <v>-14.122852640340222</v>
      </c>
      <c r="O46">
        <f t="shared" ca="1" si="18"/>
        <v>-1.778769319355233</v>
      </c>
      <c r="P46" s="16"/>
    </row>
    <row r="47" spans="1:26" ht="15" customHeight="1" x14ac:dyDescent="0.25">
      <c r="A47" s="37"/>
      <c r="B47" s="71" t="s">
        <v>66</v>
      </c>
      <c r="C47" s="16"/>
      <c r="D47" s="16"/>
      <c r="E47" s="16"/>
      <c r="F47" s="16"/>
      <c r="G47">
        <f t="shared" ref="G47:O47" ca="1" si="19">IF(CircSwitch=1,G84,0)</f>
        <v>0</v>
      </c>
      <c r="H47">
        <f t="shared" ca="1" si="19"/>
        <v>0</v>
      </c>
      <c r="I47">
        <f t="shared" ca="1" si="19"/>
        <v>0</v>
      </c>
      <c r="J47">
        <f t="shared" ca="1" si="19"/>
        <v>0</v>
      </c>
      <c r="K47">
        <f t="shared" ca="1" si="19"/>
        <v>0</v>
      </c>
      <c r="L47">
        <f t="shared" ca="1" si="19"/>
        <v>0</v>
      </c>
      <c r="M47">
        <f t="shared" ca="1" si="19"/>
        <v>0</v>
      </c>
      <c r="N47">
        <f t="shared" ca="1" si="19"/>
        <v>0</v>
      </c>
      <c r="O47">
        <f t="shared" ca="1" si="19"/>
        <v>0.40603263727554006</v>
      </c>
      <c r="P47" s="16"/>
    </row>
    <row r="48" spans="1:26" ht="15" customHeight="1" x14ac:dyDescent="0.25">
      <c r="A48" s="37"/>
      <c r="B48" s="71" t="s">
        <v>192</v>
      </c>
      <c r="C48" s="16"/>
      <c r="D48" s="16"/>
      <c r="E48" s="16"/>
      <c r="F48" s="16"/>
      <c r="G48" s="121"/>
      <c r="H48" s="121"/>
      <c r="I48" s="121"/>
      <c r="J48" s="121"/>
      <c r="K48" s="121"/>
      <c r="L48" s="121"/>
      <c r="M48" s="121"/>
      <c r="N48" s="121"/>
      <c r="O48" s="121"/>
      <c r="P48" s="16"/>
    </row>
    <row r="49" spans="1:16" ht="15" customHeight="1" x14ac:dyDescent="0.25">
      <c r="A49" s="37"/>
      <c r="B49" s="71" t="s">
        <v>26</v>
      </c>
      <c r="C49" s="16"/>
      <c r="D49" s="16"/>
      <c r="E49" s="16"/>
      <c r="F49" s="2"/>
      <c r="G49" s="72">
        <f ca="1">SUM(G45:G48)</f>
        <v>208.22292478425209</v>
      </c>
      <c r="H49" s="72">
        <f t="shared" ref="H49:O49" ca="1" si="20">SUM(H45:H48)</f>
        <v>241.22083530859277</v>
      </c>
      <c r="I49" s="72">
        <f t="shared" ca="1" si="20"/>
        <v>274.91753512389323</v>
      </c>
      <c r="J49" s="72">
        <f t="shared" ca="1" si="20"/>
        <v>302.02850799165418</v>
      </c>
      <c r="K49" s="72">
        <f t="shared" ca="1" si="20"/>
        <v>327.63376037183252</v>
      </c>
      <c r="L49" s="72">
        <f t="shared" ca="1" si="20"/>
        <v>351.26975625756296</v>
      </c>
      <c r="M49" s="72">
        <f t="shared" ca="1" si="20"/>
        <v>374.75503598529116</v>
      </c>
      <c r="N49" s="72">
        <f t="shared" ca="1" si="20"/>
        <v>398.81704174380309</v>
      </c>
      <c r="O49" s="72">
        <f t="shared" ca="1" si="20"/>
        <v>419.8259555897464</v>
      </c>
      <c r="P49" s="16"/>
    </row>
    <row r="50" spans="1:16" ht="15" customHeight="1" x14ac:dyDescent="0.25">
      <c r="A50" s="37"/>
      <c r="B50" s="71" t="s">
        <v>27</v>
      </c>
      <c r="C50" s="16"/>
      <c r="D50" s="16"/>
      <c r="E50" s="16"/>
      <c r="F50" s="2"/>
      <c r="G50" s="72">
        <f ca="1">G39*G49*-1</f>
        <v>-41.644584956850423</v>
      </c>
      <c r="H50" s="72">
        <f t="shared" ref="H50:O50" ca="1" si="21">H39*H49*-1</f>
        <v>-48.244167061718557</v>
      </c>
      <c r="I50" s="72">
        <f t="shared" ca="1" si="21"/>
        <v>-54.983507024778646</v>
      </c>
      <c r="J50" s="72">
        <f t="shared" ca="1" si="21"/>
        <v>-60.405701598330836</v>
      </c>
      <c r="K50" s="72">
        <f t="shared" ca="1" si="21"/>
        <v>-65.526752074366513</v>
      </c>
      <c r="L50" s="72">
        <f t="shared" ca="1" si="21"/>
        <v>-70.253951251512589</v>
      </c>
      <c r="M50" s="72">
        <f t="shared" ca="1" si="21"/>
        <v>-74.951007197058232</v>
      </c>
      <c r="N50" s="72">
        <f t="shared" ca="1" si="21"/>
        <v>-79.76340834876062</v>
      </c>
      <c r="O50" s="72">
        <f t="shared" ca="1" si="21"/>
        <v>-83.965191117949288</v>
      </c>
      <c r="P50" s="16"/>
    </row>
    <row r="51" spans="1:16" ht="15" customHeight="1" x14ac:dyDescent="0.25">
      <c r="A51" s="37"/>
      <c r="B51" s="71" t="s">
        <v>65</v>
      </c>
      <c r="C51" s="16"/>
      <c r="D51" s="16"/>
      <c r="E51" s="16"/>
      <c r="F51" s="2"/>
      <c r="G51" s="72">
        <f ca="1">SUM(G49:G50)</f>
        <v>166.57833982740166</v>
      </c>
      <c r="H51" s="72">
        <f t="shared" ref="H51:O51" ca="1" si="22">SUM(H49:H50)</f>
        <v>192.97666824687423</v>
      </c>
      <c r="I51" s="72">
        <f t="shared" ca="1" si="22"/>
        <v>219.93402809911458</v>
      </c>
      <c r="J51" s="72">
        <f t="shared" ca="1" si="22"/>
        <v>241.62280639332334</v>
      </c>
      <c r="K51" s="72">
        <f t="shared" ca="1" si="22"/>
        <v>262.107008297466</v>
      </c>
      <c r="L51" s="72">
        <f t="shared" ca="1" si="22"/>
        <v>281.01580500605036</v>
      </c>
      <c r="M51" s="72">
        <f t="shared" ca="1" si="22"/>
        <v>299.80402878823293</v>
      </c>
      <c r="N51" s="72">
        <f t="shared" ca="1" si="22"/>
        <v>319.05363339504248</v>
      </c>
      <c r="O51" s="72">
        <f t="shared" ca="1" si="22"/>
        <v>335.8607644717971</v>
      </c>
      <c r="P51" s="16"/>
    </row>
    <row r="52" spans="1:16" ht="15" customHeight="1" x14ac:dyDescent="0.25">
      <c r="A52" s="37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</row>
    <row r="53" spans="1:16" ht="15" customHeight="1" x14ac:dyDescent="0.25">
      <c r="A53" s="37" t="s">
        <v>93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</row>
    <row r="54" spans="1:16" ht="15" customHeight="1" x14ac:dyDescent="0.25">
      <c r="A54" s="37"/>
      <c r="B54" s="71" t="s">
        <v>65</v>
      </c>
      <c r="C54" s="16"/>
      <c r="D54" s="16"/>
      <c r="E54" s="16"/>
      <c r="F54" s="2"/>
      <c r="G54" s="72">
        <f ca="1">G51</f>
        <v>166.57833982740166</v>
      </c>
      <c r="H54" s="72">
        <f t="shared" ref="H54:O54" ca="1" si="23">H51</f>
        <v>192.97666824687423</v>
      </c>
      <c r="I54" s="72">
        <f t="shared" ca="1" si="23"/>
        <v>219.93402809911458</v>
      </c>
      <c r="J54" s="72">
        <f t="shared" ca="1" si="23"/>
        <v>241.62280639332334</v>
      </c>
      <c r="K54" s="72">
        <f t="shared" ca="1" si="23"/>
        <v>262.107008297466</v>
      </c>
      <c r="L54" s="72">
        <f t="shared" ca="1" si="23"/>
        <v>281.01580500605036</v>
      </c>
      <c r="M54" s="72">
        <f t="shared" ca="1" si="23"/>
        <v>299.80402878823293</v>
      </c>
      <c r="N54" s="72">
        <f t="shared" ca="1" si="23"/>
        <v>319.05363339504248</v>
      </c>
      <c r="O54" s="72">
        <f t="shared" ca="1" si="23"/>
        <v>335.8607644717971</v>
      </c>
      <c r="P54" s="16"/>
    </row>
    <row r="55" spans="1:16" ht="15" customHeight="1" x14ac:dyDescent="0.25">
      <c r="A55" s="37"/>
      <c r="B55" s="71" t="s">
        <v>63</v>
      </c>
      <c r="C55" s="16"/>
      <c r="D55" s="16"/>
      <c r="E55" s="16"/>
      <c r="F55" s="2"/>
      <c r="G55" s="72">
        <f>G35</f>
        <v>71.267860124999999</v>
      </c>
      <c r="H55" s="72">
        <f t="shared" ref="H55:O55" si="24">H35</f>
        <v>77.681967536250013</v>
      </c>
      <c r="I55" s="72">
        <f t="shared" si="24"/>
        <v>83.896524939150012</v>
      </c>
      <c r="J55" s="72">
        <f t="shared" si="24"/>
        <v>96.181373233811286</v>
      </c>
      <c r="K55" s="72">
        <f t="shared" si="24"/>
        <v>108.74907266969598</v>
      </c>
      <c r="L55" s="72">
        <f t="shared" si="24"/>
        <v>121.32318419712954</v>
      </c>
      <c r="M55" s="72">
        <f t="shared" si="24"/>
        <v>133.5982357747215</v>
      </c>
      <c r="N55" s="72">
        <f t="shared" si="24"/>
        <v>145.25097078396107</v>
      </c>
      <c r="O55" s="72">
        <f t="shared" si="24"/>
        <v>148.15599019964031</v>
      </c>
      <c r="P55" s="16"/>
    </row>
    <row r="56" spans="1:16" ht="15" customHeight="1" x14ac:dyDescent="0.25">
      <c r="A56" s="37"/>
      <c r="B56" s="71" t="s">
        <v>67</v>
      </c>
      <c r="C56" s="16"/>
      <c r="D56" s="16"/>
      <c r="E56" s="16"/>
      <c r="F56" s="50"/>
      <c r="G56" s="72">
        <f>F37-G37</f>
        <v>-33.709418749999998</v>
      </c>
      <c r="H56" s="72">
        <f t="shared" ref="H56:O56" si="25">G37-H37</f>
        <v>-19.635022687500026</v>
      </c>
      <c r="I56" s="72">
        <f t="shared" si="25"/>
        <v>-19.024155315000002</v>
      </c>
      <c r="J56" s="72">
        <f t="shared" si="25"/>
        <v>-17.97782677267503</v>
      </c>
      <c r="K56" s="72">
        <f t="shared" si="25"/>
        <v>-16.488235411510516</v>
      </c>
      <c r="L56" s="72">
        <f t="shared" si="25"/>
        <v>-14.564607946834258</v>
      </c>
      <c r="M56" s="72">
        <f t="shared" si="25"/>
        <v>-12.234270675340838</v>
      </c>
      <c r="N56" s="72">
        <f t="shared" si="25"/>
        <v>-9.5427311267658297</v>
      </c>
      <c r="O56" s="72">
        <f t="shared" si="25"/>
        <v>-6.5526753737125318</v>
      </c>
      <c r="P56" s="16"/>
    </row>
    <row r="57" spans="1:16" ht="15" customHeight="1" x14ac:dyDescent="0.25">
      <c r="A57" s="37"/>
      <c r="B57" s="71" t="s">
        <v>68</v>
      </c>
      <c r="C57" s="16"/>
      <c r="D57" s="16"/>
      <c r="E57" s="16"/>
      <c r="F57" s="2"/>
      <c r="G57" s="72">
        <f>G33*-1</f>
        <v>-101.81122875000001</v>
      </c>
      <c r="H57" s="72">
        <f t="shared" ref="H57:O57" si="26">H33*-1</f>
        <v>-110.97423933750002</v>
      </c>
      <c r="I57" s="72">
        <f t="shared" si="26"/>
        <v>-119.85217848450003</v>
      </c>
      <c r="J57" s="72">
        <f t="shared" si="26"/>
        <v>-128.24183097841504</v>
      </c>
      <c r="K57" s="72">
        <f t="shared" si="26"/>
        <v>-135.93634083711996</v>
      </c>
      <c r="L57" s="72">
        <f t="shared" si="26"/>
        <v>-142.73315787897593</v>
      </c>
      <c r="M57" s="72">
        <f t="shared" si="26"/>
        <v>-148.44248419413501</v>
      </c>
      <c r="N57" s="72">
        <f t="shared" si="26"/>
        <v>-152.89575871995902</v>
      </c>
      <c r="O57" s="72">
        <f t="shared" si="26"/>
        <v>-155.95367389435822</v>
      </c>
      <c r="P57" s="16"/>
    </row>
    <row r="58" spans="1:16" ht="15" customHeight="1" x14ac:dyDescent="0.25">
      <c r="A58" s="37"/>
      <c r="B58" s="74" t="s">
        <v>94</v>
      </c>
      <c r="C58" s="16"/>
      <c r="D58" s="16"/>
      <c r="E58" s="16"/>
      <c r="F58" s="2"/>
      <c r="G58" s="72">
        <f ca="1">SUM(G54:G57)</f>
        <v>102.32555245240165</v>
      </c>
      <c r="H58" s="72">
        <f t="shared" ref="H58:O58" ca="1" si="27">SUM(H54:H57)</f>
        <v>140.04937375812418</v>
      </c>
      <c r="I58" s="72">
        <f t="shared" ca="1" si="27"/>
        <v>164.95421923876455</v>
      </c>
      <c r="J58" s="72">
        <f t="shared" ca="1" si="27"/>
        <v>191.58452187604459</v>
      </c>
      <c r="K58" s="72">
        <f t="shared" ca="1" si="27"/>
        <v>218.4315047185315</v>
      </c>
      <c r="L58" s="72">
        <f t="shared" ca="1" si="27"/>
        <v>245.0412233773697</v>
      </c>
      <c r="M58" s="72">
        <f t="shared" ca="1" si="27"/>
        <v>272.72550969347856</v>
      </c>
      <c r="N58" s="72">
        <f t="shared" ca="1" si="27"/>
        <v>301.8661143322787</v>
      </c>
      <c r="O58" s="72">
        <f t="shared" ca="1" si="27"/>
        <v>321.51040540336669</v>
      </c>
      <c r="P58" s="16"/>
    </row>
    <row r="59" spans="1:16" ht="15" customHeight="1" x14ac:dyDescent="0.25">
      <c r="A59" s="37"/>
      <c r="B59" s="74"/>
      <c r="C59" s="16"/>
      <c r="D59" s="16"/>
      <c r="E59" s="16"/>
      <c r="F59" s="2"/>
      <c r="G59" s="72"/>
      <c r="H59" s="72"/>
      <c r="I59" s="72"/>
      <c r="J59" s="72"/>
      <c r="K59" s="72"/>
      <c r="L59" s="72"/>
      <c r="M59" s="72"/>
      <c r="N59" s="72"/>
      <c r="O59" s="72"/>
      <c r="P59" s="16"/>
    </row>
    <row r="60" spans="1:16" ht="15" customHeight="1" x14ac:dyDescent="0.25">
      <c r="A60" s="37"/>
      <c r="B60" s="72" t="s">
        <v>153</v>
      </c>
      <c r="C60" s="16"/>
      <c r="D60" s="16"/>
      <c r="E60" s="16"/>
      <c r="G60" s="72">
        <f>F83</f>
        <v>0</v>
      </c>
      <c r="H60" s="72">
        <f t="shared" ref="H60:O60" ca="1" si="28">G83</f>
        <v>0</v>
      </c>
      <c r="I60" s="72">
        <f t="shared" ca="1" si="28"/>
        <v>0</v>
      </c>
      <c r="J60" s="72">
        <f t="shared" ca="1" si="28"/>
        <v>0</v>
      </c>
      <c r="K60" s="72">
        <f t="shared" ca="1" si="28"/>
        <v>0</v>
      </c>
      <c r="L60" s="72">
        <f t="shared" ca="1" si="28"/>
        <v>0</v>
      </c>
      <c r="M60" s="72">
        <f t="shared" ca="1" si="28"/>
        <v>0</v>
      </c>
      <c r="N60" s="72">
        <f t="shared" ca="1" si="28"/>
        <v>0</v>
      </c>
      <c r="O60" s="72">
        <f t="shared" ca="1" si="28"/>
        <v>0</v>
      </c>
      <c r="P60" s="16"/>
    </row>
    <row r="61" spans="1:16" ht="15" customHeight="1" x14ac:dyDescent="0.25">
      <c r="A61" s="37"/>
      <c r="B61" s="74" t="s">
        <v>201</v>
      </c>
      <c r="C61" s="16"/>
      <c r="D61" s="16"/>
      <c r="E61" s="16"/>
      <c r="F61" s="16"/>
      <c r="G61" s="72">
        <f ca="1">G58+G60</f>
        <v>102.32555245240165</v>
      </c>
      <c r="H61" s="72">
        <f t="shared" ref="H61:O61" ca="1" si="29">H58+H60</f>
        <v>140.04937375812418</v>
      </c>
      <c r="I61" s="72">
        <f t="shared" ca="1" si="29"/>
        <v>164.95421923876455</v>
      </c>
      <c r="J61" s="72">
        <f t="shared" ca="1" si="29"/>
        <v>191.58452187604459</v>
      </c>
      <c r="K61" s="72">
        <f t="shared" ca="1" si="29"/>
        <v>218.4315047185315</v>
      </c>
      <c r="L61" s="72">
        <f t="shared" ca="1" si="29"/>
        <v>245.0412233773697</v>
      </c>
      <c r="M61" s="72">
        <f t="shared" ca="1" si="29"/>
        <v>272.72550969347856</v>
      </c>
      <c r="N61" s="72">
        <f t="shared" ca="1" si="29"/>
        <v>301.8661143322787</v>
      </c>
      <c r="O61" s="72">
        <f t="shared" ca="1" si="29"/>
        <v>321.51040540336669</v>
      </c>
      <c r="P61" s="16"/>
    </row>
    <row r="62" spans="1:16" ht="15" customHeight="1" x14ac:dyDescent="0.25">
      <c r="A62" s="37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</row>
    <row r="63" spans="1:16" ht="15" customHeight="1" x14ac:dyDescent="0.25">
      <c r="A63" s="37" t="s">
        <v>95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</row>
    <row r="64" spans="1:16" ht="15" customHeight="1" x14ac:dyDescent="0.25">
      <c r="A64" s="37"/>
      <c r="B64" s="71" t="s">
        <v>96</v>
      </c>
      <c r="C64" s="72"/>
      <c r="D64" s="72"/>
      <c r="E64" s="72"/>
      <c r="F64" s="72"/>
      <c r="G64" s="72">
        <f>F68</f>
        <v>1125.2</v>
      </c>
      <c r="H64" s="72">
        <f t="shared" ref="H64:O64" ca="1" si="30">G68</f>
        <v>1022.8744475475984</v>
      </c>
      <c r="I64" s="72">
        <f t="shared" ca="1" si="30"/>
        <v>882.82507378947423</v>
      </c>
      <c r="J64" s="72">
        <f t="shared" ca="1" si="30"/>
        <v>717.87085455070974</v>
      </c>
      <c r="K64" s="72">
        <f t="shared" ca="1" si="30"/>
        <v>526.28633267466512</v>
      </c>
      <c r="L64" s="72">
        <f t="shared" ca="1" si="30"/>
        <v>307.85482795613359</v>
      </c>
      <c r="M64" s="72">
        <f t="shared" ca="1" si="30"/>
        <v>62.813604578763886</v>
      </c>
      <c r="N64" s="72">
        <f t="shared" ca="1" si="30"/>
        <v>0</v>
      </c>
      <c r="O64" s="72">
        <f t="shared" ca="1" si="30"/>
        <v>0</v>
      </c>
      <c r="P64" s="16"/>
    </row>
    <row r="65" spans="1:26" ht="15" customHeight="1" x14ac:dyDescent="0.25">
      <c r="A65" s="37"/>
      <c r="B65" s="71" t="s">
        <v>70</v>
      </c>
      <c r="C65" s="72"/>
      <c r="D65" s="72"/>
      <c r="E65" s="72"/>
      <c r="F65" s="72"/>
      <c r="G65" s="72">
        <f ca="1">-MIN(G61,G64)</f>
        <v>-102.32555245240165</v>
      </c>
      <c r="H65" s="72">
        <f t="shared" ref="H65:O65" ca="1" si="31">-MIN(H61,H64)</f>
        <v>-140.04937375812418</v>
      </c>
      <c r="I65" s="72">
        <f t="shared" ca="1" si="31"/>
        <v>-164.95421923876455</v>
      </c>
      <c r="J65" s="72">
        <f t="shared" ca="1" si="31"/>
        <v>-191.58452187604459</v>
      </c>
      <c r="K65" s="72">
        <f t="shared" ca="1" si="31"/>
        <v>-218.4315047185315</v>
      </c>
      <c r="L65" s="72">
        <f t="shared" ca="1" si="31"/>
        <v>-245.0412233773697</v>
      </c>
      <c r="M65" s="72">
        <f t="shared" ca="1" si="31"/>
        <v>-62.813604578763886</v>
      </c>
      <c r="N65" s="72">
        <f t="shared" ca="1" si="31"/>
        <v>0</v>
      </c>
      <c r="O65" s="72">
        <f t="shared" ca="1" si="31"/>
        <v>0</v>
      </c>
      <c r="P65" s="16"/>
    </row>
    <row r="66" spans="1:26" ht="15" customHeight="1" x14ac:dyDescent="0.25">
      <c r="A66" s="37"/>
      <c r="B66" s="71" t="s">
        <v>97</v>
      </c>
      <c r="C66" s="72"/>
      <c r="D66" s="72"/>
      <c r="E66" s="72"/>
      <c r="F66" s="72">
        <f>+N9</f>
        <v>1125.2</v>
      </c>
      <c r="G66" s="72">
        <f ca="1">SUM(G64:G65)</f>
        <v>1022.8744475475984</v>
      </c>
      <c r="H66" s="72">
        <f t="shared" ref="H66:O66" ca="1" si="32">SUM(H64:H65)</f>
        <v>882.82507378947423</v>
      </c>
      <c r="I66" s="72">
        <f t="shared" ca="1" si="32"/>
        <v>717.87085455070974</v>
      </c>
      <c r="J66" s="72">
        <f t="shared" ca="1" si="32"/>
        <v>526.28633267466512</v>
      </c>
      <c r="K66" s="72">
        <f t="shared" ca="1" si="32"/>
        <v>307.85482795613359</v>
      </c>
      <c r="L66" s="72">
        <f t="shared" ca="1" si="32"/>
        <v>62.813604578763886</v>
      </c>
      <c r="M66" s="72">
        <f t="shared" ca="1" si="32"/>
        <v>0</v>
      </c>
      <c r="N66" s="72">
        <f t="shared" ca="1" si="32"/>
        <v>0</v>
      </c>
      <c r="O66" s="72">
        <f t="shared" ca="1" si="32"/>
        <v>0</v>
      </c>
      <c r="P66" s="16"/>
    </row>
    <row r="67" spans="1:26" ht="15" customHeight="1" x14ac:dyDescent="0.25">
      <c r="A67" s="37"/>
      <c r="B67" s="71" t="s">
        <v>207</v>
      </c>
      <c r="C67" s="72"/>
      <c r="D67" s="72"/>
      <c r="E67" s="72"/>
      <c r="F67" s="72"/>
      <c r="G67" s="122"/>
      <c r="H67" s="122"/>
      <c r="I67" s="122"/>
      <c r="J67" s="122"/>
      <c r="K67" s="122"/>
      <c r="L67" s="122"/>
      <c r="M67" s="122"/>
      <c r="N67" s="122"/>
      <c r="O67" s="122"/>
      <c r="P67" s="16"/>
    </row>
    <row r="68" spans="1:26" ht="15" customHeight="1" x14ac:dyDescent="0.25">
      <c r="A68" s="37"/>
      <c r="B68" s="71" t="str">
        <f>B66&amp;" post recap"</f>
        <v>Ending senior debt balance post recap</v>
      </c>
      <c r="C68" s="72"/>
      <c r="D68" s="72"/>
      <c r="E68" s="72"/>
      <c r="F68" s="72">
        <f>SUM(F66:F67)</f>
        <v>1125.2</v>
      </c>
      <c r="G68" s="72">
        <f ca="1">SUM(G66:G67)</f>
        <v>1022.8744475475984</v>
      </c>
      <c r="H68" s="72">
        <f t="shared" ref="H68:O68" ca="1" si="33">SUM(H66:H67)</f>
        <v>882.82507378947423</v>
      </c>
      <c r="I68" s="72">
        <f t="shared" ca="1" si="33"/>
        <v>717.87085455070974</v>
      </c>
      <c r="J68" s="72">
        <f t="shared" ca="1" si="33"/>
        <v>526.28633267466512</v>
      </c>
      <c r="K68" s="72">
        <f t="shared" ca="1" si="33"/>
        <v>307.85482795613359</v>
      </c>
      <c r="L68" s="72">
        <f t="shared" ca="1" si="33"/>
        <v>62.813604578763886</v>
      </c>
      <c r="M68" s="72">
        <f t="shared" ca="1" si="33"/>
        <v>0</v>
      </c>
      <c r="N68" s="72">
        <f t="shared" ca="1" si="33"/>
        <v>0</v>
      </c>
      <c r="O68" s="72">
        <f t="shared" ca="1" si="33"/>
        <v>0</v>
      </c>
      <c r="P68" s="16"/>
    </row>
    <row r="69" spans="1:26" ht="15" customHeight="1" x14ac:dyDescent="0.25">
      <c r="A69" s="37"/>
      <c r="B69" s="71" t="s">
        <v>25</v>
      </c>
      <c r="C69" s="72"/>
      <c r="D69" s="72"/>
      <c r="E69" s="72"/>
      <c r="F69" s="72"/>
      <c r="G69" s="72">
        <f ca="1">$F$16*AVERAGE(F68:G68)</f>
        <v>52.8190025907479</v>
      </c>
      <c r="H69" s="72">
        <f t="shared" ref="H69:O69" ca="1" si="34">$F$16*AVERAGE(G68:H68)</f>
        <v>46.859245530157281</v>
      </c>
      <c r="I69" s="72">
        <f t="shared" ca="1" si="34"/>
        <v>39.359512181956781</v>
      </c>
      <c r="J69" s="72">
        <f t="shared" ca="1" si="34"/>
        <v>30.592581076684741</v>
      </c>
      <c r="K69" s="72">
        <f t="shared" ca="1" si="34"/>
        <v>20.51069699875071</v>
      </c>
      <c r="L69" s="72">
        <f t="shared" ca="1" si="34"/>
        <v>9.1143660876005939</v>
      </c>
      <c r="M69" s="72">
        <f t="shared" ca="1" si="34"/>
        <v>1.5445237229872253</v>
      </c>
      <c r="N69" s="72">
        <f t="shared" ca="1" si="34"/>
        <v>0</v>
      </c>
      <c r="O69" s="72">
        <f t="shared" ca="1" si="34"/>
        <v>0</v>
      </c>
      <c r="P69" s="16"/>
    </row>
    <row r="70" spans="1:26" ht="15" customHeight="1" x14ac:dyDescent="0.25">
      <c r="A70" s="37"/>
      <c r="B70" s="72"/>
      <c r="C70" s="72"/>
      <c r="D70" s="72"/>
      <c r="E70" s="72"/>
      <c r="F70" s="72"/>
      <c r="G70" s="72"/>
      <c r="H70" s="72"/>
      <c r="I70" s="72"/>
      <c r="J70" s="72"/>
      <c r="K70" s="72"/>
      <c r="L70" s="72"/>
      <c r="M70" s="72"/>
      <c r="N70" s="72"/>
      <c r="O70" s="72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" customHeight="1" x14ac:dyDescent="0.25">
      <c r="A71" s="37"/>
      <c r="B71" s="72" t="s">
        <v>182</v>
      </c>
      <c r="C71" s="72"/>
      <c r="D71" s="72"/>
      <c r="G71" s="72">
        <f ca="1">G61+G65</f>
        <v>0</v>
      </c>
      <c r="H71" s="72">
        <f t="shared" ref="H71:O71" ca="1" si="35">H61+H65</f>
        <v>0</v>
      </c>
      <c r="I71" s="72">
        <f t="shared" ca="1" si="35"/>
        <v>0</v>
      </c>
      <c r="J71" s="72">
        <f t="shared" ca="1" si="35"/>
        <v>0</v>
      </c>
      <c r="K71" s="72">
        <f t="shared" ca="1" si="35"/>
        <v>0</v>
      </c>
      <c r="L71" s="72">
        <f t="shared" ca="1" si="35"/>
        <v>0</v>
      </c>
      <c r="M71" s="72">
        <f t="shared" ca="1" si="35"/>
        <v>209.91190511471467</v>
      </c>
      <c r="N71" s="72">
        <f t="shared" ca="1" si="35"/>
        <v>301.8661143322787</v>
      </c>
      <c r="O71" s="72">
        <f t="shared" ca="1" si="35"/>
        <v>321.51040540336669</v>
      </c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" customHeight="1" x14ac:dyDescent="0.25">
      <c r="A72" s="37"/>
      <c r="B72" s="72"/>
      <c r="C72" s="72"/>
      <c r="D72" s="72"/>
      <c r="E72" s="72"/>
      <c r="F72" s="72"/>
      <c r="G72" s="72"/>
      <c r="H72" s="72"/>
      <c r="I72" s="72"/>
      <c r="J72" s="72"/>
      <c r="K72" s="72"/>
      <c r="L72" s="72"/>
      <c r="M72" s="72"/>
      <c r="N72" s="72"/>
      <c r="O72" s="72"/>
      <c r="P72" s="16"/>
    </row>
    <row r="73" spans="1:26" ht="15" customHeight="1" x14ac:dyDescent="0.25">
      <c r="A73" s="37"/>
      <c r="B73" s="72" t="s">
        <v>98</v>
      </c>
      <c r="C73" s="72"/>
      <c r="D73" s="72"/>
      <c r="E73" s="72"/>
      <c r="F73" s="72"/>
      <c r="G73" s="72">
        <f>F77</f>
        <v>562.6</v>
      </c>
      <c r="H73" s="72">
        <f t="shared" ref="H73:O73" ca="1" si="36">G77</f>
        <v>562.6</v>
      </c>
      <c r="I73" s="72">
        <f t="shared" ca="1" si="36"/>
        <v>562.6</v>
      </c>
      <c r="J73" s="72">
        <f t="shared" ca="1" si="36"/>
        <v>562.6</v>
      </c>
      <c r="K73" s="72">
        <f t="shared" ca="1" si="36"/>
        <v>562.6</v>
      </c>
      <c r="L73" s="72">
        <f t="shared" ca="1" si="36"/>
        <v>562.6</v>
      </c>
      <c r="M73" s="72">
        <f t="shared" ca="1" si="36"/>
        <v>562.6</v>
      </c>
      <c r="N73" s="72">
        <f t="shared" ca="1" si="36"/>
        <v>352.68809488528535</v>
      </c>
      <c r="O73" s="72">
        <f t="shared" ca="1" si="36"/>
        <v>50.821980553006654</v>
      </c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" customHeight="1" x14ac:dyDescent="0.25">
      <c r="A74" s="37"/>
      <c r="B74" s="72" t="s">
        <v>70</v>
      </c>
      <c r="C74" s="72"/>
      <c r="D74" s="72"/>
      <c r="E74" s="72"/>
      <c r="F74" s="72"/>
      <c r="G74" s="72">
        <f ca="1">-MIN(G71,G73)</f>
        <v>0</v>
      </c>
      <c r="H74" s="72">
        <f t="shared" ref="H74:O74" ca="1" si="37">-MIN(H71,H73)</f>
        <v>0</v>
      </c>
      <c r="I74" s="72">
        <f t="shared" ca="1" si="37"/>
        <v>0</v>
      </c>
      <c r="J74" s="72">
        <f t="shared" ca="1" si="37"/>
        <v>0</v>
      </c>
      <c r="K74" s="72">
        <f t="shared" ca="1" si="37"/>
        <v>0</v>
      </c>
      <c r="L74" s="72">
        <f t="shared" ca="1" si="37"/>
        <v>0</v>
      </c>
      <c r="M74" s="72">
        <f t="shared" ca="1" si="37"/>
        <v>-209.91190511471467</v>
      </c>
      <c r="N74" s="72">
        <f t="shared" ca="1" si="37"/>
        <v>-301.8661143322787</v>
      </c>
      <c r="O74" s="72">
        <f t="shared" ca="1" si="37"/>
        <v>-50.821980553006654</v>
      </c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" customHeight="1" x14ac:dyDescent="0.25">
      <c r="A75" s="37"/>
      <c r="B75" s="72" t="s">
        <v>99</v>
      </c>
      <c r="C75" s="72"/>
      <c r="D75" s="72"/>
      <c r="E75" s="72"/>
      <c r="F75" s="72">
        <f>+N10</f>
        <v>562.6</v>
      </c>
      <c r="G75" s="72">
        <f ca="1">SUM(G73:G74)</f>
        <v>562.6</v>
      </c>
      <c r="H75" s="72">
        <f t="shared" ref="H75:O75" ca="1" si="38">SUM(H73:H74)</f>
        <v>562.6</v>
      </c>
      <c r="I75" s="72">
        <f t="shared" ca="1" si="38"/>
        <v>562.6</v>
      </c>
      <c r="J75" s="72">
        <f t="shared" ca="1" si="38"/>
        <v>562.6</v>
      </c>
      <c r="K75" s="72">
        <f t="shared" ca="1" si="38"/>
        <v>562.6</v>
      </c>
      <c r="L75" s="72">
        <f t="shared" ca="1" si="38"/>
        <v>562.6</v>
      </c>
      <c r="M75" s="72">
        <f t="shared" ca="1" si="38"/>
        <v>352.68809488528535</v>
      </c>
      <c r="N75" s="72">
        <f t="shared" ca="1" si="38"/>
        <v>50.821980553006654</v>
      </c>
      <c r="O75" s="72">
        <f t="shared" ca="1" si="38"/>
        <v>0</v>
      </c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" customHeight="1" x14ac:dyDescent="0.25">
      <c r="A76" s="37"/>
      <c r="B76" s="72" t="s">
        <v>207</v>
      </c>
      <c r="C76" s="72"/>
      <c r="D76" s="72"/>
      <c r="E76" s="72"/>
      <c r="F76" s="72"/>
      <c r="G76" s="122"/>
      <c r="H76" s="122"/>
      <c r="I76" s="122"/>
      <c r="J76" s="122"/>
      <c r="K76" s="122"/>
      <c r="L76" s="122"/>
      <c r="M76" s="122"/>
      <c r="N76" s="122"/>
      <c r="O76" s="122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" customHeight="1" x14ac:dyDescent="0.25">
      <c r="A77" s="37"/>
      <c r="B77" s="71" t="str">
        <f>B75&amp;" post recap"</f>
        <v>Ending unsecured notes post recap</v>
      </c>
      <c r="C77" s="72"/>
      <c r="D77" s="72"/>
      <c r="E77" s="72"/>
      <c r="F77" s="72">
        <f t="shared" ref="F77" si="39">SUM(F75:F76)</f>
        <v>562.6</v>
      </c>
      <c r="G77" s="72">
        <f ca="1">SUM(G75:G76)</f>
        <v>562.6</v>
      </c>
      <c r="H77" s="72">
        <f t="shared" ref="H77:O77" ca="1" si="40">SUM(H75:H76)</f>
        <v>562.6</v>
      </c>
      <c r="I77" s="72">
        <f t="shared" ca="1" si="40"/>
        <v>562.6</v>
      </c>
      <c r="J77" s="72">
        <f t="shared" ca="1" si="40"/>
        <v>562.6</v>
      </c>
      <c r="K77" s="72">
        <f t="shared" ca="1" si="40"/>
        <v>562.6</v>
      </c>
      <c r="L77" s="72">
        <f t="shared" ca="1" si="40"/>
        <v>562.6</v>
      </c>
      <c r="M77" s="72">
        <f t="shared" ca="1" si="40"/>
        <v>352.68809488528535</v>
      </c>
      <c r="N77" s="72">
        <f t="shared" ca="1" si="40"/>
        <v>50.821980553006654</v>
      </c>
      <c r="O77" s="72">
        <f t="shared" ca="1" si="40"/>
        <v>0</v>
      </c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" customHeight="1" x14ac:dyDescent="0.25">
      <c r="A78" s="37"/>
      <c r="B78" s="72" t="s">
        <v>25</v>
      </c>
      <c r="C78" s="72"/>
      <c r="D78" s="72"/>
      <c r="E78" s="72"/>
      <c r="F78" s="72"/>
      <c r="G78" s="72">
        <f ca="1">$F$17*AVERAGE(F77:G77)</f>
        <v>39.382000000000005</v>
      </c>
      <c r="H78" s="72">
        <f t="shared" ref="H78:O78" ca="1" si="41">$F$17*AVERAGE(G77:H77)</f>
        <v>39.382000000000005</v>
      </c>
      <c r="I78" s="72">
        <f t="shared" ca="1" si="41"/>
        <v>39.382000000000005</v>
      </c>
      <c r="J78" s="72">
        <f t="shared" ca="1" si="41"/>
        <v>39.382000000000005</v>
      </c>
      <c r="K78" s="72">
        <f t="shared" ca="1" si="41"/>
        <v>39.382000000000005</v>
      </c>
      <c r="L78" s="72">
        <f t="shared" ca="1" si="41"/>
        <v>39.382000000000005</v>
      </c>
      <c r="M78" s="72">
        <f t="shared" ca="1" si="41"/>
        <v>32.035083320984988</v>
      </c>
      <c r="N78" s="72">
        <f t="shared" ca="1" si="41"/>
        <v>14.122852640340222</v>
      </c>
      <c r="O78" s="72">
        <f t="shared" ca="1" si="41"/>
        <v>1.778769319355233</v>
      </c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" customHeight="1" x14ac:dyDescent="0.25">
      <c r="A79" s="37"/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" customHeight="1" x14ac:dyDescent="0.25">
      <c r="A80" s="37"/>
      <c r="B80" t="s">
        <v>202</v>
      </c>
      <c r="C80" s="72"/>
      <c r="D80" s="72"/>
      <c r="E80" s="72"/>
      <c r="F80" s="72"/>
      <c r="G80" s="122"/>
      <c r="H80" s="122"/>
      <c r="I80" s="122"/>
      <c r="J80" s="122"/>
      <c r="K80" s="122"/>
      <c r="L80" s="122"/>
      <c r="M80" s="122"/>
      <c r="N80" s="122"/>
      <c r="O80" s="122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" customHeight="1" x14ac:dyDescent="0.25">
      <c r="A81" s="37"/>
      <c r="B81" t="s">
        <v>196</v>
      </c>
      <c r="C81" s="72"/>
      <c r="D81" s="72"/>
      <c r="E81" s="72"/>
      <c r="F81" s="72"/>
      <c r="G81" s="122"/>
      <c r="H81" s="122"/>
      <c r="I81" s="122"/>
      <c r="J81" s="122"/>
      <c r="K81" s="122"/>
      <c r="L81" s="122"/>
      <c r="M81" s="122"/>
      <c r="N81" s="122"/>
      <c r="O81" s="122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" customHeight="1" x14ac:dyDescent="0.25">
      <c r="A82" s="37"/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" customHeight="1" x14ac:dyDescent="0.25">
      <c r="A83" s="37"/>
      <c r="B83" s="72" t="s">
        <v>69</v>
      </c>
      <c r="C83" s="72"/>
      <c r="D83" s="72"/>
      <c r="E83" s="72"/>
      <c r="F83" s="66">
        <v>0</v>
      </c>
      <c r="G83" s="72">
        <f ca="1">G61+G65+G67+G74+G76+G80+G81</f>
        <v>0</v>
      </c>
      <c r="H83" s="72">
        <f t="shared" ref="H83:O83" ca="1" si="42">H61+H65+H67+H74+H76+H80+H81</f>
        <v>0</v>
      </c>
      <c r="I83" s="72">
        <f t="shared" ca="1" si="42"/>
        <v>0</v>
      </c>
      <c r="J83" s="72">
        <f t="shared" ca="1" si="42"/>
        <v>0</v>
      </c>
      <c r="K83" s="72">
        <f t="shared" ca="1" si="42"/>
        <v>0</v>
      </c>
      <c r="L83" s="72">
        <f t="shared" ca="1" si="42"/>
        <v>0</v>
      </c>
      <c r="M83" s="72">
        <f t="shared" ca="1" si="42"/>
        <v>0</v>
      </c>
      <c r="N83" s="72">
        <f t="shared" ca="1" si="42"/>
        <v>0</v>
      </c>
      <c r="O83" s="72">
        <f t="shared" ca="1" si="42"/>
        <v>270.68842485036004</v>
      </c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" customHeight="1" x14ac:dyDescent="0.25">
      <c r="A84" s="37"/>
      <c r="B84" s="72" t="s">
        <v>66</v>
      </c>
      <c r="C84" s="72"/>
      <c r="D84" s="72"/>
      <c r="E84" s="72"/>
      <c r="F84" s="72"/>
      <c r="G84" s="72">
        <f ca="1">$F$18*AVERAGE(F83:G83)</f>
        <v>0</v>
      </c>
      <c r="H84" s="72">
        <f t="shared" ref="H84:O84" ca="1" si="43">$F$18*AVERAGE(G83:H83)</f>
        <v>0</v>
      </c>
      <c r="I84" s="72">
        <f t="shared" ca="1" si="43"/>
        <v>0</v>
      </c>
      <c r="J84" s="72">
        <f t="shared" ca="1" si="43"/>
        <v>0</v>
      </c>
      <c r="K84" s="72">
        <f t="shared" ca="1" si="43"/>
        <v>0</v>
      </c>
      <c r="L84" s="72">
        <f t="shared" ca="1" si="43"/>
        <v>0</v>
      </c>
      <c r="M84" s="72">
        <f t="shared" ca="1" si="43"/>
        <v>0</v>
      </c>
      <c r="N84" s="72">
        <f t="shared" ca="1" si="43"/>
        <v>0</v>
      </c>
      <c r="O84" s="72">
        <f t="shared" ca="1" si="43"/>
        <v>0.40603263727554006</v>
      </c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" customHeight="1" x14ac:dyDescent="0.25">
      <c r="A85" s="37"/>
      <c r="B85" s="72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72"/>
      <c r="O85" s="72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" customHeight="1" x14ac:dyDescent="0.25">
      <c r="A86" s="37"/>
      <c r="B86" s="72" t="s">
        <v>262</v>
      </c>
      <c r="C86" s="72"/>
      <c r="D86" s="72"/>
      <c r="E86" s="72"/>
      <c r="F86" s="72"/>
      <c r="G86" s="72">
        <f>F89</f>
        <v>0</v>
      </c>
      <c r="H86" s="72">
        <f t="shared" ref="H86:O86" ca="1" si="44">G89</f>
        <v>102.32555245240165</v>
      </c>
      <c r="I86" s="72">
        <f t="shared" ca="1" si="44"/>
        <v>242.37492621052581</v>
      </c>
      <c r="J86" s="72">
        <f t="shared" ca="1" si="44"/>
        <v>407.32914544929037</v>
      </c>
      <c r="K86" s="72">
        <f t="shared" ca="1" si="44"/>
        <v>598.91366732533493</v>
      </c>
      <c r="L86" s="72">
        <f t="shared" ca="1" si="44"/>
        <v>817.34517204386646</v>
      </c>
      <c r="M86" s="72">
        <f t="shared" ca="1" si="44"/>
        <v>1062.3863954212361</v>
      </c>
      <c r="N86" s="72">
        <f t="shared" ca="1" si="44"/>
        <v>1335.1119051147148</v>
      </c>
      <c r="O86" s="72">
        <f t="shared" ca="1" si="44"/>
        <v>1636.9780194469936</v>
      </c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" customHeight="1" x14ac:dyDescent="0.25">
      <c r="A87" s="37"/>
      <c r="B87" s="72" t="s">
        <v>263</v>
      </c>
      <c r="C87" s="72"/>
      <c r="D87" s="72"/>
      <c r="E87" s="72"/>
      <c r="F87" s="72"/>
      <c r="G87" s="72">
        <f ca="1">G65*-1</f>
        <v>102.32555245240165</v>
      </c>
      <c r="H87" s="72">
        <f t="shared" ref="H87:O87" ca="1" si="45">H65*-1</f>
        <v>140.04937375812418</v>
      </c>
      <c r="I87" s="72">
        <f t="shared" ca="1" si="45"/>
        <v>164.95421923876455</v>
      </c>
      <c r="J87" s="72">
        <f t="shared" ca="1" si="45"/>
        <v>191.58452187604459</v>
      </c>
      <c r="K87" s="72">
        <f t="shared" ca="1" si="45"/>
        <v>218.4315047185315</v>
      </c>
      <c r="L87" s="72">
        <f t="shared" ca="1" si="45"/>
        <v>245.0412233773697</v>
      </c>
      <c r="M87" s="72">
        <f t="shared" ca="1" si="45"/>
        <v>62.813604578763886</v>
      </c>
      <c r="N87" s="72">
        <f t="shared" ca="1" si="45"/>
        <v>0</v>
      </c>
      <c r="O87" s="72">
        <f t="shared" ca="1" si="45"/>
        <v>0</v>
      </c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" customHeight="1" x14ac:dyDescent="0.25">
      <c r="A88" s="37"/>
      <c r="B88" s="72" t="s">
        <v>264</v>
      </c>
      <c r="C88" s="72"/>
      <c r="D88" s="72"/>
      <c r="E88" s="72"/>
      <c r="F88" s="72"/>
      <c r="G88" s="72">
        <f ca="1">-G74</f>
        <v>0</v>
      </c>
      <c r="H88" s="72">
        <f t="shared" ref="H88:O88" ca="1" si="46">-H74</f>
        <v>0</v>
      </c>
      <c r="I88" s="72">
        <f t="shared" ca="1" si="46"/>
        <v>0</v>
      </c>
      <c r="J88" s="72">
        <f t="shared" ca="1" si="46"/>
        <v>0</v>
      </c>
      <c r="K88" s="72">
        <f t="shared" ca="1" si="46"/>
        <v>0</v>
      </c>
      <c r="L88" s="72">
        <f t="shared" ca="1" si="46"/>
        <v>0</v>
      </c>
      <c r="M88" s="72">
        <f t="shared" ca="1" si="46"/>
        <v>209.91190511471467</v>
      </c>
      <c r="N88" s="72">
        <f t="shared" ca="1" si="46"/>
        <v>301.8661143322787</v>
      </c>
      <c r="O88" s="72">
        <f t="shared" ca="1" si="46"/>
        <v>50.821980553006654</v>
      </c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" customHeight="1" x14ac:dyDescent="0.25">
      <c r="A89" s="37"/>
      <c r="B89" s="72" t="s">
        <v>265</v>
      </c>
      <c r="C89" s="72"/>
      <c r="D89" s="72"/>
      <c r="E89" s="72"/>
      <c r="F89" s="66">
        <v>0</v>
      </c>
      <c r="G89" s="72">
        <f ca="1">SUM(G86:G88)</f>
        <v>102.32555245240165</v>
      </c>
      <c r="H89" s="72">
        <f t="shared" ref="H89:O89" ca="1" si="47">SUM(H86:H88)</f>
        <v>242.37492621052581</v>
      </c>
      <c r="I89" s="72">
        <f t="shared" ca="1" si="47"/>
        <v>407.32914544929037</v>
      </c>
      <c r="J89" s="72">
        <f t="shared" ca="1" si="47"/>
        <v>598.91366732533493</v>
      </c>
      <c r="K89" s="72">
        <f t="shared" ca="1" si="47"/>
        <v>817.34517204386646</v>
      </c>
      <c r="L89" s="72">
        <f t="shared" ca="1" si="47"/>
        <v>1062.3863954212361</v>
      </c>
      <c r="M89" s="72">
        <f t="shared" ca="1" si="47"/>
        <v>1335.1119051147148</v>
      </c>
      <c r="N89" s="72">
        <f t="shared" ca="1" si="47"/>
        <v>1636.9780194469936</v>
      </c>
      <c r="O89" s="72">
        <f t="shared" ca="1" si="47"/>
        <v>1687.8000000000002</v>
      </c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" customHeight="1" x14ac:dyDescent="0.25">
      <c r="A90" s="37"/>
      <c r="B90" s="72"/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" customHeight="1" x14ac:dyDescent="0.25">
      <c r="A91" s="37"/>
      <c r="B91" s="72" t="s">
        <v>190</v>
      </c>
      <c r="C91" s="72"/>
      <c r="D91" s="72"/>
      <c r="E91" s="72"/>
      <c r="F91" s="72">
        <f>F68+F77</f>
        <v>1687.8000000000002</v>
      </c>
      <c r="G91" s="72">
        <f ca="1">G68+G77</f>
        <v>1585.4744475475984</v>
      </c>
      <c r="H91" s="72">
        <f t="shared" ref="H91:O91" ca="1" si="48">H68+H77</f>
        <v>1445.4250737894743</v>
      </c>
      <c r="I91" s="72">
        <f t="shared" ca="1" si="48"/>
        <v>1280.4708545507096</v>
      </c>
      <c r="J91" s="72">
        <f t="shared" ca="1" si="48"/>
        <v>1088.886332674665</v>
      </c>
      <c r="K91" s="72">
        <f t="shared" ca="1" si="48"/>
        <v>870.45482795613361</v>
      </c>
      <c r="L91" s="72">
        <f t="shared" ca="1" si="48"/>
        <v>625.41360457876385</v>
      </c>
      <c r="M91" s="72">
        <f t="shared" ca="1" si="48"/>
        <v>352.68809488528535</v>
      </c>
      <c r="N91" s="72">
        <f t="shared" ca="1" si="48"/>
        <v>50.821980553006654</v>
      </c>
      <c r="O91" s="72">
        <f t="shared" ca="1" si="48"/>
        <v>0</v>
      </c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" customHeight="1" x14ac:dyDescent="0.25">
      <c r="A92" s="37"/>
      <c r="B92" s="72" t="s">
        <v>261</v>
      </c>
      <c r="C92" s="72"/>
      <c r="D92" s="72"/>
      <c r="E92" s="72"/>
      <c r="F92" s="72"/>
      <c r="G92" s="78">
        <f ca="1">G89/$F$91</f>
        <v>6.062658635644131E-2</v>
      </c>
      <c r="H92" s="78">
        <f t="shared" ref="H92:O92" ca="1" si="49">H89/$F$91</f>
        <v>0.14360405629252623</v>
      </c>
      <c r="I92" s="78">
        <f t="shared" ca="1" si="49"/>
        <v>0.24133732992611109</v>
      </c>
      <c r="J92" s="78">
        <f t="shared" ca="1" si="49"/>
        <v>0.35484871864281009</v>
      </c>
      <c r="K92" s="78">
        <f t="shared" ca="1" si="49"/>
        <v>0.48426660270403271</v>
      </c>
      <c r="L92" s="78">
        <f t="shared" ca="1" si="49"/>
        <v>0.62945040610335112</v>
      </c>
      <c r="M92" s="78">
        <f t="shared" ca="1" si="49"/>
        <v>0.79103679648934389</v>
      </c>
      <c r="N92" s="78">
        <f t="shared" ca="1" si="49"/>
        <v>0.96988862391692943</v>
      </c>
      <c r="O92" s="78">
        <f t="shared" ca="1" si="49"/>
        <v>1</v>
      </c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" customHeight="1" x14ac:dyDescent="0.25">
      <c r="A93" s="37"/>
      <c r="B93" s="72" t="s">
        <v>266</v>
      </c>
      <c r="C93" s="72"/>
      <c r="D93" s="72"/>
      <c r="E93" s="72"/>
      <c r="F93" s="72"/>
      <c r="G93" s="80">
        <f ca="1">G91/G27</f>
        <v>4.6718062447928119</v>
      </c>
      <c r="H93" s="80">
        <f t="shared" ref="H93:O93" ca="1" si="50">H91/H27</f>
        <v>3.9074610893981809</v>
      </c>
      <c r="I93" s="80">
        <f t="shared" ca="1" si="50"/>
        <v>3.2051253571072325</v>
      </c>
      <c r="J93" s="80">
        <f t="shared" ca="1" si="50"/>
        <v>2.5472647833403292</v>
      </c>
      <c r="K93" s="80">
        <f t="shared" ca="1" si="50"/>
        <v>1.9210201391233266</v>
      </c>
      <c r="L93" s="80">
        <f t="shared" ca="1" si="50"/>
        <v>1.3145094255724128</v>
      </c>
      <c r="M93" s="80">
        <f t="shared" ca="1" si="50"/>
        <v>0.7127772688525652</v>
      </c>
      <c r="N93" s="80">
        <f t="shared" ca="1" si="50"/>
        <v>9.9718882286508478E-2</v>
      </c>
      <c r="O93" s="80">
        <f t="shared" ca="1" si="50"/>
        <v>0</v>
      </c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" customHeight="1" x14ac:dyDescent="0.25">
      <c r="A94" s="37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" customHeight="1" x14ac:dyDescent="0.25">
      <c r="A95" s="37" t="s">
        <v>100</v>
      </c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</row>
    <row r="96" spans="1:26" ht="15" customHeight="1" x14ac:dyDescent="0.25">
      <c r="A96" s="37"/>
      <c r="B96" s="71" t="s">
        <v>24</v>
      </c>
      <c r="C96" s="72"/>
      <c r="D96" s="72"/>
      <c r="E96" s="72"/>
      <c r="G96" s="72">
        <f>G31</f>
        <v>371.69178750000003</v>
      </c>
      <c r="H96" s="72">
        <f t="shared" ref="H96:O96" si="51">H31</f>
        <v>405.14404837500007</v>
      </c>
      <c r="I96" s="72">
        <f t="shared" si="51"/>
        <v>437.55557224500006</v>
      </c>
      <c r="J96" s="72">
        <f t="shared" si="51"/>
        <v>468.18446230215011</v>
      </c>
      <c r="K96" s="72">
        <f t="shared" si="51"/>
        <v>496.27553004027914</v>
      </c>
      <c r="L96" s="72">
        <f t="shared" si="51"/>
        <v>521.08930654229312</v>
      </c>
      <c r="M96" s="72">
        <f t="shared" si="51"/>
        <v>541.93287880398486</v>
      </c>
      <c r="N96" s="72">
        <f t="shared" si="51"/>
        <v>558.19086516810432</v>
      </c>
      <c r="O96" s="72">
        <f t="shared" si="51"/>
        <v>569.35468247146639</v>
      </c>
      <c r="P96" s="16"/>
    </row>
    <row r="97" spans="1:16" ht="15" customHeight="1" x14ac:dyDescent="0.25">
      <c r="A97" s="37"/>
      <c r="B97" s="71" t="s">
        <v>72</v>
      </c>
      <c r="C97" s="72"/>
      <c r="D97" s="72"/>
      <c r="E97" s="72"/>
      <c r="F97" s="71"/>
      <c r="G97" s="72">
        <f>$F$12*G96</f>
        <v>4088.6096625000005</v>
      </c>
      <c r="H97" s="72">
        <f t="shared" ref="H97:O97" si="52">$F$12*H96</f>
        <v>4456.5845321250008</v>
      </c>
      <c r="I97" s="72">
        <f t="shared" si="52"/>
        <v>4813.1112946950007</v>
      </c>
      <c r="J97" s="72">
        <f t="shared" si="52"/>
        <v>5150.0290853236511</v>
      </c>
      <c r="K97" s="72">
        <f t="shared" si="52"/>
        <v>5459.030830443071</v>
      </c>
      <c r="L97" s="72">
        <f t="shared" si="52"/>
        <v>5731.982371965224</v>
      </c>
      <c r="M97" s="72">
        <f t="shared" si="52"/>
        <v>5961.2616668438332</v>
      </c>
      <c r="N97" s="72">
        <f t="shared" si="52"/>
        <v>6140.0995168491472</v>
      </c>
      <c r="O97" s="72">
        <f t="shared" si="52"/>
        <v>6262.9015071861304</v>
      </c>
      <c r="P97" s="16"/>
    </row>
    <row r="98" spans="1:16" ht="15" customHeight="1" x14ac:dyDescent="0.25">
      <c r="A98" s="37"/>
      <c r="B98" s="71" t="s">
        <v>30</v>
      </c>
      <c r="C98" s="72"/>
      <c r="D98" s="72"/>
      <c r="E98" s="72"/>
      <c r="F98" s="72"/>
      <c r="G98" s="72">
        <f ca="1">G91-G83</f>
        <v>1585.4744475475984</v>
      </c>
      <c r="H98" s="72">
        <f t="shared" ref="H98:O98" ca="1" si="53">H91-H83</f>
        <v>1445.4250737894743</v>
      </c>
      <c r="I98" s="72">
        <f t="shared" ca="1" si="53"/>
        <v>1280.4708545507096</v>
      </c>
      <c r="J98" s="72">
        <f t="shared" ca="1" si="53"/>
        <v>1088.886332674665</v>
      </c>
      <c r="K98" s="72">
        <f t="shared" ca="1" si="53"/>
        <v>870.45482795613361</v>
      </c>
      <c r="L98" s="72">
        <f t="shared" ca="1" si="53"/>
        <v>625.41360457876385</v>
      </c>
      <c r="M98" s="72">
        <f t="shared" ca="1" si="53"/>
        <v>352.68809488528535</v>
      </c>
      <c r="N98" s="72">
        <f t="shared" ca="1" si="53"/>
        <v>50.821980553006654</v>
      </c>
      <c r="O98" s="72">
        <f t="shared" ca="1" si="53"/>
        <v>-270.68842485036004</v>
      </c>
      <c r="P98" s="16"/>
    </row>
    <row r="99" spans="1:16" ht="15" customHeight="1" x14ac:dyDescent="0.25">
      <c r="A99" s="37"/>
      <c r="B99" s="71" t="s">
        <v>102</v>
      </c>
      <c r="C99" s="72"/>
      <c r="D99" s="72"/>
      <c r="E99" s="72"/>
      <c r="F99" s="72"/>
      <c r="G99" s="72">
        <f ca="1">G97-G98</f>
        <v>2503.1352149524018</v>
      </c>
      <c r="H99" s="72">
        <f t="shared" ref="H99:O99" ca="1" si="54">H97-H98</f>
        <v>3011.1594583355263</v>
      </c>
      <c r="I99" s="72">
        <f t="shared" ca="1" si="54"/>
        <v>3532.640440144291</v>
      </c>
      <c r="J99" s="72">
        <f t="shared" ca="1" si="54"/>
        <v>4061.1427526489861</v>
      </c>
      <c r="K99" s="72">
        <f t="shared" ca="1" si="54"/>
        <v>4588.5760024869378</v>
      </c>
      <c r="L99" s="72">
        <f t="shared" ca="1" si="54"/>
        <v>5106.5687673864604</v>
      </c>
      <c r="M99" s="72">
        <f t="shared" ca="1" si="54"/>
        <v>5608.5735719585482</v>
      </c>
      <c r="N99" s="72">
        <f t="shared" ca="1" si="54"/>
        <v>6089.2775362961402</v>
      </c>
      <c r="O99" s="72">
        <f t="shared" ca="1" si="54"/>
        <v>6533.5899320364906</v>
      </c>
      <c r="P99" s="16"/>
    </row>
    <row r="100" spans="1:16" ht="15" customHeight="1" x14ac:dyDescent="0.25">
      <c r="A100" s="37"/>
      <c r="B100" s="71" t="s">
        <v>202</v>
      </c>
      <c r="C100" s="72"/>
      <c r="D100" s="72"/>
      <c r="E100" s="72"/>
      <c r="F100" s="72"/>
      <c r="G100" s="123"/>
      <c r="H100" s="123"/>
      <c r="I100" s="123"/>
      <c r="J100" s="123"/>
      <c r="K100" s="123"/>
      <c r="L100" s="123"/>
      <c r="M100" s="123"/>
      <c r="N100" s="123"/>
      <c r="O100" s="123"/>
      <c r="P100" s="16"/>
    </row>
    <row r="101" spans="1:16" ht="15" customHeight="1" x14ac:dyDescent="0.25">
      <c r="A101" s="37"/>
      <c r="B101" s="72"/>
      <c r="C101" s="72"/>
      <c r="D101" s="72"/>
      <c r="E101" s="72"/>
      <c r="F101" s="72"/>
      <c r="G101" s="72"/>
      <c r="H101" s="72"/>
      <c r="I101" s="72"/>
      <c r="J101" s="72"/>
      <c r="K101" s="72"/>
      <c r="L101" s="72"/>
      <c r="M101" s="72"/>
      <c r="N101" s="72"/>
      <c r="O101" s="72"/>
      <c r="P101" s="16"/>
    </row>
    <row r="102" spans="1:16" ht="15" customHeight="1" x14ac:dyDescent="0.25">
      <c r="A102" s="37"/>
      <c r="B102" s="71" t="s">
        <v>103</v>
      </c>
      <c r="C102" s="72"/>
      <c r="D102" s="72"/>
      <c r="E102" s="72"/>
      <c r="F102" s="72">
        <f>-N11</f>
        <v>-1437.4430000000002</v>
      </c>
      <c r="G102" s="72">
        <f>IF(G22=$F$20,G99,0)</f>
        <v>0</v>
      </c>
      <c r="H102" s="72">
        <f t="shared" ref="H102:O102" si="55">IF(H22=$F$20,H99,0)</f>
        <v>0</v>
      </c>
      <c r="I102" s="72">
        <f t="shared" si="55"/>
        <v>0</v>
      </c>
      <c r="J102" s="72">
        <f t="shared" si="55"/>
        <v>0</v>
      </c>
      <c r="K102" s="72">
        <f t="shared" ca="1" si="55"/>
        <v>4588.5760024869378</v>
      </c>
      <c r="L102" s="72">
        <f t="shared" si="55"/>
        <v>0</v>
      </c>
      <c r="M102" s="72">
        <f t="shared" si="55"/>
        <v>0</v>
      </c>
      <c r="N102" s="72">
        <f t="shared" si="55"/>
        <v>0</v>
      </c>
      <c r="O102" s="72">
        <f t="shared" si="55"/>
        <v>0</v>
      </c>
      <c r="P102" s="16"/>
    </row>
    <row r="103" spans="1:16" ht="15" customHeight="1" x14ac:dyDescent="0.25">
      <c r="A103" s="37"/>
      <c r="B103" s="71" t="s">
        <v>104</v>
      </c>
      <c r="C103" s="72"/>
      <c r="D103" s="72"/>
      <c r="F103" s="78">
        <f ca="1">IRR(F102:O102)</f>
        <v>0.261297280777264</v>
      </c>
      <c r="G103" s="72"/>
      <c r="H103" s="72"/>
      <c r="I103" s="72"/>
      <c r="J103" s="72"/>
      <c r="K103" s="72"/>
      <c r="L103" s="72"/>
      <c r="M103" s="72"/>
      <c r="N103" s="72"/>
      <c r="O103" s="72"/>
      <c r="P103" s="16"/>
    </row>
    <row r="104" spans="1:16" ht="15" customHeight="1" x14ac:dyDescent="0.25">
      <c r="A104" s="37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</row>
    <row r="105" spans="1:16" ht="15" customHeight="1" x14ac:dyDescent="0.25">
      <c r="A105" s="37" t="s">
        <v>105</v>
      </c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</row>
    <row r="106" spans="1:16" ht="15" customHeight="1" x14ac:dyDescent="0.25">
      <c r="A106" s="37"/>
      <c r="B106" s="71" t="s">
        <v>106</v>
      </c>
      <c r="C106" s="72"/>
      <c r="D106" s="72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</row>
    <row r="107" spans="1:16" ht="15" customHeight="1" x14ac:dyDescent="0.25">
      <c r="A107" s="37"/>
      <c r="B107" s="72"/>
      <c r="C107" s="72"/>
      <c r="D107" s="100" t="s">
        <v>89</v>
      </c>
      <c r="E107" s="101"/>
      <c r="F107" s="101"/>
      <c r="G107" s="16"/>
      <c r="H107" s="16"/>
      <c r="I107" s="16"/>
      <c r="J107" s="16"/>
      <c r="K107" s="16"/>
      <c r="L107" s="16"/>
      <c r="M107" s="16"/>
      <c r="N107" s="16"/>
      <c r="O107" s="16"/>
      <c r="P107" s="16"/>
    </row>
    <row r="108" spans="1:16" ht="15" customHeight="1" x14ac:dyDescent="0.25">
      <c r="A108" s="37"/>
      <c r="B108" s="16"/>
      <c r="C108" s="81">
        <f ca="1">F103</f>
        <v>0.261297280777264</v>
      </c>
      <c r="D108" s="56">
        <v>3</v>
      </c>
      <c r="E108" s="56">
        <v>4</v>
      </c>
      <c r="F108" s="56">
        <v>5</v>
      </c>
      <c r="G108" s="16"/>
      <c r="H108" s="16"/>
      <c r="I108" s="16"/>
      <c r="J108" s="16"/>
      <c r="K108" s="16"/>
      <c r="L108" s="16"/>
      <c r="M108" s="16"/>
      <c r="N108" s="16"/>
      <c r="O108" s="16"/>
      <c r="P108" s="16"/>
    </row>
    <row r="109" spans="1:16" ht="15" customHeight="1" x14ac:dyDescent="0.25">
      <c r="A109" s="37"/>
      <c r="B109" s="16"/>
      <c r="C109" s="55">
        <v>9</v>
      </c>
      <c r="D109" s="39">
        <f t="dataTable" ref="D109:F126" dt2D="1" dtr="1" r1="F20" r2="F11" ca="1"/>
        <v>0.59584390120761865</v>
      </c>
      <c r="E109" s="39">
        <v>0.47021216188447412</v>
      </c>
      <c r="F109" s="39">
        <v>0.39479359238956313</v>
      </c>
      <c r="G109" s="16"/>
      <c r="H109" s="16"/>
      <c r="I109" s="16"/>
      <c r="J109" s="16"/>
      <c r="K109" s="16"/>
      <c r="L109" s="16"/>
      <c r="M109" s="16"/>
      <c r="N109" s="16"/>
      <c r="O109" s="16"/>
      <c r="P109" s="16"/>
    </row>
    <row r="110" spans="1:16" ht="15" customHeight="1" x14ac:dyDescent="0.25">
      <c r="A110" s="37"/>
      <c r="B110" s="16"/>
      <c r="C110" s="55">
        <f t="shared" ref="C110:C126" si="56">C109+0.5</f>
        <v>9.5</v>
      </c>
      <c r="D110" s="39">
        <v>0.51731914088026754</v>
      </c>
      <c r="E110" s="39">
        <v>0.41561418952733553</v>
      </c>
      <c r="F110" s="39">
        <v>0.35319959932294576</v>
      </c>
      <c r="G110" s="16"/>
      <c r="H110" s="16"/>
      <c r="I110" s="16"/>
      <c r="J110" s="16"/>
      <c r="K110" s="16"/>
      <c r="L110" s="16"/>
      <c r="M110" s="16"/>
      <c r="N110" s="16"/>
      <c r="O110" s="16"/>
      <c r="P110" s="16"/>
    </row>
    <row r="111" spans="1:16" ht="15" customHeight="1" x14ac:dyDescent="0.25">
      <c r="A111" s="37"/>
      <c r="B111" s="16"/>
      <c r="C111" s="55">
        <f t="shared" si="56"/>
        <v>10</v>
      </c>
      <c r="D111" s="39">
        <v>0.45227417894207345</v>
      </c>
      <c r="E111" s="39">
        <v>0.36985205845672242</v>
      </c>
      <c r="F111" s="39">
        <v>0.31808940197117153</v>
      </c>
      <c r="G111" s="16"/>
      <c r="H111" s="16"/>
      <c r="I111" s="16"/>
      <c r="J111" s="16"/>
      <c r="K111" s="16"/>
      <c r="L111" s="16"/>
      <c r="M111" s="16"/>
      <c r="N111" s="16"/>
      <c r="O111" s="16"/>
      <c r="P111" s="16"/>
    </row>
    <row r="112" spans="1:16" ht="15" customHeight="1" x14ac:dyDescent="0.25">
      <c r="A112" s="37"/>
      <c r="B112" s="16"/>
      <c r="C112" s="55">
        <f t="shared" si="56"/>
        <v>10.5</v>
      </c>
      <c r="D112" s="39">
        <v>0.39711886383186878</v>
      </c>
      <c r="E112" s="39">
        <v>0.33064504844295128</v>
      </c>
      <c r="F112" s="39">
        <v>0.28782162234008313</v>
      </c>
      <c r="G112" s="16"/>
      <c r="H112" s="16"/>
      <c r="I112" s="16"/>
      <c r="J112" s="16"/>
      <c r="K112" s="16"/>
      <c r="L112" s="16"/>
      <c r="M112" s="16"/>
      <c r="N112" s="16"/>
      <c r="O112" s="16"/>
      <c r="P112" s="16"/>
    </row>
    <row r="113" spans="1:16" ht="15" customHeight="1" x14ac:dyDescent="0.25">
      <c r="A113" s="37"/>
      <c r="B113" s="16"/>
      <c r="C113" s="55">
        <f t="shared" si="56"/>
        <v>11</v>
      </c>
      <c r="D113" s="39">
        <v>0.34948978442101719</v>
      </c>
      <c r="E113" s="39">
        <v>0.29647577365343358</v>
      </c>
      <c r="F113" s="39">
        <v>0.261297280777264</v>
      </c>
      <c r="G113" s="16"/>
      <c r="H113" s="16"/>
      <c r="I113" s="16"/>
      <c r="J113" s="16"/>
      <c r="K113" s="16"/>
      <c r="L113" s="16"/>
      <c r="M113" s="16"/>
      <c r="N113" s="16"/>
      <c r="O113" s="16"/>
      <c r="P113" s="16"/>
    </row>
    <row r="114" spans="1:16" ht="15" customHeight="1" x14ac:dyDescent="0.25">
      <c r="A114" s="37"/>
      <c r="B114" s="16"/>
      <c r="C114" s="55">
        <f t="shared" si="56"/>
        <v>11.5</v>
      </c>
      <c r="D114" s="39">
        <v>0.3077557789005787</v>
      </c>
      <c r="E114" s="39">
        <v>0.2662871235601274</v>
      </c>
      <c r="F114" s="39">
        <v>0.23774644415424051</v>
      </c>
      <c r="G114" s="16"/>
      <c r="H114" s="16"/>
      <c r="I114" s="16"/>
      <c r="J114" s="16"/>
      <c r="K114" s="16"/>
      <c r="L114" s="16"/>
      <c r="M114" s="16"/>
      <c r="N114" s="16"/>
      <c r="O114" s="16"/>
      <c r="P114" s="16"/>
    </row>
    <row r="115" spans="1:16" ht="15" customHeight="1" x14ac:dyDescent="0.25">
      <c r="A115" s="37"/>
      <c r="B115" s="71" t="s">
        <v>107</v>
      </c>
      <c r="C115" s="55">
        <f t="shared" si="56"/>
        <v>12</v>
      </c>
      <c r="D115" s="39">
        <v>0.27074797794224947</v>
      </c>
      <c r="E115" s="39">
        <v>0.23931519725310535</v>
      </c>
      <c r="F115" s="39">
        <v>0.21660992488529307</v>
      </c>
      <c r="G115" s="16"/>
      <c r="H115" s="16"/>
      <c r="I115" s="16"/>
      <c r="J115" s="16"/>
      <c r="K115" s="16"/>
      <c r="L115" s="16"/>
      <c r="M115" s="16"/>
      <c r="N115" s="16"/>
      <c r="O115" s="16"/>
      <c r="P115" s="16"/>
    </row>
    <row r="116" spans="1:16" ht="15" customHeight="1" x14ac:dyDescent="0.25">
      <c r="A116" s="37"/>
      <c r="B116" s="16"/>
      <c r="C116" s="55">
        <f t="shared" si="56"/>
        <v>12.5</v>
      </c>
      <c r="D116" s="39">
        <v>0.23760277311624911</v>
      </c>
      <c r="E116" s="39">
        <v>0.21499127773559401</v>
      </c>
      <c r="F116" s="39">
        <v>0.1974695065125387</v>
      </c>
      <c r="G116" s="16"/>
      <c r="H116" s="16"/>
      <c r="I116" s="16"/>
      <c r="J116" s="16"/>
      <c r="K116" s="16"/>
      <c r="L116" s="16"/>
      <c r="M116" s="16"/>
      <c r="N116" s="16"/>
      <c r="O116" s="16"/>
      <c r="P116" s="16"/>
    </row>
    <row r="117" spans="1:16" ht="15" customHeight="1" x14ac:dyDescent="0.25">
      <c r="A117" s="37"/>
      <c r="B117" s="16"/>
      <c r="C117" s="55">
        <f t="shared" si="56"/>
        <v>13</v>
      </c>
      <c r="D117" s="39">
        <v>0.20766568068734359</v>
      </c>
      <c r="E117" s="39">
        <v>0.19288134915838384</v>
      </c>
      <c r="F117" s="39">
        <v>0.18000469015221721</v>
      </c>
      <c r="G117" s="16"/>
      <c r="H117" s="16"/>
      <c r="I117" s="16"/>
      <c r="J117" s="16"/>
      <c r="K117" s="16"/>
      <c r="L117" s="16"/>
      <c r="M117" s="16"/>
      <c r="N117" s="16"/>
      <c r="O117" s="16"/>
      <c r="P117" s="16"/>
    </row>
    <row r="118" spans="1:16" ht="15" customHeight="1" x14ac:dyDescent="0.25">
      <c r="A118" s="37"/>
      <c r="B118" s="16"/>
      <c r="C118" s="55">
        <f t="shared" si="56"/>
        <v>13.5</v>
      </c>
      <c r="D118" s="39">
        <v>0.18042995260871653</v>
      </c>
      <c r="E118" s="39">
        <v>0.17264719892154656</v>
      </c>
      <c r="F118" s="39">
        <v>0.16396475812815847</v>
      </c>
      <c r="G118" s="16"/>
      <c r="H118" s="16"/>
      <c r="I118" s="16"/>
      <c r="J118" s="16"/>
      <c r="K118" s="16"/>
      <c r="L118" s="16"/>
      <c r="M118" s="16"/>
      <c r="N118" s="16"/>
      <c r="O118" s="16"/>
      <c r="P118" s="16"/>
    </row>
    <row r="119" spans="1:16" ht="15" customHeight="1" x14ac:dyDescent="0.25">
      <c r="A119" s="37"/>
      <c r="B119" s="16"/>
      <c r="C119" s="55">
        <f t="shared" si="56"/>
        <v>14</v>
      </c>
      <c r="D119" s="39">
        <v>0.15549596448047764</v>
      </c>
      <c r="E119" s="92">
        <v>0.15402051579455134</v>
      </c>
      <c r="F119" s="39">
        <v>0.14915009815041569</v>
      </c>
      <c r="G119" s="16"/>
      <c r="H119" s="16"/>
      <c r="I119" s="16"/>
      <c r="J119" s="16"/>
      <c r="K119" s="16"/>
      <c r="L119" s="16"/>
      <c r="M119" s="16"/>
      <c r="N119" s="16"/>
      <c r="O119" s="16"/>
      <c r="P119" s="16"/>
    </row>
    <row r="120" spans="1:16" ht="15" customHeight="1" x14ac:dyDescent="0.25">
      <c r="A120" s="37"/>
      <c r="B120" s="16"/>
      <c r="C120" s="55">
        <f t="shared" si="56"/>
        <v>14.5</v>
      </c>
      <c r="D120" s="39">
        <v>0.13254352681202652</v>
      </c>
      <c r="E120" s="39">
        <v>0.13678512317294245</v>
      </c>
      <c r="F120" s="39">
        <v>0.13539934655645447</v>
      </c>
      <c r="G120" s="16"/>
      <c r="H120" s="16"/>
      <c r="I120" s="16"/>
      <c r="J120" s="16"/>
      <c r="K120" s="16"/>
      <c r="L120" s="16"/>
      <c r="M120" s="16"/>
      <c r="N120" s="16"/>
      <c r="O120" s="16"/>
      <c r="P120" s="16"/>
    </row>
    <row r="121" spans="1:16" ht="15" customHeight="1" x14ac:dyDescent="0.25">
      <c r="A121" s="37"/>
      <c r="B121" s="16"/>
      <c r="C121" s="55">
        <f t="shared" si="56"/>
        <v>15</v>
      </c>
      <c r="D121" s="39">
        <v>0.11131251032419764</v>
      </c>
      <c r="E121" s="39">
        <v>0.12076447686695579</v>
      </c>
      <c r="F121" s="39">
        <v>0.12258031052656615</v>
      </c>
      <c r="G121" s="16"/>
      <c r="H121" s="16"/>
      <c r="I121" s="16"/>
      <c r="J121" s="16"/>
      <c r="K121" s="16"/>
      <c r="L121" s="16"/>
      <c r="M121" s="16"/>
      <c r="N121" s="16"/>
      <c r="O121" s="16"/>
      <c r="P121" s="16"/>
    </row>
    <row r="122" spans="1:16" ht="15" customHeight="1" x14ac:dyDescent="0.25">
      <c r="A122" s="37"/>
      <c r="B122" s="16"/>
      <c r="C122" s="55">
        <f t="shared" si="56"/>
        <v>15.5</v>
      </c>
      <c r="D122" s="39">
        <v>9.158897832442503E-2</v>
      </c>
      <c r="E122" s="39">
        <v>0.10581266925033339</v>
      </c>
      <c r="F122" s="39">
        <v>0.11058341560236684</v>
      </c>
      <c r="G122" s="16"/>
      <c r="H122" s="16"/>
      <c r="I122" s="16"/>
      <c r="J122" s="16"/>
      <c r="K122" s="16"/>
      <c r="L122" s="16"/>
      <c r="M122" s="16"/>
      <c r="N122" s="16"/>
      <c r="O122" s="16"/>
      <c r="P122" s="16"/>
    </row>
    <row r="123" spans="1:16" ht="15" customHeight="1" x14ac:dyDescent="0.25">
      <c r="A123" s="37"/>
      <c r="B123" s="16"/>
      <c r="C123" s="55">
        <f t="shared" si="56"/>
        <v>16</v>
      </c>
      <c r="D123" s="39">
        <v>7.3195061145300722E-2</v>
      </c>
      <c r="E123" s="39">
        <v>9.1807828248552159E-2</v>
      </c>
      <c r="F123" s="39">
        <v>9.9316883212352547E-2</v>
      </c>
      <c r="G123" s="16"/>
      <c r="H123" s="16"/>
      <c r="I123" s="16"/>
      <c r="J123" s="16"/>
      <c r="K123" s="16"/>
      <c r="L123" s="16"/>
      <c r="M123" s="16"/>
      <c r="N123" s="16"/>
      <c r="O123" s="16"/>
      <c r="P123" s="16"/>
    </row>
    <row r="124" spans="1:16" ht="15" customHeight="1" x14ac:dyDescent="0.25">
      <c r="A124" s="37"/>
      <c r="B124" s="16"/>
      <c r="C124" s="55">
        <f t="shared" si="56"/>
        <v>16.5</v>
      </c>
      <c r="D124" s="39">
        <v>5.5981431136926663E-2</v>
      </c>
      <c r="E124" s="39">
        <v>7.8647188718766303E-2</v>
      </c>
      <c r="F124" s="39">
        <v>8.8703119971890176E-2</v>
      </c>
      <c r="G124" s="16"/>
      <c r="H124" s="16"/>
      <c r="I124" s="16"/>
      <c r="J124" s="16"/>
      <c r="K124" s="16"/>
      <c r="L124" s="16"/>
      <c r="M124" s="16"/>
      <c r="N124" s="16"/>
      <c r="O124" s="16"/>
      <c r="P124" s="16"/>
    </row>
    <row r="125" spans="1:16" ht="15" customHeight="1" x14ac:dyDescent="0.25">
      <c r="A125" s="37"/>
      <c r="B125" s="16"/>
      <c r="C125" s="55">
        <f t="shared" si="56"/>
        <v>17</v>
      </c>
      <c r="D125" s="39">
        <v>3.982162143650414E-2</v>
      </c>
      <c r="E125" s="39">
        <v>6.6243354961281975E-2</v>
      </c>
      <c r="F125" s="39">
        <v>7.8675972272161721E-2</v>
      </c>
      <c r="G125" s="16"/>
      <c r="H125" s="16"/>
      <c r="I125" s="16"/>
      <c r="J125" s="16"/>
      <c r="K125" s="16"/>
      <c r="L125" s="16"/>
      <c r="M125" s="16"/>
      <c r="N125" s="16"/>
      <c r="O125" s="16"/>
      <c r="P125" s="16"/>
    </row>
    <row r="126" spans="1:16" ht="15" customHeight="1" x14ac:dyDescent="0.25">
      <c r="A126" s="37"/>
      <c r="B126" s="16"/>
      <c r="C126" s="55">
        <f t="shared" si="56"/>
        <v>17.5</v>
      </c>
      <c r="D126" s="39">
        <v>2.4607675558701247E-2</v>
      </c>
      <c r="E126" s="39">
        <v>5.452142669908322E-2</v>
      </c>
      <c r="F126" s="39">
        <v>6.9178609872962982E-2</v>
      </c>
      <c r="G126" s="16"/>
      <c r="H126" s="16"/>
      <c r="I126" s="16"/>
      <c r="J126" s="16"/>
      <c r="K126" s="16"/>
      <c r="L126" s="16"/>
      <c r="M126" s="16"/>
      <c r="N126" s="16"/>
      <c r="O126" s="16"/>
      <c r="P126" s="16"/>
    </row>
    <row r="127" spans="1:16" ht="15" customHeight="1" x14ac:dyDescent="0.25">
      <c r="A127" s="37"/>
      <c r="B127" s="16"/>
      <c r="C127" s="16"/>
      <c r="D127" s="39"/>
      <c r="E127" s="39"/>
      <c r="F127" s="39"/>
      <c r="G127" s="16"/>
      <c r="H127" s="16"/>
      <c r="I127" s="16"/>
      <c r="J127" s="16"/>
      <c r="K127" s="16"/>
      <c r="L127" s="16"/>
      <c r="M127" s="16"/>
      <c r="N127" s="16"/>
      <c r="O127" s="16"/>
      <c r="P127" s="16"/>
    </row>
    <row r="128" spans="1:16" ht="15" customHeight="1" x14ac:dyDescent="0.25">
      <c r="A128" s="37"/>
      <c r="B128" s="16"/>
      <c r="C128" s="16"/>
      <c r="D128" s="39"/>
      <c r="E128" s="39"/>
      <c r="F128" s="39"/>
      <c r="G128" s="16"/>
      <c r="H128" s="16"/>
      <c r="I128" s="16"/>
      <c r="J128" s="16"/>
      <c r="K128" s="16"/>
      <c r="L128" s="16"/>
      <c r="M128" s="16"/>
      <c r="N128" s="16"/>
      <c r="O128" s="16"/>
      <c r="P128" s="16"/>
    </row>
    <row r="129" spans="1:16" ht="15" customHeight="1" x14ac:dyDescent="0.25">
      <c r="A129" s="37"/>
      <c r="B129" t="s">
        <v>222</v>
      </c>
      <c r="C129" s="16"/>
      <c r="D129" s="39"/>
      <c r="E129" s="39"/>
      <c r="F129" s="39"/>
      <c r="G129" s="16"/>
      <c r="H129" s="16"/>
      <c r="I129" s="16"/>
      <c r="J129" s="16"/>
      <c r="K129" s="16"/>
      <c r="L129" s="16"/>
      <c r="M129" s="16"/>
      <c r="N129" s="16"/>
      <c r="O129" s="16"/>
      <c r="P129" s="16"/>
    </row>
    <row r="130" spans="1:16" ht="15" customHeight="1" x14ac:dyDescent="0.25">
      <c r="A130" s="37"/>
      <c r="B130" s="16"/>
      <c r="C130" s="16"/>
      <c r="D130" s="39"/>
      <c r="E130" s="39"/>
      <c r="F130" s="39"/>
      <c r="G130" s="16"/>
      <c r="H130" s="16"/>
      <c r="I130" s="16"/>
      <c r="J130" s="16"/>
      <c r="K130" s="16"/>
      <c r="L130" s="16"/>
      <c r="M130" s="16"/>
      <c r="N130" s="16"/>
      <c r="O130" s="16"/>
      <c r="P130" s="16"/>
    </row>
    <row r="131" spans="1:16" ht="15" customHeight="1" x14ac:dyDescent="0.25">
      <c r="A131" s="37"/>
      <c r="B131" s="72" t="s">
        <v>97</v>
      </c>
      <c r="C131" s="72"/>
      <c r="D131" s="72"/>
      <c r="E131" s="72"/>
      <c r="F131" s="72"/>
      <c r="G131" s="72"/>
      <c r="H131" s="72"/>
      <c r="I131" s="72"/>
      <c r="J131" s="72"/>
      <c r="K131" s="72"/>
      <c r="L131" s="72"/>
      <c r="M131" s="72"/>
      <c r="N131" s="72"/>
      <c r="O131" s="72"/>
      <c r="P131" s="16"/>
    </row>
    <row r="132" spans="1:16" ht="15" customHeight="1" x14ac:dyDescent="0.25">
      <c r="A132" s="37"/>
      <c r="B132" s="72" t="s">
        <v>219</v>
      </c>
      <c r="C132" s="72"/>
      <c r="D132" s="72"/>
      <c r="E132" s="107">
        <v>0</v>
      </c>
      <c r="G132" s="72"/>
      <c r="H132" s="72"/>
      <c r="I132" s="72"/>
      <c r="J132" s="72"/>
      <c r="K132" s="72"/>
      <c r="L132" s="72"/>
      <c r="M132" s="72"/>
      <c r="N132" s="72"/>
      <c r="O132" s="72"/>
      <c r="P132" s="16"/>
    </row>
    <row r="133" spans="1:16" ht="15" customHeight="1" x14ac:dyDescent="0.25">
      <c r="A133" s="37"/>
      <c r="B133" s="72" t="s">
        <v>220</v>
      </c>
      <c r="C133" s="72"/>
      <c r="D133" s="72"/>
      <c r="E133" s="107">
        <v>1</v>
      </c>
      <c r="G133" s="72"/>
      <c r="H133" s="72"/>
      <c r="I133" s="72"/>
      <c r="J133" s="72"/>
      <c r="K133" s="72"/>
      <c r="L133" s="72"/>
      <c r="M133" s="72"/>
      <c r="N133" s="72"/>
      <c r="O133" s="72"/>
      <c r="P133" s="16"/>
    </row>
    <row r="134" spans="1:16" ht="15" customHeight="1" x14ac:dyDescent="0.25">
      <c r="A134" s="37"/>
      <c r="B134" s="72"/>
      <c r="C134" s="72"/>
      <c r="D134" s="72"/>
      <c r="E134" s="72"/>
      <c r="G134" s="72"/>
      <c r="H134" s="72"/>
      <c r="I134" s="72"/>
      <c r="J134" s="72"/>
      <c r="K134" s="72"/>
      <c r="L134" s="72"/>
      <c r="M134" s="72"/>
      <c r="N134" s="72"/>
      <c r="O134" s="72"/>
      <c r="P134" s="16"/>
    </row>
    <row r="135" spans="1:16" ht="15" customHeight="1" x14ac:dyDescent="0.25">
      <c r="A135" s="37"/>
      <c r="B135" s="72" t="s">
        <v>221</v>
      </c>
      <c r="C135" s="72"/>
      <c r="D135" s="72"/>
      <c r="E135" s="72"/>
      <c r="G135" s="72"/>
      <c r="H135" s="72"/>
      <c r="I135" s="72"/>
      <c r="J135" s="72"/>
      <c r="K135" s="72"/>
      <c r="L135" s="72"/>
      <c r="M135" s="72"/>
      <c r="N135" s="72"/>
      <c r="O135" s="72"/>
      <c r="P135" s="16"/>
    </row>
    <row r="136" spans="1:16" ht="15" customHeight="1" x14ac:dyDescent="0.25">
      <c r="A136" s="37"/>
      <c r="B136" s="72" t="s">
        <v>219</v>
      </c>
      <c r="C136" s="72"/>
      <c r="D136" s="72"/>
      <c r="E136" s="107">
        <v>0</v>
      </c>
      <c r="G136" s="72"/>
      <c r="H136" s="72"/>
      <c r="I136" s="72"/>
      <c r="J136" s="72"/>
      <c r="K136" s="72"/>
      <c r="L136" s="72"/>
      <c r="M136" s="72"/>
      <c r="N136" s="72"/>
      <c r="O136" s="72"/>
      <c r="P136" s="16"/>
    </row>
    <row r="137" spans="1:16" ht="15" customHeight="1" x14ac:dyDescent="0.25">
      <c r="A137" s="37"/>
      <c r="B137" s="72" t="s">
        <v>220</v>
      </c>
      <c r="C137" s="72"/>
      <c r="D137" s="72"/>
      <c r="E137" s="107">
        <v>1</v>
      </c>
      <c r="G137" s="72"/>
      <c r="H137" s="72"/>
      <c r="I137" s="72"/>
      <c r="J137" s="72"/>
      <c r="K137" s="72"/>
      <c r="L137" s="72"/>
      <c r="M137" s="72"/>
      <c r="N137" s="72"/>
      <c r="O137" s="72"/>
      <c r="P137" s="16"/>
    </row>
    <row r="138" spans="1:16" ht="15" customHeight="1" x14ac:dyDescent="0.25">
      <c r="A138" s="37"/>
      <c r="B138" s="16"/>
      <c r="C138" s="16"/>
      <c r="D138" s="39"/>
      <c r="E138" s="39"/>
      <c r="F138" s="39"/>
      <c r="G138" s="16"/>
      <c r="H138" s="16"/>
      <c r="I138" s="16"/>
      <c r="J138" s="16"/>
      <c r="K138" s="16"/>
      <c r="L138" s="16"/>
      <c r="M138" s="16"/>
      <c r="N138" s="16"/>
      <c r="O138" s="16"/>
      <c r="P138" s="16"/>
    </row>
    <row r="139" spans="1:16" ht="15" customHeight="1" x14ac:dyDescent="0.25">
      <c r="A139" s="37"/>
      <c r="B139" s="50" t="s">
        <v>69</v>
      </c>
      <c r="C139" s="16"/>
      <c r="D139" s="39"/>
      <c r="P139" s="16"/>
    </row>
    <row r="140" spans="1:16" ht="15" customHeight="1" x14ac:dyDescent="0.25">
      <c r="A140" s="37"/>
      <c r="B140" s="50" t="s">
        <v>219</v>
      </c>
      <c r="C140" s="16"/>
      <c r="D140" s="39"/>
      <c r="E140" s="107">
        <v>0</v>
      </c>
      <c r="P140" s="16"/>
    </row>
    <row r="141" spans="1:16" ht="15" customHeight="1" x14ac:dyDescent="0.25">
      <c r="A141" s="37"/>
      <c r="B141" s="50" t="s">
        <v>220</v>
      </c>
      <c r="C141" s="16"/>
      <c r="D141" s="39"/>
      <c r="E141" s="107">
        <v>1</v>
      </c>
      <c r="P141" s="16"/>
    </row>
    <row r="142" spans="1:16" ht="15" customHeight="1" x14ac:dyDescent="0.25">
      <c r="A142" s="37"/>
      <c r="B142" s="16"/>
      <c r="C142" s="16"/>
      <c r="D142" s="39"/>
      <c r="E142" s="39"/>
      <c r="F142" s="39"/>
      <c r="G142" s="16"/>
      <c r="H142" s="16"/>
      <c r="I142" s="16"/>
      <c r="J142" s="16"/>
      <c r="K142" s="16"/>
      <c r="L142" s="16"/>
      <c r="M142" s="16"/>
      <c r="N142" s="16"/>
      <c r="O142" s="16"/>
      <c r="P142" s="16"/>
    </row>
    <row r="143" spans="1:16" ht="15" customHeight="1" x14ac:dyDescent="0.25">
      <c r="A143" s="37" t="s">
        <v>32</v>
      </c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</row>
  </sheetData>
  <printOptions headings="1" gridLines="1"/>
  <pageMargins left="0.25" right="0.25" top="0.75" bottom="0.75" header="0.3" footer="0.3"/>
  <pageSetup paperSize="9" scale="48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938EA-AD73-47C7-B06C-75ECD9D85B1D}">
  <sheetPr>
    <tabColor theme="8"/>
  </sheetPr>
  <dimension ref="A1:K216"/>
  <sheetViews>
    <sheetView zoomScaleNormal="100" workbookViewId="0"/>
  </sheetViews>
  <sheetFormatPr defaultColWidth="9" defaultRowHeight="15" customHeight="1" x14ac:dyDescent="0.25"/>
  <cols>
    <col min="1" max="1" width="1.28515625" style="109" customWidth="1"/>
    <col min="2" max="2" width="41.7109375" style="110" customWidth="1"/>
    <col min="3" max="10" width="11" customWidth="1"/>
    <col min="11" max="12" width="9.28515625" customWidth="1"/>
  </cols>
  <sheetData>
    <row r="1" spans="1:10" s="114" customFormat="1" ht="45" customHeight="1" x14ac:dyDescent="0.45">
      <c r="A1" s="82" t="s">
        <v>229</v>
      </c>
      <c r="B1" s="113"/>
      <c r="C1" s="108"/>
      <c r="D1" s="108"/>
      <c r="E1" s="108"/>
      <c r="F1" s="108"/>
      <c r="G1" s="108"/>
      <c r="H1" s="108"/>
      <c r="I1" s="108"/>
      <c r="J1" s="108"/>
    </row>
    <row r="2" spans="1:10" s="116" customFormat="1" ht="30" customHeight="1" x14ac:dyDescent="0.35">
      <c r="A2" s="84"/>
      <c r="B2" s="115"/>
      <c r="C2" s="1"/>
      <c r="D2" s="1"/>
      <c r="E2" s="1"/>
      <c r="F2" s="1"/>
      <c r="G2" s="1"/>
      <c r="H2" s="1"/>
      <c r="I2" s="1"/>
      <c r="J2" s="1"/>
    </row>
    <row r="4" spans="1:10" ht="15" customHeight="1" x14ac:dyDescent="0.25">
      <c r="A4" s="109" t="s">
        <v>230</v>
      </c>
    </row>
    <row r="5" spans="1:10" ht="15" customHeight="1" x14ac:dyDescent="0.25">
      <c r="B5" s="110" t="s">
        <v>231</v>
      </c>
    </row>
    <row r="7" spans="1:10" ht="15" customHeight="1" x14ac:dyDescent="0.25">
      <c r="C7" s="117" t="s">
        <v>232</v>
      </c>
      <c r="D7" s="117" t="s">
        <v>233</v>
      </c>
      <c r="E7" s="117" t="s">
        <v>234</v>
      </c>
      <c r="F7" s="117" t="s">
        <v>235</v>
      </c>
    </row>
    <row r="8" spans="1:10" ht="15" customHeight="1" x14ac:dyDescent="0.25">
      <c r="B8" s="110" t="s">
        <v>24</v>
      </c>
      <c r="C8" s="66">
        <v>100</v>
      </c>
      <c r="D8" s="66">
        <v>110</v>
      </c>
      <c r="E8" s="66">
        <v>120</v>
      </c>
      <c r="F8" s="66">
        <v>130</v>
      </c>
    </row>
    <row r="10" spans="1:10" ht="15" customHeight="1" x14ac:dyDescent="0.25">
      <c r="B10" s="110" t="s">
        <v>236</v>
      </c>
    </row>
    <row r="11" spans="1:10" ht="15" customHeight="1" x14ac:dyDescent="0.25">
      <c r="B11" s="110" t="s">
        <v>271</v>
      </c>
    </row>
    <row r="12" spans="1:10" ht="15" customHeight="1" x14ac:dyDescent="0.25">
      <c r="B12" s="110" t="s">
        <v>237</v>
      </c>
    </row>
    <row r="14" spans="1:10" ht="15" customHeight="1" x14ac:dyDescent="0.25">
      <c r="B14" s="110" t="s">
        <v>272</v>
      </c>
      <c r="C14" s="118">
        <v>8</v>
      </c>
    </row>
    <row r="15" spans="1:10" ht="15" customHeight="1" x14ac:dyDescent="0.25">
      <c r="B15" s="110" t="s">
        <v>273</v>
      </c>
      <c r="C15" s="118">
        <v>6</v>
      </c>
    </row>
    <row r="16" spans="1:10" ht="15" customHeight="1" x14ac:dyDescent="0.25">
      <c r="B16" s="110" t="s">
        <v>274</v>
      </c>
      <c r="C16" s="119">
        <v>0.2</v>
      </c>
    </row>
    <row r="17" spans="1:6" ht="15" customHeight="1" x14ac:dyDescent="0.25">
      <c r="B17" s="110" t="s">
        <v>275</v>
      </c>
      <c r="C17" s="119">
        <v>0.12</v>
      </c>
    </row>
    <row r="18" spans="1:6" ht="15" customHeight="1" x14ac:dyDescent="0.25">
      <c r="B18" s="110" t="s">
        <v>276</v>
      </c>
      <c r="C18" s="66">
        <v>3</v>
      </c>
    </row>
    <row r="20" spans="1:6" ht="15" customHeight="1" x14ac:dyDescent="0.25">
      <c r="C20" s="117" t="s">
        <v>238</v>
      </c>
      <c r="D20" s="117"/>
      <c r="E20" s="117"/>
      <c r="F20" s="117" t="s">
        <v>239</v>
      </c>
    </row>
    <row r="21" spans="1:6" ht="15" customHeight="1" x14ac:dyDescent="0.25">
      <c r="B21" s="110" t="s">
        <v>240</v>
      </c>
      <c r="C21" s="66"/>
    </row>
    <row r="22" spans="1:6" ht="15" customHeight="1" x14ac:dyDescent="0.25">
      <c r="B22" s="110" t="s">
        <v>241</v>
      </c>
      <c r="C22" s="83"/>
    </row>
    <row r="23" spans="1:6" ht="15" customHeight="1" x14ac:dyDescent="0.25">
      <c r="B23" s="110" t="s">
        <v>242</v>
      </c>
      <c r="C23" s="83"/>
    </row>
    <row r="24" spans="1:6" ht="15" customHeight="1" x14ac:dyDescent="0.25">
      <c r="B24" s="110" t="s">
        <v>243</v>
      </c>
    </row>
    <row r="25" spans="1:6" ht="15" customHeight="1" x14ac:dyDescent="0.25">
      <c r="B25" s="110" t="s">
        <v>244</v>
      </c>
      <c r="C25" s="83"/>
      <c r="F25" s="83"/>
    </row>
    <row r="27" spans="1:6" ht="15" customHeight="1" x14ac:dyDescent="0.25">
      <c r="B27" s="110" t="s">
        <v>104</v>
      </c>
      <c r="C27" s="69"/>
      <c r="F27" s="69"/>
    </row>
    <row r="29" spans="1:6" ht="15" customHeight="1" x14ac:dyDescent="0.25">
      <c r="A29" s="109" t="s">
        <v>245</v>
      </c>
    </row>
    <row r="30" spans="1:6" ht="15" customHeight="1" x14ac:dyDescent="0.25">
      <c r="B30" s="110" t="s">
        <v>246</v>
      </c>
    </row>
    <row r="31" spans="1:6" ht="15" customHeight="1" x14ac:dyDescent="0.25">
      <c r="B31" s="110" t="s">
        <v>247</v>
      </c>
    </row>
    <row r="32" spans="1:6" ht="15" customHeight="1" x14ac:dyDescent="0.25">
      <c r="B32" s="110" t="s">
        <v>248</v>
      </c>
    </row>
    <row r="33" spans="2:6" ht="15" customHeight="1" x14ac:dyDescent="0.25">
      <c r="B33" s="110" t="s">
        <v>249</v>
      </c>
    </row>
    <row r="34" spans="2:6" ht="15" customHeight="1" x14ac:dyDescent="0.25">
      <c r="B34" s="110" t="s">
        <v>250</v>
      </c>
    </row>
    <row r="36" spans="2:6" ht="15" customHeight="1" x14ac:dyDescent="0.25">
      <c r="B36" s="110" t="s">
        <v>274</v>
      </c>
      <c r="C36" s="119">
        <v>0.2</v>
      </c>
    </row>
    <row r="37" spans="2:6" ht="15" customHeight="1" x14ac:dyDescent="0.25">
      <c r="B37" s="110" t="s">
        <v>277</v>
      </c>
      <c r="C37" s="66">
        <v>10</v>
      </c>
    </row>
    <row r="38" spans="2:6" ht="15" customHeight="1" x14ac:dyDescent="0.25">
      <c r="B38" s="110" t="s">
        <v>278</v>
      </c>
      <c r="C38" s="66">
        <v>500</v>
      </c>
    </row>
    <row r="39" spans="2:6" ht="15" customHeight="1" x14ac:dyDescent="0.25">
      <c r="B39" s="110" t="s">
        <v>279</v>
      </c>
      <c r="C39" s="120">
        <v>0.1</v>
      </c>
    </row>
    <row r="40" spans="2:6" ht="15" customHeight="1" x14ac:dyDescent="0.25">
      <c r="B40" s="110" t="s">
        <v>276</v>
      </c>
      <c r="C40" s="66">
        <v>4</v>
      </c>
    </row>
    <row r="41" spans="2:6" ht="15" customHeight="1" x14ac:dyDescent="0.25">
      <c r="B41" s="110" t="s">
        <v>280</v>
      </c>
      <c r="C41" s="66">
        <v>1200</v>
      </c>
    </row>
    <row r="42" spans="2:6" ht="15" customHeight="1" x14ac:dyDescent="0.25">
      <c r="B42" s="110" t="s">
        <v>281</v>
      </c>
      <c r="C42" s="119">
        <v>0.2</v>
      </c>
    </row>
    <row r="43" spans="2:6" ht="15" customHeight="1" x14ac:dyDescent="0.25">
      <c r="B43" s="110" t="s">
        <v>282</v>
      </c>
      <c r="C43" s="119">
        <v>0.5</v>
      </c>
    </row>
    <row r="45" spans="2:6" ht="15" customHeight="1" x14ac:dyDescent="0.25">
      <c r="C45" s="111" t="s">
        <v>238</v>
      </c>
      <c r="D45" s="111" t="s">
        <v>251</v>
      </c>
      <c r="E45" s="111" t="s">
        <v>252</v>
      </c>
      <c r="F45" s="111" t="s">
        <v>253</v>
      </c>
    </row>
    <row r="46" spans="2:6" ht="15" customHeight="1" x14ac:dyDescent="0.25">
      <c r="B46" s="110" t="s">
        <v>240</v>
      </c>
    </row>
    <row r="47" spans="2:6" ht="15" customHeight="1" x14ac:dyDescent="0.25">
      <c r="B47" s="110" t="s">
        <v>241</v>
      </c>
    </row>
    <row r="48" spans="2:6" ht="15" customHeight="1" x14ac:dyDescent="0.25">
      <c r="B48" s="110" t="s">
        <v>242</v>
      </c>
    </row>
    <row r="50" spans="1:3" ht="15" customHeight="1" x14ac:dyDescent="0.25">
      <c r="B50" s="110" t="s">
        <v>283</v>
      </c>
    </row>
    <row r="51" spans="1:3" ht="15" customHeight="1" x14ac:dyDescent="0.25">
      <c r="B51" s="110" t="s">
        <v>254</v>
      </c>
      <c r="C51" s="69"/>
    </row>
    <row r="53" spans="1:3" ht="15" customHeight="1" x14ac:dyDescent="0.25">
      <c r="A53" s="109" t="s">
        <v>255</v>
      </c>
    </row>
    <row r="54" spans="1:3" ht="15" customHeight="1" x14ac:dyDescent="0.25">
      <c r="B54" s="110" t="s">
        <v>256</v>
      </c>
    </row>
    <row r="55" spans="1:3" ht="15" customHeight="1" x14ac:dyDescent="0.25">
      <c r="B55" s="110" t="s">
        <v>257</v>
      </c>
    </row>
    <row r="56" spans="1:3" ht="15" customHeight="1" x14ac:dyDescent="0.25">
      <c r="B56" s="110" t="s">
        <v>258</v>
      </c>
    </row>
    <row r="57" spans="1:3" ht="15" customHeight="1" x14ac:dyDescent="0.25">
      <c r="B57" s="110" t="s">
        <v>284</v>
      </c>
    </row>
    <row r="58" spans="1:3" ht="15" customHeight="1" x14ac:dyDescent="0.25">
      <c r="B58" s="110" t="s">
        <v>285</v>
      </c>
    </row>
    <row r="60" spans="1:3" ht="15" customHeight="1" x14ac:dyDescent="0.25">
      <c r="B60" s="110" t="s">
        <v>286</v>
      </c>
      <c r="C60" s="119">
        <v>0.25</v>
      </c>
    </row>
    <row r="61" spans="1:3" ht="15" customHeight="1" x14ac:dyDescent="0.25">
      <c r="B61" s="110" t="s">
        <v>287</v>
      </c>
      <c r="C61" s="66">
        <v>100</v>
      </c>
    </row>
    <row r="62" spans="1:3" ht="15" customHeight="1" x14ac:dyDescent="0.25">
      <c r="B62" s="110" t="s">
        <v>288</v>
      </c>
      <c r="C62" s="66">
        <v>80</v>
      </c>
    </row>
    <row r="63" spans="1:3" ht="15" customHeight="1" x14ac:dyDescent="0.25">
      <c r="B63" s="110" t="s">
        <v>289</v>
      </c>
      <c r="C63" s="120">
        <v>0.1</v>
      </c>
    </row>
    <row r="64" spans="1:3" ht="15" customHeight="1" x14ac:dyDescent="0.25">
      <c r="B64" s="110" t="s">
        <v>290</v>
      </c>
      <c r="C64" s="120">
        <v>0.75</v>
      </c>
    </row>
    <row r="65" spans="1:11" ht="15" customHeight="1" x14ac:dyDescent="0.25">
      <c r="B65" s="110" t="s">
        <v>281</v>
      </c>
      <c r="C65" s="119">
        <v>0.2</v>
      </c>
    </row>
    <row r="66" spans="1:11" ht="15" customHeight="1" x14ac:dyDescent="0.25">
      <c r="B66" s="110" t="s">
        <v>282</v>
      </c>
      <c r="C66" s="119">
        <v>0.4</v>
      </c>
    </row>
    <row r="67" spans="1:11" ht="15" customHeight="1" x14ac:dyDescent="0.25">
      <c r="B67" s="110" t="s">
        <v>291</v>
      </c>
      <c r="C67" s="66">
        <v>300</v>
      </c>
    </row>
    <row r="68" spans="1:11" ht="15" customHeight="1" x14ac:dyDescent="0.25">
      <c r="B68" s="110" t="s">
        <v>89</v>
      </c>
      <c r="C68" s="66">
        <v>4</v>
      </c>
    </row>
    <row r="70" spans="1:11" ht="15" customHeight="1" x14ac:dyDescent="0.25">
      <c r="C70" s="111" t="s">
        <v>238</v>
      </c>
      <c r="D70" s="111" t="s">
        <v>259</v>
      </c>
      <c r="E70" s="111" t="s">
        <v>252</v>
      </c>
      <c r="F70" s="111" t="s">
        <v>253</v>
      </c>
    </row>
    <row r="71" spans="1:11" ht="15" customHeight="1" x14ac:dyDescent="0.25">
      <c r="B71" s="110" t="s">
        <v>240</v>
      </c>
    </row>
    <row r="72" spans="1:11" ht="15" customHeight="1" x14ac:dyDescent="0.25">
      <c r="B72" s="110" t="s">
        <v>241</v>
      </c>
    </row>
    <row r="73" spans="1:11" ht="15" customHeight="1" x14ac:dyDescent="0.25">
      <c r="B73" s="110" t="s">
        <v>242</v>
      </c>
      <c r="K73" s="69"/>
    </row>
    <row r="75" spans="1:11" ht="15" customHeight="1" x14ac:dyDescent="0.25">
      <c r="B75" s="110" t="s">
        <v>283</v>
      </c>
    </row>
    <row r="76" spans="1:11" ht="15" customHeight="1" x14ac:dyDescent="0.25">
      <c r="B76" s="110" t="s">
        <v>254</v>
      </c>
      <c r="C76" s="69"/>
      <c r="F76" s="69"/>
    </row>
    <row r="78" spans="1:11" ht="15" customHeight="1" x14ac:dyDescent="0.25">
      <c r="A78" s="109" t="s">
        <v>32</v>
      </c>
    </row>
    <row r="79" spans="1:11" ht="15" customHeight="1" x14ac:dyDescent="0.25">
      <c r="A79"/>
      <c r="B79"/>
    </row>
    <row r="80" spans="1:11" ht="15" customHeight="1" x14ac:dyDescent="0.25">
      <c r="A80"/>
      <c r="B80"/>
    </row>
    <row r="81" spans="1:2" ht="15" customHeight="1" x14ac:dyDescent="0.25">
      <c r="A81"/>
      <c r="B81"/>
    </row>
    <row r="82" spans="1:2" ht="15" customHeight="1" x14ac:dyDescent="0.25">
      <c r="A82"/>
      <c r="B82"/>
    </row>
    <row r="83" spans="1:2" ht="15" customHeight="1" x14ac:dyDescent="0.25">
      <c r="A83"/>
      <c r="B83"/>
    </row>
    <row r="84" spans="1:2" ht="15" customHeight="1" x14ac:dyDescent="0.25">
      <c r="A84"/>
      <c r="B84"/>
    </row>
    <row r="85" spans="1:2" ht="15" customHeight="1" x14ac:dyDescent="0.25">
      <c r="A85"/>
      <c r="B85"/>
    </row>
    <row r="86" spans="1:2" ht="15" customHeight="1" x14ac:dyDescent="0.25">
      <c r="A86"/>
      <c r="B86"/>
    </row>
    <row r="87" spans="1:2" ht="15" customHeight="1" x14ac:dyDescent="0.25">
      <c r="A87"/>
      <c r="B87"/>
    </row>
    <row r="88" spans="1:2" ht="15" customHeight="1" x14ac:dyDescent="0.25">
      <c r="A88"/>
      <c r="B88"/>
    </row>
    <row r="89" spans="1:2" ht="15" customHeight="1" x14ac:dyDescent="0.25">
      <c r="A89"/>
      <c r="B89"/>
    </row>
    <row r="90" spans="1:2" ht="15" customHeight="1" x14ac:dyDescent="0.25">
      <c r="A90"/>
      <c r="B90"/>
    </row>
    <row r="91" spans="1:2" ht="15" customHeight="1" x14ac:dyDescent="0.25">
      <c r="A91"/>
      <c r="B91"/>
    </row>
    <row r="92" spans="1:2" ht="15" customHeight="1" x14ac:dyDescent="0.25">
      <c r="A92"/>
      <c r="B92"/>
    </row>
    <row r="93" spans="1:2" ht="15" customHeight="1" x14ac:dyDescent="0.25">
      <c r="A93"/>
      <c r="B93"/>
    </row>
    <row r="94" spans="1:2" ht="15" customHeight="1" x14ac:dyDescent="0.25">
      <c r="A94"/>
      <c r="B94"/>
    </row>
    <row r="95" spans="1:2" ht="15" customHeight="1" x14ac:dyDescent="0.25">
      <c r="A95"/>
      <c r="B95"/>
    </row>
    <row r="96" spans="1:2" ht="15" customHeight="1" x14ac:dyDescent="0.25">
      <c r="A96"/>
      <c r="B96"/>
    </row>
    <row r="97" spans="1:2" ht="15" customHeight="1" x14ac:dyDescent="0.25">
      <c r="A97"/>
      <c r="B97"/>
    </row>
    <row r="98" spans="1:2" ht="15" customHeight="1" x14ac:dyDescent="0.25">
      <c r="A98"/>
      <c r="B98"/>
    </row>
    <row r="99" spans="1:2" ht="15" customHeight="1" x14ac:dyDescent="0.25">
      <c r="A99"/>
      <c r="B99"/>
    </row>
    <row r="100" spans="1:2" ht="15" customHeight="1" x14ac:dyDescent="0.25">
      <c r="A100"/>
      <c r="B100"/>
    </row>
    <row r="101" spans="1:2" ht="15" customHeight="1" x14ac:dyDescent="0.25">
      <c r="A101"/>
      <c r="B101"/>
    </row>
    <row r="102" spans="1:2" ht="15" customHeight="1" x14ac:dyDescent="0.25">
      <c r="A102"/>
      <c r="B102"/>
    </row>
    <row r="103" spans="1:2" ht="15" customHeight="1" x14ac:dyDescent="0.25">
      <c r="A103"/>
      <c r="B103"/>
    </row>
    <row r="104" spans="1:2" ht="15" customHeight="1" x14ac:dyDescent="0.25">
      <c r="A104"/>
      <c r="B104"/>
    </row>
    <row r="105" spans="1:2" ht="15" customHeight="1" x14ac:dyDescent="0.25">
      <c r="A105"/>
      <c r="B105"/>
    </row>
    <row r="106" spans="1:2" ht="15" customHeight="1" x14ac:dyDescent="0.25">
      <c r="A106"/>
      <c r="B106"/>
    </row>
    <row r="107" spans="1:2" ht="15" customHeight="1" x14ac:dyDescent="0.25">
      <c r="A107"/>
      <c r="B107"/>
    </row>
    <row r="108" spans="1:2" ht="15" customHeight="1" x14ac:dyDescent="0.25">
      <c r="A108"/>
      <c r="B108"/>
    </row>
    <row r="109" spans="1:2" ht="15" customHeight="1" x14ac:dyDescent="0.25">
      <c r="A109"/>
      <c r="B109"/>
    </row>
    <row r="110" spans="1:2" ht="15" customHeight="1" x14ac:dyDescent="0.25">
      <c r="A110"/>
      <c r="B110"/>
    </row>
    <row r="111" spans="1:2" ht="15" customHeight="1" x14ac:dyDescent="0.25">
      <c r="A111"/>
      <c r="B111"/>
    </row>
    <row r="112" spans="1:2" ht="15" customHeight="1" x14ac:dyDescent="0.25">
      <c r="A112"/>
      <c r="B112"/>
    </row>
    <row r="113" spans="1:2" ht="15" customHeight="1" x14ac:dyDescent="0.25">
      <c r="A113"/>
      <c r="B113"/>
    </row>
    <row r="114" spans="1:2" ht="15" customHeight="1" x14ac:dyDescent="0.25">
      <c r="A114"/>
      <c r="B114"/>
    </row>
    <row r="115" spans="1:2" ht="15" customHeight="1" x14ac:dyDescent="0.25">
      <c r="A115"/>
      <c r="B115"/>
    </row>
    <row r="116" spans="1:2" ht="15" customHeight="1" x14ac:dyDescent="0.25">
      <c r="A116"/>
      <c r="B116"/>
    </row>
    <row r="117" spans="1:2" ht="15" customHeight="1" x14ac:dyDescent="0.25">
      <c r="A117"/>
      <c r="B117"/>
    </row>
    <row r="118" spans="1:2" ht="15" customHeight="1" x14ac:dyDescent="0.25">
      <c r="A118"/>
      <c r="B118"/>
    </row>
    <row r="119" spans="1:2" ht="15" customHeight="1" x14ac:dyDescent="0.25">
      <c r="A119"/>
      <c r="B119"/>
    </row>
    <row r="120" spans="1:2" ht="15" customHeight="1" x14ac:dyDescent="0.25">
      <c r="A120"/>
      <c r="B120"/>
    </row>
    <row r="121" spans="1:2" ht="15" customHeight="1" x14ac:dyDescent="0.25">
      <c r="A121"/>
      <c r="B121"/>
    </row>
    <row r="122" spans="1:2" ht="15" customHeight="1" x14ac:dyDescent="0.25">
      <c r="A122"/>
      <c r="B122"/>
    </row>
    <row r="123" spans="1:2" ht="15" customHeight="1" x14ac:dyDescent="0.25">
      <c r="A123"/>
      <c r="B123"/>
    </row>
    <row r="124" spans="1:2" ht="15" customHeight="1" x14ac:dyDescent="0.25">
      <c r="A124"/>
      <c r="B124"/>
    </row>
    <row r="125" spans="1:2" ht="15" customHeight="1" x14ac:dyDescent="0.25">
      <c r="A125"/>
      <c r="B125"/>
    </row>
    <row r="126" spans="1:2" ht="15" customHeight="1" x14ac:dyDescent="0.25">
      <c r="A126"/>
      <c r="B126"/>
    </row>
    <row r="127" spans="1:2" ht="15" customHeight="1" x14ac:dyDescent="0.25">
      <c r="A127"/>
      <c r="B127"/>
    </row>
    <row r="128" spans="1:2" ht="15" customHeight="1" x14ac:dyDescent="0.25">
      <c r="A128"/>
      <c r="B128"/>
    </row>
    <row r="129" spans="1:2" ht="15" customHeight="1" x14ac:dyDescent="0.25">
      <c r="A129"/>
      <c r="B129"/>
    </row>
    <row r="130" spans="1:2" ht="15" customHeight="1" x14ac:dyDescent="0.25">
      <c r="A130"/>
      <c r="B130"/>
    </row>
    <row r="131" spans="1:2" ht="15" customHeight="1" x14ac:dyDescent="0.25">
      <c r="A131"/>
      <c r="B131"/>
    </row>
    <row r="132" spans="1:2" ht="15" customHeight="1" x14ac:dyDescent="0.25">
      <c r="A132"/>
      <c r="B132"/>
    </row>
    <row r="133" spans="1:2" ht="15" customHeight="1" x14ac:dyDescent="0.25">
      <c r="A133"/>
      <c r="B133"/>
    </row>
    <row r="134" spans="1:2" ht="15" customHeight="1" x14ac:dyDescent="0.25">
      <c r="A134"/>
      <c r="B134"/>
    </row>
    <row r="135" spans="1:2" ht="15" customHeight="1" x14ac:dyDescent="0.25">
      <c r="A135"/>
      <c r="B135"/>
    </row>
    <row r="136" spans="1:2" ht="15" customHeight="1" x14ac:dyDescent="0.25">
      <c r="A136"/>
      <c r="B136"/>
    </row>
    <row r="137" spans="1:2" ht="15" customHeight="1" x14ac:dyDescent="0.25">
      <c r="A137"/>
      <c r="B137"/>
    </row>
    <row r="138" spans="1:2" ht="15" customHeight="1" x14ac:dyDescent="0.25">
      <c r="A138"/>
      <c r="B138"/>
    </row>
    <row r="139" spans="1:2" ht="15" customHeight="1" x14ac:dyDescent="0.25">
      <c r="A139"/>
      <c r="B139"/>
    </row>
    <row r="140" spans="1:2" ht="15" customHeight="1" x14ac:dyDescent="0.25">
      <c r="A140"/>
      <c r="B140"/>
    </row>
    <row r="141" spans="1:2" ht="15" customHeight="1" x14ac:dyDescent="0.25">
      <c r="A141"/>
      <c r="B141"/>
    </row>
    <row r="142" spans="1:2" ht="15" customHeight="1" x14ac:dyDescent="0.25">
      <c r="A142"/>
      <c r="B142"/>
    </row>
    <row r="143" spans="1:2" ht="15" customHeight="1" x14ac:dyDescent="0.25">
      <c r="A143"/>
      <c r="B143"/>
    </row>
    <row r="144" spans="1:2" ht="15" customHeight="1" x14ac:dyDescent="0.25">
      <c r="A144"/>
      <c r="B144"/>
    </row>
    <row r="145" spans="1:2" ht="15" customHeight="1" x14ac:dyDescent="0.25">
      <c r="A145"/>
      <c r="B145"/>
    </row>
    <row r="146" spans="1:2" ht="15" customHeight="1" x14ac:dyDescent="0.25">
      <c r="A146"/>
      <c r="B146"/>
    </row>
    <row r="147" spans="1:2" ht="15" customHeight="1" x14ac:dyDescent="0.25">
      <c r="A147"/>
      <c r="B147"/>
    </row>
    <row r="148" spans="1:2" ht="15" customHeight="1" x14ac:dyDescent="0.25">
      <c r="A148"/>
      <c r="B148"/>
    </row>
    <row r="149" spans="1:2" ht="15" customHeight="1" x14ac:dyDescent="0.25">
      <c r="A149"/>
      <c r="B149"/>
    </row>
    <row r="150" spans="1:2" ht="15" customHeight="1" x14ac:dyDescent="0.25">
      <c r="A150"/>
      <c r="B150"/>
    </row>
    <row r="151" spans="1:2" ht="15" customHeight="1" x14ac:dyDescent="0.25">
      <c r="A151"/>
      <c r="B151"/>
    </row>
    <row r="152" spans="1:2" ht="15" customHeight="1" x14ac:dyDescent="0.25">
      <c r="A152"/>
      <c r="B152"/>
    </row>
    <row r="153" spans="1:2" ht="15" customHeight="1" x14ac:dyDescent="0.25">
      <c r="A153"/>
      <c r="B153"/>
    </row>
    <row r="154" spans="1:2" ht="15" customHeight="1" x14ac:dyDescent="0.25">
      <c r="A154"/>
      <c r="B154"/>
    </row>
    <row r="155" spans="1:2" ht="15" customHeight="1" x14ac:dyDescent="0.25">
      <c r="A155"/>
      <c r="B155"/>
    </row>
    <row r="156" spans="1:2" ht="15" customHeight="1" x14ac:dyDescent="0.25">
      <c r="A156"/>
      <c r="B156"/>
    </row>
    <row r="157" spans="1:2" ht="15" customHeight="1" x14ac:dyDescent="0.25">
      <c r="A157"/>
      <c r="B157"/>
    </row>
    <row r="158" spans="1:2" ht="15" customHeight="1" x14ac:dyDescent="0.25">
      <c r="A158"/>
      <c r="B158"/>
    </row>
    <row r="159" spans="1:2" ht="15" customHeight="1" x14ac:dyDescent="0.25">
      <c r="A159"/>
      <c r="B159"/>
    </row>
    <row r="160" spans="1:2" ht="15" customHeight="1" x14ac:dyDescent="0.25">
      <c r="A160"/>
      <c r="B160"/>
    </row>
    <row r="161" spans="1:2" ht="15" customHeight="1" x14ac:dyDescent="0.25">
      <c r="A161"/>
      <c r="B161"/>
    </row>
    <row r="162" spans="1:2" ht="15" customHeight="1" x14ac:dyDescent="0.25">
      <c r="A162"/>
      <c r="B162"/>
    </row>
    <row r="163" spans="1:2" ht="15" customHeight="1" x14ac:dyDescent="0.25">
      <c r="A163"/>
      <c r="B163"/>
    </row>
    <row r="164" spans="1:2" ht="15" customHeight="1" x14ac:dyDescent="0.25">
      <c r="A164"/>
      <c r="B164"/>
    </row>
    <row r="165" spans="1:2" ht="15" customHeight="1" x14ac:dyDescent="0.25">
      <c r="A165"/>
      <c r="B165"/>
    </row>
    <row r="166" spans="1:2" ht="15" customHeight="1" x14ac:dyDescent="0.25">
      <c r="A166"/>
      <c r="B166"/>
    </row>
    <row r="167" spans="1:2" ht="15" customHeight="1" x14ac:dyDescent="0.25">
      <c r="A167"/>
      <c r="B167"/>
    </row>
    <row r="168" spans="1:2" ht="15" customHeight="1" x14ac:dyDescent="0.25">
      <c r="A168"/>
      <c r="B168"/>
    </row>
    <row r="169" spans="1:2" ht="15" customHeight="1" x14ac:dyDescent="0.25">
      <c r="A169"/>
      <c r="B169"/>
    </row>
    <row r="170" spans="1:2" ht="15" customHeight="1" x14ac:dyDescent="0.25">
      <c r="A170"/>
      <c r="B170"/>
    </row>
    <row r="171" spans="1:2" ht="15" customHeight="1" x14ac:dyDescent="0.25">
      <c r="A171"/>
      <c r="B171"/>
    </row>
    <row r="172" spans="1:2" ht="15" customHeight="1" x14ac:dyDescent="0.25">
      <c r="A172"/>
      <c r="B172"/>
    </row>
    <row r="173" spans="1:2" ht="15" customHeight="1" x14ac:dyDescent="0.25">
      <c r="A173"/>
      <c r="B173"/>
    </row>
    <row r="174" spans="1:2" ht="15" customHeight="1" x14ac:dyDescent="0.25">
      <c r="A174"/>
      <c r="B174"/>
    </row>
    <row r="175" spans="1:2" ht="15" customHeight="1" x14ac:dyDescent="0.25">
      <c r="A175"/>
      <c r="B175"/>
    </row>
    <row r="176" spans="1:2" ht="15" customHeight="1" x14ac:dyDescent="0.25">
      <c r="A176"/>
      <c r="B176"/>
    </row>
    <row r="177" spans="1:2" ht="15" customHeight="1" x14ac:dyDescent="0.25">
      <c r="A177"/>
      <c r="B177"/>
    </row>
    <row r="178" spans="1:2" ht="15" customHeight="1" x14ac:dyDescent="0.25">
      <c r="A178"/>
      <c r="B178"/>
    </row>
    <row r="179" spans="1:2" ht="15" customHeight="1" x14ac:dyDescent="0.25">
      <c r="A179"/>
      <c r="B179"/>
    </row>
    <row r="180" spans="1:2" ht="15" customHeight="1" x14ac:dyDescent="0.25">
      <c r="A180"/>
      <c r="B180"/>
    </row>
    <row r="181" spans="1:2" ht="15" customHeight="1" x14ac:dyDescent="0.25">
      <c r="A181"/>
      <c r="B181"/>
    </row>
    <row r="182" spans="1:2" ht="15" customHeight="1" x14ac:dyDescent="0.25">
      <c r="A182"/>
      <c r="B182"/>
    </row>
    <row r="183" spans="1:2" ht="15" customHeight="1" x14ac:dyDescent="0.25">
      <c r="A183"/>
      <c r="B183"/>
    </row>
    <row r="184" spans="1:2" ht="15" customHeight="1" x14ac:dyDescent="0.25">
      <c r="A184"/>
      <c r="B184"/>
    </row>
    <row r="185" spans="1:2" ht="15" customHeight="1" x14ac:dyDescent="0.25">
      <c r="A185"/>
      <c r="B185"/>
    </row>
    <row r="186" spans="1:2" ht="15" customHeight="1" x14ac:dyDescent="0.25">
      <c r="A186"/>
      <c r="B186"/>
    </row>
    <row r="187" spans="1:2" ht="15" customHeight="1" x14ac:dyDescent="0.25">
      <c r="A187"/>
      <c r="B187"/>
    </row>
    <row r="188" spans="1:2" ht="15" customHeight="1" x14ac:dyDescent="0.25">
      <c r="A188"/>
      <c r="B188"/>
    </row>
    <row r="189" spans="1:2" ht="15" customHeight="1" x14ac:dyDescent="0.25">
      <c r="A189"/>
      <c r="B189"/>
    </row>
    <row r="190" spans="1:2" ht="15" customHeight="1" x14ac:dyDescent="0.25">
      <c r="A190"/>
      <c r="B190"/>
    </row>
    <row r="191" spans="1:2" ht="15" customHeight="1" x14ac:dyDescent="0.25">
      <c r="A191"/>
      <c r="B191"/>
    </row>
    <row r="192" spans="1:2" ht="15" customHeight="1" x14ac:dyDescent="0.25">
      <c r="A192"/>
      <c r="B192"/>
    </row>
    <row r="193" spans="1:2" ht="15" customHeight="1" x14ac:dyDescent="0.25">
      <c r="A193"/>
      <c r="B193"/>
    </row>
    <row r="194" spans="1:2" ht="15" customHeight="1" x14ac:dyDescent="0.25">
      <c r="A194"/>
      <c r="B194"/>
    </row>
    <row r="195" spans="1:2" ht="15" customHeight="1" x14ac:dyDescent="0.25">
      <c r="A195"/>
      <c r="B195"/>
    </row>
    <row r="196" spans="1:2" ht="15" customHeight="1" x14ac:dyDescent="0.25">
      <c r="A196"/>
      <c r="B196"/>
    </row>
    <row r="197" spans="1:2" ht="15" customHeight="1" x14ac:dyDescent="0.25">
      <c r="A197"/>
      <c r="B197"/>
    </row>
    <row r="198" spans="1:2" ht="15" customHeight="1" x14ac:dyDescent="0.25">
      <c r="A198"/>
      <c r="B198"/>
    </row>
    <row r="199" spans="1:2" ht="15" customHeight="1" x14ac:dyDescent="0.25">
      <c r="A199"/>
      <c r="B199"/>
    </row>
    <row r="200" spans="1:2" ht="15" customHeight="1" x14ac:dyDescent="0.25">
      <c r="A200"/>
      <c r="B200"/>
    </row>
    <row r="201" spans="1:2" ht="15" customHeight="1" x14ac:dyDescent="0.25">
      <c r="A201"/>
      <c r="B201"/>
    </row>
    <row r="202" spans="1:2" ht="15" customHeight="1" x14ac:dyDescent="0.25">
      <c r="A202"/>
      <c r="B202"/>
    </row>
    <row r="203" spans="1:2" ht="15" customHeight="1" x14ac:dyDescent="0.25">
      <c r="A203"/>
      <c r="B203"/>
    </row>
    <row r="204" spans="1:2" ht="15" customHeight="1" x14ac:dyDescent="0.25">
      <c r="A204"/>
      <c r="B204"/>
    </row>
    <row r="205" spans="1:2" ht="15" customHeight="1" x14ac:dyDescent="0.25">
      <c r="A205"/>
      <c r="B205"/>
    </row>
    <row r="206" spans="1:2" ht="15" customHeight="1" x14ac:dyDescent="0.25">
      <c r="A206"/>
      <c r="B206"/>
    </row>
    <row r="207" spans="1:2" ht="15" customHeight="1" x14ac:dyDescent="0.25">
      <c r="A207"/>
      <c r="B207"/>
    </row>
    <row r="208" spans="1:2" ht="15" customHeight="1" x14ac:dyDescent="0.25">
      <c r="A208"/>
      <c r="B208"/>
    </row>
    <row r="209" spans="1:2" ht="15" customHeight="1" x14ac:dyDescent="0.25">
      <c r="A209"/>
      <c r="B209"/>
    </row>
    <row r="210" spans="1:2" ht="15" customHeight="1" x14ac:dyDescent="0.25">
      <c r="A210"/>
      <c r="B210"/>
    </row>
    <row r="211" spans="1:2" ht="15" customHeight="1" x14ac:dyDescent="0.25">
      <c r="A211"/>
      <c r="B211"/>
    </row>
    <row r="212" spans="1:2" ht="15" customHeight="1" x14ac:dyDescent="0.25">
      <c r="A212"/>
      <c r="B212"/>
    </row>
    <row r="213" spans="1:2" ht="15" customHeight="1" x14ac:dyDescent="0.25">
      <c r="A213"/>
      <c r="B213"/>
    </row>
    <row r="214" spans="1:2" ht="15" customHeight="1" x14ac:dyDescent="0.25">
      <c r="A214"/>
      <c r="B214"/>
    </row>
    <row r="215" spans="1:2" ht="15" customHeight="1" x14ac:dyDescent="0.25">
      <c r="A215"/>
      <c r="B215"/>
    </row>
    <row r="216" spans="1:2" ht="15" customHeight="1" x14ac:dyDescent="0.25">
      <c r="A216"/>
      <c r="B216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Z1000"/>
  <sheetViews>
    <sheetView workbookViewId="0"/>
  </sheetViews>
  <sheetFormatPr defaultColWidth="12.5703125" defaultRowHeight="15" customHeight="1" x14ac:dyDescent="0.25"/>
  <cols>
    <col min="1" max="1" width="1.140625" customWidth="1"/>
    <col min="2" max="2" width="24.28515625" customWidth="1"/>
    <col min="3" max="3" width="2.140625" customWidth="1"/>
    <col min="4" max="4" width="9.5703125" customWidth="1"/>
    <col min="5" max="5" width="2.140625" customWidth="1"/>
    <col min="6" max="6" width="9.5703125" customWidth="1"/>
    <col min="7" max="7" width="2.140625" customWidth="1"/>
    <col min="8" max="8" width="9.5703125" customWidth="1"/>
    <col min="9" max="9" width="2.140625" customWidth="1"/>
    <col min="10" max="10" width="9.5703125" customWidth="1"/>
    <col min="11" max="11" width="2.140625" customWidth="1"/>
    <col min="12" max="12" width="8.5703125" customWidth="1"/>
    <col min="13" max="13" width="2.140625" customWidth="1"/>
    <col min="14" max="14" width="8.5703125" customWidth="1"/>
    <col min="15" max="15" width="2.140625" customWidth="1"/>
    <col min="16" max="16" width="8.5703125" customWidth="1"/>
    <col min="17" max="17" width="2.140625" customWidth="1"/>
    <col min="18" max="18" width="8" customWidth="1"/>
    <col min="19" max="19" width="2.140625" customWidth="1"/>
    <col min="20" max="20" width="8" customWidth="1"/>
    <col min="21" max="21" width="2.140625" customWidth="1"/>
    <col min="22" max="22" width="8" customWidth="1"/>
    <col min="23" max="23" width="2.140625" customWidth="1"/>
    <col min="24" max="26" width="8" customWidth="1"/>
  </cols>
  <sheetData>
    <row r="1" spans="1:26" ht="45" customHeight="1" x14ac:dyDescent="0.45">
      <c r="A1" s="41" t="s">
        <v>108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2"/>
      <c r="Z1" s="42"/>
    </row>
    <row r="2" spans="1:26" ht="15" customHeight="1" x14ac:dyDescent="0.3">
      <c r="B2" s="33" t="s">
        <v>109</v>
      </c>
      <c r="D2" s="43"/>
      <c r="T2" s="43" t="s">
        <v>110</v>
      </c>
      <c r="U2" s="43"/>
      <c r="V2" s="43"/>
      <c r="W2" s="43"/>
      <c r="X2" s="43"/>
      <c r="Y2" s="43"/>
      <c r="Z2" s="43"/>
    </row>
    <row r="3" spans="1:26" ht="15" customHeight="1" x14ac:dyDescent="0.3">
      <c r="D3" s="43"/>
      <c r="T3" s="43"/>
      <c r="U3" s="43"/>
      <c r="V3" s="43"/>
      <c r="W3" s="43"/>
      <c r="X3" s="43"/>
      <c r="Y3" s="43"/>
      <c r="Z3" s="43"/>
    </row>
    <row r="4" spans="1:26" ht="15" customHeight="1" x14ac:dyDescent="0.25">
      <c r="A4" s="58" t="s">
        <v>33</v>
      </c>
      <c r="B4" s="58"/>
      <c r="C4" s="58"/>
      <c r="D4" s="58"/>
    </row>
    <row r="5" spans="1:26" ht="15" customHeight="1" x14ac:dyDescent="0.25">
      <c r="A5" s="36"/>
      <c r="B5" s="2" t="s">
        <v>34</v>
      </c>
      <c r="D5" s="38" t="s">
        <v>111</v>
      </c>
    </row>
    <row r="6" spans="1:26" ht="15" customHeight="1" x14ac:dyDescent="0.25">
      <c r="A6" s="36"/>
      <c r="B6" s="2" t="s">
        <v>35</v>
      </c>
      <c r="D6" s="2" t="s">
        <v>36</v>
      </c>
    </row>
    <row r="7" spans="1:26" ht="15" customHeight="1" x14ac:dyDescent="0.25">
      <c r="A7" s="36"/>
      <c r="B7" s="2" t="s">
        <v>37</v>
      </c>
      <c r="D7" s="59">
        <v>42482</v>
      </c>
    </row>
    <row r="8" spans="1:26" ht="15" customHeight="1" x14ac:dyDescent="0.25">
      <c r="A8" s="36"/>
      <c r="B8" s="2" t="s">
        <v>40</v>
      </c>
      <c r="D8" s="38" t="s">
        <v>112</v>
      </c>
    </row>
    <row r="9" spans="1:26" ht="15" customHeight="1" x14ac:dyDescent="0.25">
      <c r="A9" s="37"/>
      <c r="B9" s="2" t="s">
        <v>113</v>
      </c>
      <c r="D9" s="38" t="s">
        <v>114</v>
      </c>
    </row>
    <row r="10" spans="1:26" ht="15" customHeight="1" x14ac:dyDescent="0.25">
      <c r="A10" s="36"/>
      <c r="B10" s="2" t="s">
        <v>38</v>
      </c>
      <c r="D10" s="59">
        <v>42369</v>
      </c>
    </row>
    <row r="11" spans="1:26" ht="15" customHeight="1" x14ac:dyDescent="0.25">
      <c r="A11" s="36"/>
      <c r="B11" s="2" t="s">
        <v>41</v>
      </c>
      <c r="D11" s="38" t="s">
        <v>9</v>
      </c>
    </row>
    <row r="12" spans="1:26" ht="15" customHeight="1" x14ac:dyDescent="0.25">
      <c r="A12" s="36"/>
      <c r="B12" s="2" t="s">
        <v>115</v>
      </c>
      <c r="D12" s="38"/>
    </row>
    <row r="13" spans="1:26" ht="15" customHeight="1" x14ac:dyDescent="0.25">
      <c r="A13" s="36"/>
      <c r="B13" s="2" t="str">
        <f>"Closing price as at "&amp;TEXT(D7,"dd-mmm-yy")</f>
        <v>Closing price as at 22-Apr-16</v>
      </c>
      <c r="D13" s="38" t="e">
        <v>#N/A</v>
      </c>
    </row>
    <row r="14" spans="1:26" ht="15" customHeight="1" x14ac:dyDescent="0.25">
      <c r="A14" s="36"/>
      <c r="B14" s="2" t="s">
        <v>43</v>
      </c>
      <c r="D14" s="38" t="e">
        <v>#N/A</v>
      </c>
    </row>
    <row r="15" spans="1:26" ht="15" customHeight="1" x14ac:dyDescent="0.25">
      <c r="A15" s="36"/>
      <c r="B15" s="2" t="s">
        <v>44</v>
      </c>
      <c r="D15" s="38" t="e">
        <v>#N/A</v>
      </c>
    </row>
    <row r="16" spans="1:26" ht="15" customHeight="1" x14ac:dyDescent="0.25">
      <c r="A16" s="36"/>
      <c r="B16" s="2" t="s">
        <v>116</v>
      </c>
      <c r="D16" s="38" t="e">
        <v>#N/A</v>
      </c>
    </row>
    <row r="17" spans="1:4" ht="15" customHeight="1" x14ac:dyDescent="0.25">
      <c r="A17" s="36"/>
      <c r="B17" s="2" t="s">
        <v>117</v>
      </c>
      <c r="D17" s="38" t="s">
        <v>59</v>
      </c>
    </row>
    <row r="18" spans="1:4" ht="15" customHeight="1" x14ac:dyDescent="0.25">
      <c r="A18" s="36"/>
      <c r="B18" s="2" t="s">
        <v>118</v>
      </c>
      <c r="D18" s="38">
        <v>0.6389551</v>
      </c>
    </row>
    <row r="19" spans="1:4" ht="15" customHeight="1" x14ac:dyDescent="0.25">
      <c r="A19" s="36"/>
      <c r="B19" s="2" t="s">
        <v>39</v>
      </c>
      <c r="D19" s="49" t="e">
        <v>#N/A</v>
      </c>
    </row>
    <row r="20" spans="1:4" ht="15" customHeight="1" x14ac:dyDescent="0.25">
      <c r="A20" s="36"/>
      <c r="D20" s="38"/>
    </row>
    <row r="21" spans="1:4" ht="15" customHeight="1" x14ac:dyDescent="0.25">
      <c r="A21" s="36"/>
      <c r="B21" s="2" t="s">
        <v>45</v>
      </c>
      <c r="D21" s="38" t="s">
        <v>119</v>
      </c>
    </row>
    <row r="22" spans="1:4" ht="15" customHeight="1" x14ac:dyDescent="0.25">
      <c r="A22" s="36"/>
      <c r="B22" s="2" t="s">
        <v>46</v>
      </c>
      <c r="D22" s="49" t="s">
        <v>75</v>
      </c>
    </row>
    <row r="23" spans="1:4" ht="15" customHeight="1" x14ac:dyDescent="0.25">
      <c r="A23" s="36"/>
      <c r="D23" s="38"/>
    </row>
    <row r="24" spans="1:4" ht="15" customHeight="1" x14ac:dyDescent="0.25">
      <c r="A24" s="58" t="s">
        <v>120</v>
      </c>
      <c r="B24" s="58"/>
      <c r="C24" s="58"/>
      <c r="D24" s="58"/>
    </row>
    <row r="25" spans="1:4" ht="15" customHeight="1" x14ac:dyDescent="0.25">
      <c r="A25" s="36"/>
      <c r="B25" s="2" t="s">
        <v>121</v>
      </c>
      <c r="D25" s="60">
        <v>0</v>
      </c>
    </row>
    <row r="26" spans="1:4" ht="15" customHeight="1" x14ac:dyDescent="0.25">
      <c r="A26" s="36"/>
      <c r="B26" s="2" t="s">
        <v>122</v>
      </c>
      <c r="D26" s="60">
        <v>0</v>
      </c>
    </row>
    <row r="27" spans="1:4" ht="15" customHeight="1" x14ac:dyDescent="0.25">
      <c r="A27" s="36"/>
      <c r="B27" s="2" t="s">
        <v>49</v>
      </c>
      <c r="D27" s="60">
        <v>67.661361999999997</v>
      </c>
    </row>
    <row r="28" spans="1:4" ht="15" customHeight="1" x14ac:dyDescent="0.25">
      <c r="A28" s="36"/>
      <c r="B28" s="2" t="s">
        <v>51</v>
      </c>
      <c r="D28" s="60">
        <v>510.95299999999997</v>
      </c>
    </row>
    <row r="29" spans="1:4" ht="15" customHeight="1" x14ac:dyDescent="0.25">
      <c r="A29" s="36"/>
      <c r="B29" s="2" t="s">
        <v>123</v>
      </c>
      <c r="D29" s="60">
        <v>6.6109999999999998</v>
      </c>
    </row>
    <row r="30" spans="1:4" ht="15" customHeight="1" x14ac:dyDescent="0.25">
      <c r="A30" s="36"/>
      <c r="B30" s="2" t="s">
        <v>124</v>
      </c>
      <c r="D30" s="60">
        <v>0</v>
      </c>
    </row>
    <row r="31" spans="1:4" ht="15" customHeight="1" x14ac:dyDescent="0.25">
      <c r="A31" s="36"/>
      <c r="B31" s="2" t="s">
        <v>125</v>
      </c>
      <c r="D31" s="61">
        <v>0</v>
      </c>
    </row>
    <row r="32" spans="1:4" ht="15" customHeight="1" x14ac:dyDescent="0.25">
      <c r="A32" s="36"/>
      <c r="B32" s="2" t="s">
        <v>50</v>
      </c>
      <c r="D32" s="62">
        <v>0</v>
      </c>
    </row>
    <row r="33" spans="1:18" ht="15" customHeight="1" x14ac:dyDescent="0.25">
      <c r="A33" s="36"/>
      <c r="B33" s="2" t="s">
        <v>126</v>
      </c>
      <c r="D33" s="60">
        <v>113.08199999999999</v>
      </c>
    </row>
    <row r="34" spans="1:18" ht="15" customHeight="1" x14ac:dyDescent="0.25">
      <c r="A34" s="36"/>
      <c r="B34" s="2" t="s">
        <v>127</v>
      </c>
      <c r="D34" s="60">
        <v>0</v>
      </c>
    </row>
    <row r="35" spans="1:18" ht="15" customHeight="1" x14ac:dyDescent="0.25">
      <c r="A35" s="36"/>
      <c r="B35" s="2" t="s">
        <v>128</v>
      </c>
      <c r="D35" s="60">
        <v>1.84</v>
      </c>
    </row>
    <row r="36" spans="1:18" ht="15" customHeight="1" x14ac:dyDescent="0.25">
      <c r="A36" s="36"/>
      <c r="B36" s="2" t="s">
        <v>129</v>
      </c>
      <c r="D36" s="47">
        <v>0</v>
      </c>
    </row>
    <row r="37" spans="1:18" ht="15.75" customHeight="1" x14ac:dyDescent="0.25">
      <c r="A37" s="36"/>
    </row>
    <row r="38" spans="1:18" ht="15" customHeight="1" x14ac:dyDescent="0.25">
      <c r="A38" s="58" t="s">
        <v>130</v>
      </c>
      <c r="B38" s="58"/>
      <c r="C38" s="58"/>
      <c r="D38" s="58"/>
    </row>
    <row r="39" spans="1:18" ht="15.75" customHeight="1" x14ac:dyDescent="0.25">
      <c r="A39" s="36"/>
      <c r="D39" s="63" t="s">
        <v>131</v>
      </c>
      <c r="F39" s="64" t="s">
        <v>53</v>
      </c>
      <c r="G39" s="64"/>
      <c r="H39" s="64" t="s">
        <v>54</v>
      </c>
      <c r="I39" s="64"/>
      <c r="L39" s="38" t="s">
        <v>55</v>
      </c>
      <c r="N39" s="38" t="s">
        <v>56</v>
      </c>
      <c r="P39" s="38" t="s">
        <v>57</v>
      </c>
      <c r="R39" s="38" t="s">
        <v>58</v>
      </c>
    </row>
    <row r="40" spans="1:18" ht="15" customHeight="1" x14ac:dyDescent="0.25">
      <c r="A40" s="36"/>
      <c r="B40" s="2" t="s">
        <v>7</v>
      </c>
      <c r="D40" s="46" t="str">
        <f>D8</f>
        <v>31/12/2015</v>
      </c>
      <c r="F40" s="45">
        <f>EDATE(H40,-12)</f>
        <v>42094</v>
      </c>
      <c r="H40" s="65">
        <v>42460</v>
      </c>
      <c r="L40" s="45">
        <f>EDATE(D40,12)</f>
        <v>42735</v>
      </c>
      <c r="M40" s="45"/>
      <c r="N40" s="45">
        <f>EDATE(L40,12)</f>
        <v>43100</v>
      </c>
      <c r="O40" s="45"/>
      <c r="P40" s="45">
        <f>EDATE(N40,12)</f>
        <v>43465</v>
      </c>
      <c r="Q40" s="45"/>
      <c r="R40" s="45">
        <f>EDATE(P40,12)</f>
        <v>43830</v>
      </c>
    </row>
    <row r="41" spans="1:18" ht="15" customHeight="1" x14ac:dyDescent="0.25">
      <c r="A41" s="36"/>
      <c r="B41" s="2" t="s">
        <v>21</v>
      </c>
      <c r="D41" s="60">
        <v>547.65499999999997</v>
      </c>
      <c r="F41" s="60">
        <v>138.52000000000001</v>
      </c>
      <c r="H41" s="60">
        <v>147.517</v>
      </c>
      <c r="L41" s="60" t="e">
        <v>#N/A</v>
      </c>
      <c r="N41" s="60" t="e">
        <v>#N/A</v>
      </c>
      <c r="P41" s="60" t="e">
        <v>#N/A</v>
      </c>
      <c r="R41" s="60" t="e">
        <v>#N/A</v>
      </c>
    </row>
    <row r="42" spans="1:18" ht="15" customHeight="1" x14ac:dyDescent="0.25">
      <c r="A42" s="36"/>
      <c r="B42" s="2" t="s">
        <v>22</v>
      </c>
      <c r="D42" s="16">
        <v>100.14100000000001</v>
      </c>
      <c r="F42" s="16">
        <v>25.919</v>
      </c>
      <c r="H42" s="16">
        <v>22.268999999999998</v>
      </c>
      <c r="L42" s="60" t="e">
        <v>#N/A</v>
      </c>
      <c r="N42" s="60" t="e">
        <v>#N/A</v>
      </c>
      <c r="P42" s="60" t="e">
        <v>#N/A</v>
      </c>
      <c r="R42" s="60" t="e">
        <v>#N/A</v>
      </c>
    </row>
    <row r="43" spans="1:18" ht="15" customHeight="1" x14ac:dyDescent="0.25">
      <c r="A43" s="36"/>
      <c r="B43" s="2" t="s">
        <v>23</v>
      </c>
      <c r="D43" s="60">
        <v>21.494</v>
      </c>
      <c r="F43" s="60">
        <v>5.0670000000000002</v>
      </c>
      <c r="H43" s="60">
        <v>6.1520000000000001</v>
      </c>
      <c r="L43" s="16" t="e">
        <f>L44-L42</f>
        <v>#N/A</v>
      </c>
      <c r="N43" s="16" t="e">
        <f>N44-N42</f>
        <v>#N/A</v>
      </c>
      <c r="P43" s="16" t="e">
        <f>P44-P42</f>
        <v>#N/A</v>
      </c>
      <c r="R43" s="16" t="e">
        <f>R44-R42</f>
        <v>#N/A</v>
      </c>
    </row>
    <row r="44" spans="1:18" ht="15" customHeight="1" x14ac:dyDescent="0.25">
      <c r="A44" s="36"/>
      <c r="B44" s="2" t="s">
        <v>24</v>
      </c>
      <c r="D44" s="60">
        <f>D42+D43</f>
        <v>121.63500000000001</v>
      </c>
      <c r="F44" s="60">
        <f>F42+F43</f>
        <v>30.986000000000001</v>
      </c>
      <c r="H44" s="60">
        <f>H42+H43</f>
        <v>28.420999999999999</v>
      </c>
      <c r="L44" s="62" t="e">
        <v>#N/A</v>
      </c>
      <c r="N44" s="62" t="e">
        <v>#N/A</v>
      </c>
      <c r="P44" s="62" t="e">
        <v>#N/A</v>
      </c>
      <c r="R44" s="62" t="e">
        <v>#N/A</v>
      </c>
    </row>
    <row r="45" spans="1:18" ht="15" customHeight="1" x14ac:dyDescent="0.25">
      <c r="A45" s="36"/>
      <c r="B45" s="2" t="s">
        <v>132</v>
      </c>
      <c r="D45" s="60">
        <v>0.34699999999999998</v>
      </c>
      <c r="F45" s="60">
        <v>0.08</v>
      </c>
      <c r="H45" s="60">
        <v>0</v>
      </c>
      <c r="L45" s="60" t="e">
        <v>#N/A</v>
      </c>
      <c r="N45" s="60" t="e">
        <v>#N/A</v>
      </c>
      <c r="P45" s="60" t="e">
        <v>#N/A</v>
      </c>
      <c r="R45" s="60" t="e">
        <v>#N/A</v>
      </c>
    </row>
    <row r="46" spans="1:18" ht="15" customHeight="1" x14ac:dyDescent="0.25">
      <c r="A46" s="36"/>
      <c r="B46" s="2" t="s">
        <v>133</v>
      </c>
      <c r="D46" s="60">
        <v>50.619</v>
      </c>
      <c r="F46" s="60">
        <v>16.303000000000001</v>
      </c>
      <c r="H46" s="60">
        <v>50.619</v>
      </c>
      <c r="L46" s="60" t="e">
        <v>#N/A</v>
      </c>
      <c r="N46" s="60" t="e">
        <v>#N/A</v>
      </c>
      <c r="P46" s="60" t="e">
        <v>#N/A</v>
      </c>
      <c r="R46" s="60" t="e">
        <v>#N/A</v>
      </c>
    </row>
    <row r="47" spans="1:18" ht="15.75" customHeight="1" x14ac:dyDescent="0.25">
      <c r="A47" s="36"/>
    </row>
    <row r="48" spans="1:18" ht="15.75" customHeight="1" x14ac:dyDescent="0.25">
      <c r="A48" s="36"/>
    </row>
    <row r="49" spans="1:7" ht="15" customHeight="1" x14ac:dyDescent="0.25">
      <c r="A49" s="58" t="s">
        <v>134</v>
      </c>
      <c r="B49" s="58"/>
      <c r="C49" s="58"/>
      <c r="D49" s="58"/>
      <c r="E49" s="58"/>
      <c r="F49" s="58"/>
      <c r="G49" s="58"/>
    </row>
    <row r="50" spans="1:7" ht="15" customHeight="1" x14ac:dyDescent="0.25">
      <c r="A50" s="36"/>
      <c r="B50" s="2" t="s">
        <v>47</v>
      </c>
      <c r="D50" s="2" t="s">
        <v>48</v>
      </c>
      <c r="F50" s="2" t="s">
        <v>135</v>
      </c>
    </row>
    <row r="51" spans="1:7" ht="15" customHeight="1" x14ac:dyDescent="0.25">
      <c r="A51" s="36"/>
      <c r="B51" s="2" t="s">
        <v>136</v>
      </c>
      <c r="D51" s="61">
        <v>0</v>
      </c>
      <c r="F51" s="47">
        <v>0</v>
      </c>
    </row>
    <row r="52" spans="1:7" ht="15" customHeight="1" x14ac:dyDescent="0.25">
      <c r="A52" s="36"/>
      <c r="B52" s="2" t="s">
        <v>137</v>
      </c>
      <c r="D52" s="61">
        <v>0</v>
      </c>
      <c r="F52" s="47">
        <v>0</v>
      </c>
    </row>
    <row r="53" spans="1:7" ht="15" customHeight="1" x14ac:dyDescent="0.25">
      <c r="A53" s="36"/>
      <c r="B53" s="2" t="s">
        <v>138</v>
      </c>
      <c r="D53" s="61">
        <v>0</v>
      </c>
      <c r="F53" s="47">
        <v>0</v>
      </c>
    </row>
    <row r="54" spans="1:7" ht="15" customHeight="1" x14ac:dyDescent="0.25">
      <c r="A54" s="36"/>
      <c r="B54" s="2" t="s">
        <v>139</v>
      </c>
      <c r="D54" s="61">
        <v>0</v>
      </c>
      <c r="F54" s="47">
        <v>0</v>
      </c>
    </row>
    <row r="55" spans="1:7" ht="15" customHeight="1" x14ac:dyDescent="0.25">
      <c r="A55" s="36"/>
      <c r="B55" s="2" t="s">
        <v>140</v>
      </c>
      <c r="D55" s="61">
        <v>0</v>
      </c>
      <c r="F55" s="47">
        <v>0</v>
      </c>
    </row>
    <row r="56" spans="1:7" ht="15" customHeight="1" x14ac:dyDescent="0.25">
      <c r="A56" s="36"/>
      <c r="B56" s="2" t="s">
        <v>141</v>
      </c>
      <c r="D56" s="61">
        <v>0</v>
      </c>
      <c r="F56" s="47">
        <v>0</v>
      </c>
    </row>
    <row r="57" spans="1:7" ht="15" customHeight="1" x14ac:dyDescent="0.25">
      <c r="A57" s="36"/>
      <c r="B57" s="2" t="s">
        <v>142</v>
      </c>
      <c r="D57" s="61">
        <v>0</v>
      </c>
      <c r="F57" s="47">
        <v>0</v>
      </c>
    </row>
    <row r="58" spans="1:7" ht="15" customHeight="1" x14ac:dyDescent="0.25">
      <c r="A58" s="36"/>
      <c r="B58" s="2" t="s">
        <v>143</v>
      </c>
      <c r="D58" s="61">
        <v>0</v>
      </c>
      <c r="F58" s="47">
        <v>0</v>
      </c>
    </row>
    <row r="59" spans="1:7" ht="15" customHeight="1" x14ac:dyDescent="0.25">
      <c r="A59" s="36"/>
      <c r="B59" s="2" t="s">
        <v>52</v>
      </c>
    </row>
    <row r="60" spans="1:7" ht="15.75" customHeight="1" x14ac:dyDescent="0.25">
      <c r="A60" s="36"/>
    </row>
    <row r="61" spans="1:7" ht="15" customHeight="1" x14ac:dyDescent="0.25">
      <c r="B61" s="2" t="s">
        <v>144</v>
      </c>
      <c r="F61" s="47">
        <v>0</v>
      </c>
    </row>
    <row r="62" spans="1:7" ht="15" customHeight="1" x14ac:dyDescent="0.25">
      <c r="A62" s="36"/>
      <c r="B62" s="2" t="s">
        <v>145</v>
      </c>
      <c r="F62" s="47">
        <v>0</v>
      </c>
    </row>
    <row r="63" spans="1:7" ht="15" customHeight="1" x14ac:dyDescent="0.25">
      <c r="A63" s="36"/>
      <c r="B63" s="2" t="s">
        <v>146</v>
      </c>
      <c r="F63" s="47">
        <v>0</v>
      </c>
    </row>
    <row r="64" spans="1:7" ht="15" customHeight="1" x14ac:dyDescent="0.25">
      <c r="A64" s="36"/>
      <c r="B64" s="2" t="s">
        <v>147</v>
      </c>
      <c r="F64" s="47">
        <v>0</v>
      </c>
    </row>
    <row r="65" spans="1:6" ht="15" customHeight="1" x14ac:dyDescent="0.25">
      <c r="A65" s="36"/>
      <c r="B65" s="2" t="s">
        <v>25</v>
      </c>
      <c r="F65" s="47">
        <v>0</v>
      </c>
    </row>
    <row r="66" spans="1:6" ht="15" customHeight="1" x14ac:dyDescent="0.25">
      <c r="A66" s="36"/>
      <c r="B66" s="2" t="s">
        <v>148</v>
      </c>
      <c r="F66" s="47">
        <v>0</v>
      </c>
    </row>
    <row r="67" spans="1:6" ht="15" customHeight="1" x14ac:dyDescent="0.25">
      <c r="A67" s="36"/>
      <c r="B67" s="2" t="s">
        <v>149</v>
      </c>
      <c r="F67" s="47">
        <v>39.268000000000001</v>
      </c>
    </row>
    <row r="68" spans="1:6" ht="15.75" customHeight="1" x14ac:dyDescent="0.25">
      <c r="A68" s="36"/>
    </row>
    <row r="69" spans="1:6" ht="15.75" customHeight="1" x14ac:dyDescent="0.25">
      <c r="A69" s="36"/>
    </row>
    <row r="70" spans="1:6" ht="15.75" customHeight="1" x14ac:dyDescent="0.25">
      <c r="A70" s="36"/>
    </row>
    <row r="111" spans="1:1" ht="15.75" customHeight="1" x14ac:dyDescent="0.25">
      <c r="A111" s="36"/>
    </row>
    <row r="112" spans="1:1" ht="15.75" customHeight="1" x14ac:dyDescent="0.25">
      <c r="A112" s="36"/>
    </row>
    <row r="113" spans="1:1" ht="15.75" customHeight="1" x14ac:dyDescent="0.25">
      <c r="A113" s="36"/>
    </row>
    <row r="114" spans="1:1" ht="15.75" customHeight="1" x14ac:dyDescent="0.25">
      <c r="A114" s="36"/>
    </row>
    <row r="115" spans="1:1" ht="15.75" customHeight="1" x14ac:dyDescent="0.25">
      <c r="A115" s="36"/>
    </row>
    <row r="116" spans="1:1" ht="15.75" customHeight="1" x14ac:dyDescent="0.25">
      <c r="A116" s="36"/>
    </row>
    <row r="117" spans="1:1" ht="15.75" customHeight="1" x14ac:dyDescent="0.25">
      <c r="A117" s="36"/>
    </row>
    <row r="118" spans="1:1" ht="15.75" customHeight="1" x14ac:dyDescent="0.25">
      <c r="A118" s="36"/>
    </row>
    <row r="119" spans="1:1" ht="15.75" customHeight="1" x14ac:dyDescent="0.25">
      <c r="A119" s="36"/>
    </row>
    <row r="120" spans="1:1" ht="15.75" customHeight="1" x14ac:dyDescent="0.25">
      <c r="A120" s="36"/>
    </row>
    <row r="121" spans="1:1" ht="15.75" customHeight="1" x14ac:dyDescent="0.25">
      <c r="A121" s="36"/>
    </row>
    <row r="122" spans="1:1" ht="15.75" customHeight="1" x14ac:dyDescent="0.25">
      <c r="A122" s="36"/>
    </row>
    <row r="123" spans="1:1" ht="15.75" customHeight="1" x14ac:dyDescent="0.25">
      <c r="A123" s="36"/>
    </row>
    <row r="124" spans="1:1" ht="15.75" customHeight="1" x14ac:dyDescent="0.25">
      <c r="A124" s="36"/>
    </row>
    <row r="125" spans="1:1" ht="15.75" customHeight="1" x14ac:dyDescent="0.25">
      <c r="A125" s="36"/>
    </row>
    <row r="126" spans="1:1" ht="15.75" customHeight="1" x14ac:dyDescent="0.25">
      <c r="A126" s="36"/>
    </row>
    <row r="127" spans="1:1" ht="15.75" customHeight="1" x14ac:dyDescent="0.25">
      <c r="A127" s="36"/>
    </row>
    <row r="128" spans="1:1" ht="15.75" customHeight="1" x14ac:dyDescent="0.25">
      <c r="A128" s="36"/>
    </row>
    <row r="129" spans="1:1" ht="15.75" customHeight="1" x14ac:dyDescent="0.25">
      <c r="A129" s="36"/>
    </row>
    <row r="130" spans="1:1" ht="15.75" customHeight="1" x14ac:dyDescent="0.25">
      <c r="A130" s="36"/>
    </row>
    <row r="131" spans="1:1" ht="15.75" customHeight="1" x14ac:dyDescent="0.25">
      <c r="A131" s="36"/>
    </row>
    <row r="132" spans="1:1" ht="15.75" customHeight="1" x14ac:dyDescent="0.25">
      <c r="A132" s="36"/>
    </row>
    <row r="133" spans="1:1" ht="15.75" customHeight="1" x14ac:dyDescent="0.25">
      <c r="A133" s="36"/>
    </row>
    <row r="134" spans="1:1" ht="15.75" customHeight="1" x14ac:dyDescent="0.25">
      <c r="A134" s="36"/>
    </row>
    <row r="135" spans="1:1" ht="15.75" customHeight="1" x14ac:dyDescent="0.25">
      <c r="A135" s="36"/>
    </row>
    <row r="136" spans="1:1" ht="15.75" customHeight="1" x14ac:dyDescent="0.25">
      <c r="A136" s="36"/>
    </row>
    <row r="137" spans="1:1" ht="15.75" customHeight="1" x14ac:dyDescent="0.25">
      <c r="A137" s="36"/>
    </row>
    <row r="138" spans="1:1" ht="15.75" customHeight="1" x14ac:dyDescent="0.25">
      <c r="A138" s="36"/>
    </row>
    <row r="139" spans="1:1" ht="15.75" customHeight="1" x14ac:dyDescent="0.25">
      <c r="A139" s="36"/>
    </row>
    <row r="140" spans="1:1" ht="15.75" customHeight="1" x14ac:dyDescent="0.25">
      <c r="A140" s="36"/>
    </row>
    <row r="141" spans="1:1" ht="15.75" customHeight="1" x14ac:dyDescent="0.25">
      <c r="A141" s="36"/>
    </row>
    <row r="142" spans="1:1" ht="15.75" customHeight="1" x14ac:dyDescent="0.25">
      <c r="A142" s="36"/>
    </row>
    <row r="143" spans="1:1" ht="15.75" customHeight="1" x14ac:dyDescent="0.25">
      <c r="A143" s="36"/>
    </row>
    <row r="144" spans="1:1" ht="15.75" customHeight="1" x14ac:dyDescent="0.25">
      <c r="A144" s="36"/>
    </row>
    <row r="145" spans="1:1" ht="15.75" customHeight="1" x14ac:dyDescent="0.25">
      <c r="A145" s="36"/>
    </row>
    <row r="146" spans="1:1" ht="15.75" customHeight="1" x14ac:dyDescent="0.25">
      <c r="A146" s="36"/>
    </row>
    <row r="147" spans="1:1" ht="15.75" customHeight="1" x14ac:dyDescent="0.25">
      <c r="A147" s="36"/>
    </row>
    <row r="148" spans="1:1" ht="15.75" customHeight="1" x14ac:dyDescent="0.25">
      <c r="A148" s="36"/>
    </row>
    <row r="149" spans="1:1" ht="15.75" customHeight="1" x14ac:dyDescent="0.25">
      <c r="A149" s="36"/>
    </row>
    <row r="150" spans="1:1" ht="15.75" customHeight="1" x14ac:dyDescent="0.25">
      <c r="A150" s="36"/>
    </row>
    <row r="151" spans="1:1" ht="15.75" customHeight="1" x14ac:dyDescent="0.25">
      <c r="A151" s="36"/>
    </row>
    <row r="152" spans="1:1" ht="15.75" customHeight="1" x14ac:dyDescent="0.25">
      <c r="A152" s="36"/>
    </row>
    <row r="153" spans="1:1" ht="15.75" customHeight="1" x14ac:dyDescent="0.25">
      <c r="A153" s="36"/>
    </row>
    <row r="154" spans="1:1" ht="15.75" customHeight="1" x14ac:dyDescent="0.25">
      <c r="A154" s="36"/>
    </row>
    <row r="155" spans="1:1" ht="15.75" customHeight="1" x14ac:dyDescent="0.25">
      <c r="A155" s="36"/>
    </row>
    <row r="156" spans="1:1" ht="15.75" customHeight="1" x14ac:dyDescent="0.25">
      <c r="A156" s="36"/>
    </row>
    <row r="157" spans="1:1" ht="15.75" customHeight="1" x14ac:dyDescent="0.25">
      <c r="A157" s="36"/>
    </row>
    <row r="158" spans="1:1" ht="15.75" customHeight="1" x14ac:dyDescent="0.25">
      <c r="A158" s="36"/>
    </row>
    <row r="159" spans="1:1" ht="15.75" customHeight="1" x14ac:dyDescent="0.25">
      <c r="A159" s="36"/>
    </row>
    <row r="160" spans="1:1" ht="15.75" customHeight="1" x14ac:dyDescent="0.25">
      <c r="A160" s="36"/>
    </row>
    <row r="161" spans="1:1" ht="15.75" customHeight="1" x14ac:dyDescent="0.25">
      <c r="A161" s="36"/>
    </row>
    <row r="162" spans="1:1" ht="15.75" customHeight="1" x14ac:dyDescent="0.25">
      <c r="A162" s="36"/>
    </row>
    <row r="163" spans="1:1" ht="15.75" customHeight="1" x14ac:dyDescent="0.25">
      <c r="A163" s="36"/>
    </row>
    <row r="164" spans="1:1" ht="15.75" customHeight="1" x14ac:dyDescent="0.25">
      <c r="A164" s="36"/>
    </row>
    <row r="165" spans="1:1" ht="15.75" customHeight="1" x14ac:dyDescent="0.25">
      <c r="A165" s="36"/>
    </row>
    <row r="166" spans="1:1" ht="15.75" customHeight="1" x14ac:dyDescent="0.25">
      <c r="A166" s="36"/>
    </row>
    <row r="167" spans="1:1" ht="15.75" customHeight="1" x14ac:dyDescent="0.25">
      <c r="A167" s="36"/>
    </row>
    <row r="168" spans="1:1" ht="15.75" customHeight="1" x14ac:dyDescent="0.25">
      <c r="A168" s="36"/>
    </row>
    <row r="169" spans="1:1" ht="15.75" customHeight="1" x14ac:dyDescent="0.25">
      <c r="A169" s="36"/>
    </row>
    <row r="170" spans="1:1" ht="15.75" customHeight="1" x14ac:dyDescent="0.25">
      <c r="A170" s="36"/>
    </row>
    <row r="171" spans="1:1" ht="15.75" customHeight="1" x14ac:dyDescent="0.25">
      <c r="A171" s="36"/>
    </row>
    <row r="172" spans="1:1" ht="15.75" customHeight="1" x14ac:dyDescent="0.25">
      <c r="A172" s="36"/>
    </row>
    <row r="173" spans="1:1" ht="15.75" customHeight="1" x14ac:dyDescent="0.25">
      <c r="A173" s="36"/>
    </row>
    <row r="174" spans="1:1" ht="15.75" customHeight="1" x14ac:dyDescent="0.25">
      <c r="A174" s="36"/>
    </row>
    <row r="175" spans="1:1" ht="15.75" customHeight="1" x14ac:dyDescent="0.25">
      <c r="A175" s="36"/>
    </row>
    <row r="176" spans="1:1" ht="15.75" customHeight="1" x14ac:dyDescent="0.25">
      <c r="A176" s="36"/>
    </row>
    <row r="177" spans="1:1" ht="15.75" customHeight="1" x14ac:dyDescent="0.25">
      <c r="A177" s="36"/>
    </row>
    <row r="178" spans="1:1" ht="15.75" customHeight="1" x14ac:dyDescent="0.25">
      <c r="A178" s="36"/>
    </row>
    <row r="179" spans="1:1" ht="15.75" customHeight="1" x14ac:dyDescent="0.25">
      <c r="A179" s="36"/>
    </row>
    <row r="180" spans="1:1" ht="15.75" customHeight="1" x14ac:dyDescent="0.25">
      <c r="A180" s="36"/>
    </row>
    <row r="181" spans="1:1" ht="15.75" customHeight="1" x14ac:dyDescent="0.25">
      <c r="A181" s="36"/>
    </row>
    <row r="182" spans="1:1" ht="15.75" customHeight="1" x14ac:dyDescent="0.25">
      <c r="A182" s="36"/>
    </row>
    <row r="183" spans="1:1" ht="15.75" customHeight="1" x14ac:dyDescent="0.25">
      <c r="A183" s="36"/>
    </row>
    <row r="184" spans="1:1" ht="15.75" customHeight="1" x14ac:dyDescent="0.25">
      <c r="A184" s="36"/>
    </row>
    <row r="185" spans="1:1" ht="15.75" customHeight="1" x14ac:dyDescent="0.25">
      <c r="A185" s="36"/>
    </row>
    <row r="186" spans="1:1" ht="15.75" customHeight="1" x14ac:dyDescent="0.25">
      <c r="A186" s="36"/>
    </row>
    <row r="187" spans="1:1" ht="15.75" customHeight="1" x14ac:dyDescent="0.25">
      <c r="A187" s="36"/>
    </row>
    <row r="188" spans="1:1" ht="15.75" customHeight="1" x14ac:dyDescent="0.25">
      <c r="A188" s="36"/>
    </row>
    <row r="189" spans="1:1" ht="15.75" customHeight="1" x14ac:dyDescent="0.25">
      <c r="A189" s="36"/>
    </row>
    <row r="190" spans="1:1" ht="15.75" customHeight="1" x14ac:dyDescent="0.25">
      <c r="A190" s="36"/>
    </row>
    <row r="191" spans="1:1" ht="15.75" customHeight="1" x14ac:dyDescent="0.25">
      <c r="A191" s="36"/>
    </row>
    <row r="192" spans="1:1" ht="15.75" customHeight="1" x14ac:dyDescent="0.25">
      <c r="A192" s="36"/>
    </row>
    <row r="193" spans="1:1" ht="15.75" customHeight="1" x14ac:dyDescent="0.25">
      <c r="A193" s="36"/>
    </row>
    <row r="194" spans="1:1" ht="15.75" customHeight="1" x14ac:dyDescent="0.25">
      <c r="A194" s="36"/>
    </row>
    <row r="195" spans="1:1" ht="15.75" customHeight="1" x14ac:dyDescent="0.25">
      <c r="A195" s="36"/>
    </row>
    <row r="196" spans="1:1" ht="15.75" customHeight="1" x14ac:dyDescent="0.25">
      <c r="A196" s="36"/>
    </row>
    <row r="197" spans="1:1" ht="15.75" customHeight="1" x14ac:dyDescent="0.25">
      <c r="A197" s="36"/>
    </row>
    <row r="198" spans="1:1" ht="15.75" customHeight="1" x14ac:dyDescent="0.25">
      <c r="A198" s="36"/>
    </row>
    <row r="199" spans="1:1" ht="15.75" customHeight="1" x14ac:dyDescent="0.25">
      <c r="A199" s="36"/>
    </row>
    <row r="200" spans="1:1" ht="15.75" customHeight="1" x14ac:dyDescent="0.25">
      <c r="A200" s="36"/>
    </row>
    <row r="201" spans="1:1" ht="15.75" customHeight="1" x14ac:dyDescent="0.25">
      <c r="A201" s="36"/>
    </row>
    <row r="202" spans="1:1" ht="15.75" customHeight="1" x14ac:dyDescent="0.25">
      <c r="A202" s="36"/>
    </row>
    <row r="203" spans="1:1" ht="15.75" customHeight="1" x14ac:dyDescent="0.25">
      <c r="A203" s="36"/>
    </row>
    <row r="204" spans="1:1" ht="15.75" customHeight="1" x14ac:dyDescent="0.25">
      <c r="A204" s="36"/>
    </row>
    <row r="205" spans="1:1" ht="15.75" customHeight="1" x14ac:dyDescent="0.25">
      <c r="A205" s="36"/>
    </row>
    <row r="206" spans="1:1" ht="15.75" customHeight="1" x14ac:dyDescent="0.25">
      <c r="A206" s="36"/>
    </row>
    <row r="207" spans="1:1" ht="15.75" customHeight="1" x14ac:dyDescent="0.25">
      <c r="A207" s="36"/>
    </row>
    <row r="208" spans="1:1" ht="15.75" customHeight="1" x14ac:dyDescent="0.25">
      <c r="A208" s="36"/>
    </row>
    <row r="209" spans="1:1" ht="15.75" customHeight="1" x14ac:dyDescent="0.25">
      <c r="A209" s="36"/>
    </row>
    <row r="210" spans="1:1" ht="15.75" customHeight="1" x14ac:dyDescent="0.25">
      <c r="A210" s="36"/>
    </row>
    <row r="211" spans="1:1" ht="15.75" customHeight="1" x14ac:dyDescent="0.25">
      <c r="A211" s="36"/>
    </row>
    <row r="212" spans="1:1" ht="15.75" customHeight="1" x14ac:dyDescent="0.25">
      <c r="A212" s="36"/>
    </row>
    <row r="213" spans="1:1" ht="15.75" customHeight="1" x14ac:dyDescent="0.25">
      <c r="A213" s="36"/>
    </row>
    <row r="214" spans="1:1" ht="15.75" customHeight="1" x14ac:dyDescent="0.25">
      <c r="A214" s="36"/>
    </row>
    <row r="215" spans="1:1" ht="15.75" customHeight="1" x14ac:dyDescent="0.25">
      <c r="A215" s="36"/>
    </row>
    <row r="216" spans="1:1" ht="15.75" customHeight="1" x14ac:dyDescent="0.25">
      <c r="A216" s="36"/>
    </row>
    <row r="217" spans="1:1" ht="15.75" customHeight="1" x14ac:dyDescent="0.25">
      <c r="A217" s="36"/>
    </row>
    <row r="218" spans="1:1" ht="15.75" customHeight="1" x14ac:dyDescent="0.25">
      <c r="A218" s="36"/>
    </row>
    <row r="219" spans="1:1" ht="15.75" customHeight="1" x14ac:dyDescent="0.25">
      <c r="A219" s="36"/>
    </row>
    <row r="220" spans="1:1" ht="15.75" customHeight="1" x14ac:dyDescent="0.25">
      <c r="A220" s="36"/>
    </row>
    <row r="221" spans="1:1" ht="15.75" customHeight="1" x14ac:dyDescent="0.25">
      <c r="A221" s="36"/>
    </row>
    <row r="222" spans="1:1" ht="15.75" customHeight="1" x14ac:dyDescent="0.25">
      <c r="A222" s="36"/>
    </row>
    <row r="223" spans="1:1" ht="15.75" customHeight="1" x14ac:dyDescent="0.25">
      <c r="A223" s="36"/>
    </row>
    <row r="224" spans="1:1" ht="15.75" customHeight="1" x14ac:dyDescent="0.25">
      <c r="A224" s="36"/>
    </row>
    <row r="225" spans="1:1" ht="15.75" customHeight="1" x14ac:dyDescent="0.25">
      <c r="A225" s="36"/>
    </row>
    <row r="226" spans="1:1" ht="15.75" customHeight="1" x14ac:dyDescent="0.25">
      <c r="A226" s="36"/>
    </row>
    <row r="227" spans="1:1" ht="15.75" customHeight="1" x14ac:dyDescent="0.25">
      <c r="A227" s="36"/>
    </row>
    <row r="228" spans="1:1" ht="15.75" customHeight="1" x14ac:dyDescent="0.25">
      <c r="A228" s="36"/>
    </row>
    <row r="229" spans="1:1" ht="15.75" customHeight="1" x14ac:dyDescent="0.25">
      <c r="A229" s="36"/>
    </row>
    <row r="230" spans="1:1" ht="15.75" customHeight="1" x14ac:dyDescent="0.25">
      <c r="A230" s="36"/>
    </row>
    <row r="231" spans="1:1" ht="15.75" customHeight="1" x14ac:dyDescent="0.25">
      <c r="A231" s="36"/>
    </row>
    <row r="232" spans="1:1" ht="15.75" customHeight="1" x14ac:dyDescent="0.25">
      <c r="A232" s="36"/>
    </row>
    <row r="233" spans="1:1" ht="15.75" customHeight="1" x14ac:dyDescent="0.25">
      <c r="A233" s="36"/>
    </row>
    <row r="234" spans="1:1" ht="15.75" customHeight="1" x14ac:dyDescent="0.25">
      <c r="A234" s="36"/>
    </row>
    <row r="235" spans="1:1" ht="15.75" customHeight="1" x14ac:dyDescent="0.25">
      <c r="A235" s="36"/>
    </row>
    <row r="236" spans="1:1" ht="15.75" customHeight="1" x14ac:dyDescent="0.25">
      <c r="A236" s="36"/>
    </row>
    <row r="237" spans="1:1" ht="15.75" customHeight="1" x14ac:dyDescent="0.25">
      <c r="A237" s="36"/>
    </row>
    <row r="238" spans="1:1" ht="15.75" customHeight="1" x14ac:dyDescent="0.25">
      <c r="A238" s="36"/>
    </row>
    <row r="239" spans="1:1" ht="15.75" customHeight="1" x14ac:dyDescent="0.25">
      <c r="A239" s="36"/>
    </row>
    <row r="240" spans="1:1" ht="15.75" customHeight="1" x14ac:dyDescent="0.25">
      <c r="A240" s="36"/>
    </row>
    <row r="241" spans="1:1" ht="15.75" customHeight="1" x14ac:dyDescent="0.25">
      <c r="A241" s="36"/>
    </row>
    <row r="242" spans="1:1" ht="15.75" customHeight="1" x14ac:dyDescent="0.25">
      <c r="A242" s="36"/>
    </row>
    <row r="243" spans="1:1" ht="15.75" customHeight="1" x14ac:dyDescent="0.25">
      <c r="A243" s="36"/>
    </row>
    <row r="244" spans="1:1" ht="15.75" customHeight="1" x14ac:dyDescent="0.25">
      <c r="A244" s="36"/>
    </row>
    <row r="245" spans="1:1" ht="15.75" customHeight="1" x14ac:dyDescent="0.25">
      <c r="A245" s="36"/>
    </row>
    <row r="246" spans="1:1" ht="15.75" customHeight="1" x14ac:dyDescent="0.25">
      <c r="A246" s="36"/>
    </row>
    <row r="247" spans="1:1" ht="15.75" customHeight="1" x14ac:dyDescent="0.25">
      <c r="A247" s="36"/>
    </row>
    <row r="248" spans="1:1" ht="15.75" customHeight="1" x14ac:dyDescent="0.25">
      <c r="A248" s="36"/>
    </row>
    <row r="249" spans="1:1" ht="15.75" customHeight="1" x14ac:dyDescent="0.25">
      <c r="A249" s="36"/>
    </row>
    <row r="250" spans="1:1" ht="15.75" customHeight="1" x14ac:dyDescent="0.25">
      <c r="A250" s="36"/>
    </row>
    <row r="251" spans="1:1" ht="15.75" customHeight="1" x14ac:dyDescent="0.25">
      <c r="A251" s="36"/>
    </row>
    <row r="252" spans="1:1" ht="15.75" customHeight="1" x14ac:dyDescent="0.25">
      <c r="A252" s="36"/>
    </row>
    <row r="253" spans="1:1" ht="15.75" customHeight="1" x14ac:dyDescent="0.25">
      <c r="A253" s="36"/>
    </row>
    <row r="254" spans="1:1" ht="15.75" customHeight="1" x14ac:dyDescent="0.25">
      <c r="A254" s="36"/>
    </row>
    <row r="255" spans="1:1" ht="15.75" customHeight="1" x14ac:dyDescent="0.25">
      <c r="A255" s="36"/>
    </row>
    <row r="256" spans="1:1" ht="15.75" customHeight="1" x14ac:dyDescent="0.25">
      <c r="A256" s="36"/>
    </row>
    <row r="257" spans="1:1" ht="15.75" customHeight="1" x14ac:dyDescent="0.25">
      <c r="A257" s="36"/>
    </row>
    <row r="258" spans="1:1" ht="15.75" customHeight="1" x14ac:dyDescent="0.25">
      <c r="A258" s="36"/>
    </row>
    <row r="259" spans="1:1" ht="15.75" customHeight="1" x14ac:dyDescent="0.25">
      <c r="A259" s="36"/>
    </row>
    <row r="260" spans="1:1" ht="15.75" customHeight="1" x14ac:dyDescent="0.25">
      <c r="A260" s="36"/>
    </row>
    <row r="261" spans="1:1" ht="15.75" customHeight="1" x14ac:dyDescent="0.25">
      <c r="A261" s="36"/>
    </row>
    <row r="262" spans="1:1" ht="15.75" customHeight="1" x14ac:dyDescent="0.25">
      <c r="A262" s="36"/>
    </row>
    <row r="263" spans="1:1" ht="15.75" customHeight="1" x14ac:dyDescent="0.25">
      <c r="A263" s="36"/>
    </row>
    <row r="264" spans="1:1" ht="15.75" customHeight="1" x14ac:dyDescent="0.25">
      <c r="A264" s="36"/>
    </row>
    <row r="265" spans="1:1" ht="15.75" customHeight="1" x14ac:dyDescent="0.25">
      <c r="A265" s="36"/>
    </row>
    <row r="266" spans="1:1" ht="15.75" customHeight="1" x14ac:dyDescent="0.25">
      <c r="A266" s="36"/>
    </row>
    <row r="267" spans="1:1" ht="15.75" customHeight="1" x14ac:dyDescent="0.25">
      <c r="A267" s="36"/>
    </row>
    <row r="268" spans="1:1" ht="15.75" customHeight="1" x14ac:dyDescent="0.25">
      <c r="A268" s="36"/>
    </row>
    <row r="269" spans="1:1" ht="15.75" customHeight="1" x14ac:dyDescent="0.25">
      <c r="A269" s="36"/>
    </row>
    <row r="270" spans="1:1" ht="15.75" customHeight="1" x14ac:dyDescent="0.25">
      <c r="A270" s="36"/>
    </row>
    <row r="271" spans="1:1" ht="15.75" customHeight="1" x14ac:dyDescent="0.25">
      <c r="A271" s="36"/>
    </row>
    <row r="272" spans="1:1" ht="15.75" customHeight="1" x14ac:dyDescent="0.25">
      <c r="A272" s="36"/>
    </row>
    <row r="273" spans="1:1" ht="15.75" customHeight="1" x14ac:dyDescent="0.25">
      <c r="A273" s="36"/>
    </row>
    <row r="274" spans="1:1" ht="15.75" customHeight="1" x14ac:dyDescent="0.25">
      <c r="A274" s="36"/>
    </row>
    <row r="275" spans="1:1" ht="15.75" customHeight="1" x14ac:dyDescent="0.25">
      <c r="A275" s="36"/>
    </row>
    <row r="276" spans="1:1" ht="15.75" customHeight="1" x14ac:dyDescent="0.25">
      <c r="A276" s="36"/>
    </row>
    <row r="277" spans="1:1" ht="15.75" customHeight="1" x14ac:dyDescent="0.25">
      <c r="A277" s="36"/>
    </row>
    <row r="278" spans="1:1" ht="15.75" customHeight="1" x14ac:dyDescent="0.25">
      <c r="A278" s="36"/>
    </row>
    <row r="279" spans="1:1" ht="15.75" customHeight="1" x14ac:dyDescent="0.25">
      <c r="A279" s="36"/>
    </row>
    <row r="280" spans="1:1" ht="15.75" customHeight="1" x14ac:dyDescent="0.25">
      <c r="A280" s="36"/>
    </row>
    <row r="281" spans="1:1" ht="15.75" customHeight="1" x14ac:dyDescent="0.25">
      <c r="A281" s="36"/>
    </row>
    <row r="282" spans="1:1" ht="15.75" customHeight="1" x14ac:dyDescent="0.25">
      <c r="A282" s="36"/>
    </row>
    <row r="283" spans="1:1" ht="15.75" customHeight="1" x14ac:dyDescent="0.25">
      <c r="A283" s="36"/>
    </row>
    <row r="284" spans="1:1" ht="15.75" customHeight="1" x14ac:dyDescent="0.25">
      <c r="A284" s="36"/>
    </row>
    <row r="285" spans="1:1" ht="15.75" customHeight="1" x14ac:dyDescent="0.25">
      <c r="A285" s="36"/>
    </row>
    <row r="286" spans="1:1" ht="15.75" customHeight="1" x14ac:dyDescent="0.25">
      <c r="A286" s="36"/>
    </row>
    <row r="287" spans="1:1" ht="15.75" customHeight="1" x14ac:dyDescent="0.25">
      <c r="A287" s="36"/>
    </row>
    <row r="288" spans="1:1" ht="15.75" customHeight="1" x14ac:dyDescent="0.25">
      <c r="A288" s="36"/>
    </row>
    <row r="289" spans="1:1" ht="15.75" customHeight="1" x14ac:dyDescent="0.25">
      <c r="A289" s="36"/>
    </row>
    <row r="290" spans="1:1" ht="15.75" customHeight="1" x14ac:dyDescent="0.25">
      <c r="A290" s="36"/>
    </row>
    <row r="291" spans="1:1" ht="15.75" customHeight="1" x14ac:dyDescent="0.25">
      <c r="A291" s="36"/>
    </row>
    <row r="292" spans="1:1" ht="15.75" customHeight="1" x14ac:dyDescent="0.25">
      <c r="A292" s="36"/>
    </row>
    <row r="293" spans="1:1" ht="15.75" customHeight="1" x14ac:dyDescent="0.25">
      <c r="A293" s="36"/>
    </row>
    <row r="294" spans="1:1" ht="15.75" customHeight="1" x14ac:dyDescent="0.25">
      <c r="A294" s="36"/>
    </row>
    <row r="295" spans="1:1" ht="15.75" customHeight="1" x14ac:dyDescent="0.25">
      <c r="A295" s="36"/>
    </row>
    <row r="296" spans="1:1" ht="15.75" customHeight="1" x14ac:dyDescent="0.25">
      <c r="A296" s="36"/>
    </row>
    <row r="297" spans="1:1" ht="15.75" customHeight="1" x14ac:dyDescent="0.25">
      <c r="A297" s="36"/>
    </row>
    <row r="298" spans="1:1" ht="15.75" customHeight="1" x14ac:dyDescent="0.25">
      <c r="A298" s="36"/>
    </row>
    <row r="299" spans="1:1" ht="15.75" customHeight="1" x14ac:dyDescent="0.25">
      <c r="A299" s="36"/>
    </row>
    <row r="300" spans="1:1" ht="15.75" customHeight="1" x14ac:dyDescent="0.25">
      <c r="A300" s="36"/>
    </row>
    <row r="301" spans="1:1" ht="15.75" customHeight="1" x14ac:dyDescent="0.25">
      <c r="A301" s="36"/>
    </row>
    <row r="302" spans="1:1" ht="15.75" customHeight="1" x14ac:dyDescent="0.25">
      <c r="A302" s="36"/>
    </row>
    <row r="303" spans="1:1" ht="15.75" customHeight="1" x14ac:dyDescent="0.25">
      <c r="A303" s="36"/>
    </row>
    <row r="304" spans="1:1" ht="15.75" customHeight="1" x14ac:dyDescent="0.25">
      <c r="A304" s="36"/>
    </row>
    <row r="305" spans="1:1" ht="15.75" customHeight="1" x14ac:dyDescent="0.25">
      <c r="A305" s="36"/>
    </row>
    <row r="306" spans="1:1" ht="15.75" customHeight="1" x14ac:dyDescent="0.25">
      <c r="A306" s="36"/>
    </row>
    <row r="307" spans="1:1" ht="15.75" customHeight="1" x14ac:dyDescent="0.25">
      <c r="A307" s="36"/>
    </row>
    <row r="308" spans="1:1" ht="15.75" customHeight="1" x14ac:dyDescent="0.25">
      <c r="A308" s="36"/>
    </row>
    <row r="309" spans="1:1" ht="15.75" customHeight="1" x14ac:dyDescent="0.25">
      <c r="A309" s="36"/>
    </row>
    <row r="310" spans="1:1" ht="15.75" customHeight="1" x14ac:dyDescent="0.25">
      <c r="A310" s="36"/>
    </row>
    <row r="311" spans="1:1" ht="15.75" customHeight="1" x14ac:dyDescent="0.25">
      <c r="A311" s="36"/>
    </row>
    <row r="312" spans="1:1" ht="15.75" customHeight="1" x14ac:dyDescent="0.25">
      <c r="A312" s="36"/>
    </row>
    <row r="313" spans="1:1" ht="15.75" customHeight="1" x14ac:dyDescent="0.25">
      <c r="A313" s="36"/>
    </row>
    <row r="314" spans="1:1" ht="15.75" customHeight="1" x14ac:dyDescent="0.25">
      <c r="A314" s="36"/>
    </row>
    <row r="315" spans="1:1" ht="15.75" customHeight="1" x14ac:dyDescent="0.25">
      <c r="A315" s="36"/>
    </row>
    <row r="316" spans="1:1" ht="15.75" customHeight="1" x14ac:dyDescent="0.25">
      <c r="A316" s="36"/>
    </row>
    <row r="317" spans="1:1" ht="15.75" customHeight="1" x14ac:dyDescent="0.25">
      <c r="A317" s="36"/>
    </row>
    <row r="318" spans="1:1" ht="15.75" customHeight="1" x14ac:dyDescent="0.25">
      <c r="A318" s="36"/>
    </row>
    <row r="319" spans="1:1" ht="15.75" customHeight="1" x14ac:dyDescent="0.25">
      <c r="A319" s="36"/>
    </row>
    <row r="320" spans="1:1" ht="15.75" customHeight="1" x14ac:dyDescent="0.25">
      <c r="A320" s="36"/>
    </row>
    <row r="321" spans="1:1" ht="15.75" customHeight="1" x14ac:dyDescent="0.25">
      <c r="A321" s="36"/>
    </row>
    <row r="322" spans="1:1" ht="15.75" customHeight="1" x14ac:dyDescent="0.25">
      <c r="A322" s="36"/>
    </row>
    <row r="323" spans="1:1" ht="15.75" customHeight="1" x14ac:dyDescent="0.25">
      <c r="A323" s="36"/>
    </row>
    <row r="324" spans="1:1" ht="15.75" customHeight="1" x14ac:dyDescent="0.25">
      <c r="A324" s="36"/>
    </row>
    <row r="325" spans="1:1" ht="15.75" customHeight="1" x14ac:dyDescent="0.25">
      <c r="A325" s="36"/>
    </row>
    <row r="326" spans="1:1" ht="15.75" customHeight="1" x14ac:dyDescent="0.25">
      <c r="A326" s="36"/>
    </row>
    <row r="327" spans="1:1" ht="15.75" customHeight="1" x14ac:dyDescent="0.25">
      <c r="A327" s="36"/>
    </row>
    <row r="328" spans="1:1" ht="15.75" customHeight="1" x14ac:dyDescent="0.25">
      <c r="A328" s="36"/>
    </row>
    <row r="329" spans="1:1" ht="15.75" customHeight="1" x14ac:dyDescent="0.25">
      <c r="A329" s="36"/>
    </row>
    <row r="330" spans="1:1" ht="15.75" customHeight="1" x14ac:dyDescent="0.25">
      <c r="A330" s="36"/>
    </row>
    <row r="331" spans="1:1" ht="15.75" customHeight="1" x14ac:dyDescent="0.25">
      <c r="A331" s="36"/>
    </row>
    <row r="332" spans="1:1" ht="15.75" customHeight="1" x14ac:dyDescent="0.25">
      <c r="A332" s="36"/>
    </row>
    <row r="333" spans="1:1" ht="15.75" customHeight="1" x14ac:dyDescent="0.25">
      <c r="A333" s="36"/>
    </row>
    <row r="334" spans="1:1" ht="15.75" customHeight="1" x14ac:dyDescent="0.25">
      <c r="A334" s="36"/>
    </row>
    <row r="335" spans="1:1" ht="15.75" customHeight="1" x14ac:dyDescent="0.25">
      <c r="A335" s="36"/>
    </row>
    <row r="336" spans="1:1" ht="15.75" customHeight="1" x14ac:dyDescent="0.25">
      <c r="A336" s="36"/>
    </row>
    <row r="337" spans="1:1" ht="15.75" customHeight="1" x14ac:dyDescent="0.25">
      <c r="A337" s="36"/>
    </row>
    <row r="338" spans="1:1" ht="15.75" customHeight="1" x14ac:dyDescent="0.25">
      <c r="A338" s="36"/>
    </row>
    <row r="339" spans="1:1" ht="15.75" customHeight="1" x14ac:dyDescent="0.25">
      <c r="A339" s="36"/>
    </row>
    <row r="340" spans="1:1" ht="15.75" customHeight="1" x14ac:dyDescent="0.25">
      <c r="A340" s="36"/>
    </row>
    <row r="341" spans="1:1" ht="15.75" customHeight="1" x14ac:dyDescent="0.25">
      <c r="A341" s="36"/>
    </row>
    <row r="342" spans="1:1" ht="15.75" customHeight="1" x14ac:dyDescent="0.25">
      <c r="A342" s="36"/>
    </row>
    <row r="343" spans="1:1" ht="15.75" customHeight="1" x14ac:dyDescent="0.25">
      <c r="A343" s="36"/>
    </row>
    <row r="344" spans="1:1" ht="15.75" customHeight="1" x14ac:dyDescent="0.25">
      <c r="A344" s="36"/>
    </row>
    <row r="345" spans="1:1" ht="15.75" customHeight="1" x14ac:dyDescent="0.25">
      <c r="A345" s="36"/>
    </row>
    <row r="346" spans="1:1" ht="15.75" customHeight="1" x14ac:dyDescent="0.25">
      <c r="A346" s="36"/>
    </row>
    <row r="347" spans="1:1" ht="15.75" customHeight="1" x14ac:dyDescent="0.25">
      <c r="A347" s="36"/>
    </row>
    <row r="348" spans="1:1" ht="15.75" customHeight="1" x14ac:dyDescent="0.25">
      <c r="A348" s="36"/>
    </row>
    <row r="349" spans="1:1" ht="15.75" customHeight="1" x14ac:dyDescent="0.25">
      <c r="A349" s="36"/>
    </row>
    <row r="350" spans="1:1" ht="15.75" customHeight="1" x14ac:dyDescent="0.25">
      <c r="A350" s="36"/>
    </row>
    <row r="351" spans="1:1" ht="15.75" customHeight="1" x14ac:dyDescent="0.25">
      <c r="A351" s="36"/>
    </row>
    <row r="352" spans="1:1" ht="15.75" customHeight="1" x14ac:dyDescent="0.25">
      <c r="A352" s="36"/>
    </row>
    <row r="353" spans="1:1" ht="15.75" customHeight="1" x14ac:dyDescent="0.25">
      <c r="A353" s="36"/>
    </row>
    <row r="354" spans="1:1" ht="15.75" customHeight="1" x14ac:dyDescent="0.25">
      <c r="A354" s="36"/>
    </row>
    <row r="355" spans="1:1" ht="15.75" customHeight="1" x14ac:dyDescent="0.25">
      <c r="A355" s="36"/>
    </row>
    <row r="356" spans="1:1" ht="15.75" customHeight="1" x14ac:dyDescent="0.25">
      <c r="A356" s="36"/>
    </row>
    <row r="357" spans="1:1" ht="15.75" customHeight="1" x14ac:dyDescent="0.25">
      <c r="A357" s="36"/>
    </row>
    <row r="358" spans="1:1" ht="15.75" customHeight="1" x14ac:dyDescent="0.25">
      <c r="A358" s="36"/>
    </row>
    <row r="359" spans="1:1" ht="15.75" customHeight="1" x14ac:dyDescent="0.25">
      <c r="A359" s="36"/>
    </row>
    <row r="360" spans="1:1" ht="15.75" customHeight="1" x14ac:dyDescent="0.25">
      <c r="A360" s="36"/>
    </row>
    <row r="361" spans="1:1" ht="15.75" customHeight="1" x14ac:dyDescent="0.25">
      <c r="A361" s="36"/>
    </row>
    <row r="362" spans="1:1" ht="15.75" customHeight="1" x14ac:dyDescent="0.25">
      <c r="A362" s="36"/>
    </row>
    <row r="363" spans="1:1" ht="15.75" customHeight="1" x14ac:dyDescent="0.25">
      <c r="A363" s="36"/>
    </row>
    <row r="364" spans="1:1" ht="15.75" customHeight="1" x14ac:dyDescent="0.25">
      <c r="A364" s="36"/>
    </row>
    <row r="365" spans="1:1" ht="15.75" customHeight="1" x14ac:dyDescent="0.25">
      <c r="A365" s="36"/>
    </row>
    <row r="366" spans="1:1" ht="15.75" customHeight="1" x14ac:dyDescent="0.25">
      <c r="A366" s="36"/>
    </row>
    <row r="367" spans="1:1" ht="15.75" customHeight="1" x14ac:dyDescent="0.25">
      <c r="A367" s="36"/>
    </row>
    <row r="368" spans="1:1" ht="15.75" customHeight="1" x14ac:dyDescent="0.25">
      <c r="A368" s="36"/>
    </row>
    <row r="369" spans="1:1" ht="15.75" customHeight="1" x14ac:dyDescent="0.25">
      <c r="A369" s="36"/>
    </row>
    <row r="370" spans="1:1" ht="15.75" customHeight="1" x14ac:dyDescent="0.25">
      <c r="A370" s="36"/>
    </row>
    <row r="371" spans="1:1" ht="15.75" customHeight="1" x14ac:dyDescent="0.25">
      <c r="A371" s="36"/>
    </row>
    <row r="372" spans="1:1" ht="15.75" customHeight="1" x14ac:dyDescent="0.25">
      <c r="A372" s="36"/>
    </row>
    <row r="373" spans="1:1" ht="15.75" customHeight="1" x14ac:dyDescent="0.25">
      <c r="A373" s="36"/>
    </row>
    <row r="374" spans="1:1" ht="15.75" customHeight="1" x14ac:dyDescent="0.25">
      <c r="A374" s="36"/>
    </row>
    <row r="375" spans="1:1" ht="15.75" customHeight="1" x14ac:dyDescent="0.25">
      <c r="A375" s="36"/>
    </row>
    <row r="376" spans="1:1" ht="15.75" customHeight="1" x14ac:dyDescent="0.25">
      <c r="A376" s="36"/>
    </row>
    <row r="377" spans="1:1" ht="15.75" customHeight="1" x14ac:dyDescent="0.25">
      <c r="A377" s="36"/>
    </row>
    <row r="378" spans="1:1" ht="15.75" customHeight="1" x14ac:dyDescent="0.25">
      <c r="A378" s="36"/>
    </row>
    <row r="379" spans="1:1" ht="15.75" customHeight="1" x14ac:dyDescent="0.25">
      <c r="A379" s="36"/>
    </row>
    <row r="380" spans="1:1" ht="15.75" customHeight="1" x14ac:dyDescent="0.25">
      <c r="A380" s="36"/>
    </row>
    <row r="381" spans="1:1" ht="15.75" customHeight="1" x14ac:dyDescent="0.25">
      <c r="A381" s="36"/>
    </row>
    <row r="382" spans="1:1" ht="15.75" customHeight="1" x14ac:dyDescent="0.25">
      <c r="A382" s="36"/>
    </row>
    <row r="383" spans="1:1" ht="15.75" customHeight="1" x14ac:dyDescent="0.25">
      <c r="A383" s="36"/>
    </row>
    <row r="384" spans="1:1" ht="15.75" customHeight="1" x14ac:dyDescent="0.25">
      <c r="A384" s="36"/>
    </row>
    <row r="385" spans="1:1" ht="15.75" customHeight="1" x14ac:dyDescent="0.25">
      <c r="A385" s="36"/>
    </row>
    <row r="386" spans="1:1" ht="15.75" customHeight="1" x14ac:dyDescent="0.25">
      <c r="A386" s="36"/>
    </row>
    <row r="387" spans="1:1" ht="15.75" customHeight="1" x14ac:dyDescent="0.25">
      <c r="A387" s="36"/>
    </row>
    <row r="388" spans="1:1" ht="15.75" customHeight="1" x14ac:dyDescent="0.25">
      <c r="A388" s="36"/>
    </row>
    <row r="389" spans="1:1" ht="15.75" customHeight="1" x14ac:dyDescent="0.25">
      <c r="A389" s="36"/>
    </row>
    <row r="390" spans="1:1" ht="15.75" customHeight="1" x14ac:dyDescent="0.25">
      <c r="A390" s="36"/>
    </row>
    <row r="391" spans="1:1" ht="15.75" customHeight="1" x14ac:dyDescent="0.25">
      <c r="A391" s="36"/>
    </row>
    <row r="392" spans="1:1" ht="15.75" customHeight="1" x14ac:dyDescent="0.25">
      <c r="A392" s="36"/>
    </row>
    <row r="393" spans="1:1" ht="15.75" customHeight="1" x14ac:dyDescent="0.25">
      <c r="A393" s="36"/>
    </row>
    <row r="394" spans="1:1" ht="15.75" customHeight="1" x14ac:dyDescent="0.25">
      <c r="A394" s="36"/>
    </row>
    <row r="395" spans="1:1" ht="15.75" customHeight="1" x14ac:dyDescent="0.25">
      <c r="A395" s="36"/>
    </row>
    <row r="396" spans="1:1" ht="15.75" customHeight="1" x14ac:dyDescent="0.25">
      <c r="A396" s="36"/>
    </row>
    <row r="397" spans="1:1" ht="15.75" customHeight="1" x14ac:dyDescent="0.25">
      <c r="A397" s="36"/>
    </row>
    <row r="398" spans="1:1" ht="15.75" customHeight="1" x14ac:dyDescent="0.25">
      <c r="A398" s="36"/>
    </row>
    <row r="399" spans="1:1" ht="15.75" customHeight="1" x14ac:dyDescent="0.25">
      <c r="A399" s="36"/>
    </row>
    <row r="400" spans="1:1" ht="15.75" customHeight="1" x14ac:dyDescent="0.25">
      <c r="A400" s="36"/>
    </row>
    <row r="401" spans="1:1" ht="15.75" customHeight="1" x14ac:dyDescent="0.25">
      <c r="A401" s="36"/>
    </row>
    <row r="402" spans="1:1" ht="15.75" customHeight="1" x14ac:dyDescent="0.25">
      <c r="A402" s="36"/>
    </row>
    <row r="403" spans="1:1" ht="15.75" customHeight="1" x14ac:dyDescent="0.25">
      <c r="A403" s="36"/>
    </row>
    <row r="404" spans="1:1" ht="15.75" customHeight="1" x14ac:dyDescent="0.25">
      <c r="A404" s="36"/>
    </row>
    <row r="405" spans="1:1" ht="15.75" customHeight="1" x14ac:dyDescent="0.25">
      <c r="A405" s="36"/>
    </row>
    <row r="406" spans="1:1" ht="15.75" customHeight="1" x14ac:dyDescent="0.25">
      <c r="A406" s="36"/>
    </row>
    <row r="407" spans="1:1" ht="15.75" customHeight="1" x14ac:dyDescent="0.25">
      <c r="A407" s="36"/>
    </row>
    <row r="408" spans="1:1" ht="15.75" customHeight="1" x14ac:dyDescent="0.25">
      <c r="A408" s="36"/>
    </row>
    <row r="409" spans="1:1" ht="15.75" customHeight="1" x14ac:dyDescent="0.25">
      <c r="A409" s="36"/>
    </row>
    <row r="410" spans="1:1" ht="15.75" customHeight="1" x14ac:dyDescent="0.25">
      <c r="A410" s="36"/>
    </row>
    <row r="411" spans="1:1" ht="15.75" customHeight="1" x14ac:dyDescent="0.25">
      <c r="A411" s="36"/>
    </row>
    <row r="412" spans="1:1" ht="15.75" customHeight="1" x14ac:dyDescent="0.25">
      <c r="A412" s="36"/>
    </row>
    <row r="413" spans="1:1" ht="15.75" customHeight="1" x14ac:dyDescent="0.25">
      <c r="A413" s="36"/>
    </row>
    <row r="414" spans="1:1" ht="15.75" customHeight="1" x14ac:dyDescent="0.25">
      <c r="A414" s="36"/>
    </row>
    <row r="415" spans="1:1" ht="15.75" customHeight="1" x14ac:dyDescent="0.25">
      <c r="A415" s="36"/>
    </row>
    <row r="416" spans="1:1" ht="15.75" customHeight="1" x14ac:dyDescent="0.25">
      <c r="A416" s="36"/>
    </row>
    <row r="417" spans="1:1" ht="15.75" customHeight="1" x14ac:dyDescent="0.25">
      <c r="A417" s="36"/>
    </row>
    <row r="418" spans="1:1" ht="15.75" customHeight="1" x14ac:dyDescent="0.25">
      <c r="A418" s="36"/>
    </row>
    <row r="419" spans="1:1" ht="15.75" customHeight="1" x14ac:dyDescent="0.25">
      <c r="A419" s="36"/>
    </row>
    <row r="420" spans="1:1" ht="15.75" customHeight="1" x14ac:dyDescent="0.25">
      <c r="A420" s="36"/>
    </row>
    <row r="421" spans="1:1" ht="15.75" customHeight="1" x14ac:dyDescent="0.25">
      <c r="A421" s="36"/>
    </row>
    <row r="422" spans="1:1" ht="15.75" customHeight="1" x14ac:dyDescent="0.25">
      <c r="A422" s="36"/>
    </row>
    <row r="423" spans="1:1" ht="15.75" customHeight="1" x14ac:dyDescent="0.25">
      <c r="A423" s="36"/>
    </row>
    <row r="424" spans="1:1" ht="15.75" customHeight="1" x14ac:dyDescent="0.25">
      <c r="A424" s="36"/>
    </row>
    <row r="425" spans="1:1" ht="15.75" customHeight="1" x14ac:dyDescent="0.25">
      <c r="A425" s="36"/>
    </row>
    <row r="426" spans="1:1" ht="15.75" customHeight="1" x14ac:dyDescent="0.25">
      <c r="A426" s="36"/>
    </row>
    <row r="427" spans="1:1" ht="15.75" customHeight="1" x14ac:dyDescent="0.25">
      <c r="A427" s="36"/>
    </row>
    <row r="428" spans="1:1" ht="15.75" customHeight="1" x14ac:dyDescent="0.25">
      <c r="A428" s="36"/>
    </row>
    <row r="429" spans="1:1" ht="15.75" customHeight="1" x14ac:dyDescent="0.25">
      <c r="A429" s="36"/>
    </row>
    <row r="430" spans="1:1" ht="15.75" customHeight="1" x14ac:dyDescent="0.25">
      <c r="A430" s="36"/>
    </row>
    <row r="431" spans="1:1" ht="15.75" customHeight="1" x14ac:dyDescent="0.25">
      <c r="A431" s="36"/>
    </row>
    <row r="432" spans="1:1" ht="15.75" customHeight="1" x14ac:dyDescent="0.25">
      <c r="A432" s="36"/>
    </row>
    <row r="433" spans="1:1" ht="15.75" customHeight="1" x14ac:dyDescent="0.25">
      <c r="A433" s="36"/>
    </row>
    <row r="434" spans="1:1" ht="15.75" customHeight="1" x14ac:dyDescent="0.25">
      <c r="A434" s="36"/>
    </row>
    <row r="435" spans="1:1" ht="15.75" customHeight="1" x14ac:dyDescent="0.25">
      <c r="A435" s="36"/>
    </row>
    <row r="436" spans="1:1" ht="15.75" customHeight="1" x14ac:dyDescent="0.25">
      <c r="A436" s="36"/>
    </row>
    <row r="437" spans="1:1" ht="15.75" customHeight="1" x14ac:dyDescent="0.25">
      <c r="A437" s="36"/>
    </row>
    <row r="438" spans="1:1" ht="15.75" customHeight="1" x14ac:dyDescent="0.25">
      <c r="A438" s="36"/>
    </row>
    <row r="439" spans="1:1" ht="15.75" customHeight="1" x14ac:dyDescent="0.25">
      <c r="A439" s="36"/>
    </row>
    <row r="440" spans="1:1" ht="15.75" customHeight="1" x14ac:dyDescent="0.25">
      <c r="A440" s="36"/>
    </row>
    <row r="441" spans="1:1" ht="15.75" customHeight="1" x14ac:dyDescent="0.25">
      <c r="A441" s="36"/>
    </row>
    <row r="442" spans="1:1" ht="15.75" customHeight="1" x14ac:dyDescent="0.25">
      <c r="A442" s="36"/>
    </row>
    <row r="443" spans="1:1" ht="15.75" customHeight="1" x14ac:dyDescent="0.25">
      <c r="A443" s="36"/>
    </row>
    <row r="444" spans="1:1" ht="15.75" customHeight="1" x14ac:dyDescent="0.25">
      <c r="A444" s="36"/>
    </row>
    <row r="445" spans="1:1" ht="15.75" customHeight="1" x14ac:dyDescent="0.25">
      <c r="A445" s="36"/>
    </row>
    <row r="446" spans="1:1" ht="15.75" customHeight="1" x14ac:dyDescent="0.25">
      <c r="A446" s="36"/>
    </row>
    <row r="447" spans="1:1" ht="15.75" customHeight="1" x14ac:dyDescent="0.25">
      <c r="A447" s="36"/>
    </row>
    <row r="448" spans="1:1" ht="15.75" customHeight="1" x14ac:dyDescent="0.25">
      <c r="A448" s="36"/>
    </row>
    <row r="449" spans="1:1" ht="15.75" customHeight="1" x14ac:dyDescent="0.25">
      <c r="A449" s="36"/>
    </row>
    <row r="450" spans="1:1" ht="15.75" customHeight="1" x14ac:dyDescent="0.25">
      <c r="A450" s="36"/>
    </row>
    <row r="451" spans="1:1" ht="15.75" customHeight="1" x14ac:dyDescent="0.25">
      <c r="A451" s="36"/>
    </row>
    <row r="452" spans="1:1" ht="15.75" customHeight="1" x14ac:dyDescent="0.25">
      <c r="A452" s="36"/>
    </row>
    <row r="453" spans="1:1" ht="15.75" customHeight="1" x14ac:dyDescent="0.25">
      <c r="A453" s="36"/>
    </row>
    <row r="454" spans="1:1" ht="15.75" customHeight="1" x14ac:dyDescent="0.25">
      <c r="A454" s="36"/>
    </row>
    <row r="455" spans="1:1" ht="15.75" customHeight="1" x14ac:dyDescent="0.25">
      <c r="A455" s="36"/>
    </row>
    <row r="456" spans="1:1" ht="15.75" customHeight="1" x14ac:dyDescent="0.25">
      <c r="A456" s="36"/>
    </row>
    <row r="457" spans="1:1" ht="15.75" customHeight="1" x14ac:dyDescent="0.25">
      <c r="A457" s="36"/>
    </row>
    <row r="458" spans="1:1" ht="15.75" customHeight="1" x14ac:dyDescent="0.25">
      <c r="A458" s="36"/>
    </row>
    <row r="459" spans="1:1" ht="15.75" customHeight="1" x14ac:dyDescent="0.25">
      <c r="A459" s="36"/>
    </row>
    <row r="460" spans="1:1" ht="15.75" customHeight="1" x14ac:dyDescent="0.25">
      <c r="A460" s="36"/>
    </row>
    <row r="461" spans="1:1" ht="15.75" customHeight="1" x14ac:dyDescent="0.25">
      <c r="A461" s="36"/>
    </row>
    <row r="462" spans="1:1" ht="15.75" customHeight="1" x14ac:dyDescent="0.25">
      <c r="A462" s="36"/>
    </row>
    <row r="463" spans="1:1" ht="15.75" customHeight="1" x14ac:dyDescent="0.25">
      <c r="A463" s="36"/>
    </row>
    <row r="464" spans="1:1" ht="15.75" customHeight="1" x14ac:dyDescent="0.25">
      <c r="A464" s="36"/>
    </row>
    <row r="465" spans="1:1" ht="15.75" customHeight="1" x14ac:dyDescent="0.25">
      <c r="A465" s="36"/>
    </row>
    <row r="466" spans="1:1" ht="15.75" customHeight="1" x14ac:dyDescent="0.25">
      <c r="A466" s="36"/>
    </row>
    <row r="467" spans="1:1" ht="15.75" customHeight="1" x14ac:dyDescent="0.25">
      <c r="A467" s="36"/>
    </row>
    <row r="468" spans="1:1" ht="15.75" customHeight="1" x14ac:dyDescent="0.25">
      <c r="A468" s="36"/>
    </row>
    <row r="469" spans="1:1" ht="15.75" customHeight="1" x14ac:dyDescent="0.25">
      <c r="A469" s="36"/>
    </row>
    <row r="470" spans="1:1" ht="15.75" customHeight="1" x14ac:dyDescent="0.25">
      <c r="A470" s="36"/>
    </row>
    <row r="471" spans="1:1" ht="15.75" customHeight="1" x14ac:dyDescent="0.25">
      <c r="A471" s="36"/>
    </row>
    <row r="472" spans="1:1" ht="15.75" customHeight="1" x14ac:dyDescent="0.25">
      <c r="A472" s="36"/>
    </row>
    <row r="473" spans="1:1" ht="15.75" customHeight="1" x14ac:dyDescent="0.25">
      <c r="A473" s="36"/>
    </row>
    <row r="474" spans="1:1" ht="15.75" customHeight="1" x14ac:dyDescent="0.25">
      <c r="A474" s="36"/>
    </row>
    <row r="475" spans="1:1" ht="15.75" customHeight="1" x14ac:dyDescent="0.25">
      <c r="A475" s="36"/>
    </row>
    <row r="476" spans="1:1" ht="15.75" customHeight="1" x14ac:dyDescent="0.25">
      <c r="A476" s="36"/>
    </row>
    <row r="477" spans="1:1" ht="15.75" customHeight="1" x14ac:dyDescent="0.25">
      <c r="A477" s="36"/>
    </row>
    <row r="478" spans="1:1" ht="15.75" customHeight="1" x14ac:dyDescent="0.25">
      <c r="A478" s="36"/>
    </row>
    <row r="479" spans="1:1" ht="15.75" customHeight="1" x14ac:dyDescent="0.25">
      <c r="A479" s="36"/>
    </row>
    <row r="480" spans="1:1" ht="15.75" customHeight="1" x14ac:dyDescent="0.25">
      <c r="A480" s="36"/>
    </row>
    <row r="481" spans="1:1" ht="15.75" customHeight="1" x14ac:dyDescent="0.25">
      <c r="A481" s="36"/>
    </row>
    <row r="482" spans="1:1" ht="15.75" customHeight="1" x14ac:dyDescent="0.25">
      <c r="A482" s="36"/>
    </row>
    <row r="483" spans="1:1" ht="15.75" customHeight="1" x14ac:dyDescent="0.25">
      <c r="A483" s="36"/>
    </row>
    <row r="484" spans="1:1" ht="15.75" customHeight="1" x14ac:dyDescent="0.25">
      <c r="A484" s="36"/>
    </row>
    <row r="485" spans="1:1" ht="15.75" customHeight="1" x14ac:dyDescent="0.25">
      <c r="A485" s="36"/>
    </row>
    <row r="486" spans="1:1" ht="15.75" customHeight="1" x14ac:dyDescent="0.25">
      <c r="A486" s="36"/>
    </row>
    <row r="487" spans="1:1" ht="15.75" customHeight="1" x14ac:dyDescent="0.25">
      <c r="A487" s="36"/>
    </row>
    <row r="488" spans="1:1" ht="15.75" customHeight="1" x14ac:dyDescent="0.25">
      <c r="A488" s="36"/>
    </row>
    <row r="489" spans="1:1" ht="15.75" customHeight="1" x14ac:dyDescent="0.25">
      <c r="A489" s="36"/>
    </row>
    <row r="490" spans="1:1" ht="15.75" customHeight="1" x14ac:dyDescent="0.25">
      <c r="A490" s="36"/>
    </row>
    <row r="491" spans="1:1" ht="15.75" customHeight="1" x14ac:dyDescent="0.25">
      <c r="A491" s="36"/>
    </row>
    <row r="492" spans="1:1" ht="15.75" customHeight="1" x14ac:dyDescent="0.25">
      <c r="A492" s="36"/>
    </row>
    <row r="493" spans="1:1" ht="15.75" customHeight="1" x14ac:dyDescent="0.25">
      <c r="A493" s="36"/>
    </row>
    <row r="494" spans="1:1" ht="15.75" customHeight="1" x14ac:dyDescent="0.25">
      <c r="A494" s="36"/>
    </row>
    <row r="495" spans="1:1" ht="15.75" customHeight="1" x14ac:dyDescent="0.25">
      <c r="A495" s="36"/>
    </row>
    <row r="496" spans="1:1" ht="15.75" customHeight="1" x14ac:dyDescent="0.25">
      <c r="A496" s="36"/>
    </row>
    <row r="497" spans="1:1" ht="15.75" customHeight="1" x14ac:dyDescent="0.25">
      <c r="A497" s="36"/>
    </row>
    <row r="498" spans="1:1" ht="15.75" customHeight="1" x14ac:dyDescent="0.25">
      <c r="A498" s="36"/>
    </row>
    <row r="499" spans="1:1" ht="15.75" customHeight="1" x14ac:dyDescent="0.25">
      <c r="A499" s="36"/>
    </row>
    <row r="500" spans="1:1" ht="15.75" customHeight="1" x14ac:dyDescent="0.25">
      <c r="A500" s="36"/>
    </row>
    <row r="501" spans="1:1" ht="15.75" customHeight="1" x14ac:dyDescent="0.25">
      <c r="A501" s="36"/>
    </row>
    <row r="502" spans="1:1" ht="15.75" customHeight="1" x14ac:dyDescent="0.25">
      <c r="A502" s="36"/>
    </row>
    <row r="503" spans="1:1" ht="15.75" customHeight="1" x14ac:dyDescent="0.25">
      <c r="A503" s="36"/>
    </row>
    <row r="504" spans="1:1" ht="15.75" customHeight="1" x14ac:dyDescent="0.25">
      <c r="A504" s="36"/>
    </row>
    <row r="505" spans="1:1" ht="15.75" customHeight="1" x14ac:dyDescent="0.25">
      <c r="A505" s="36"/>
    </row>
    <row r="506" spans="1:1" ht="15.75" customHeight="1" x14ac:dyDescent="0.25">
      <c r="A506" s="36"/>
    </row>
    <row r="507" spans="1:1" ht="15.75" customHeight="1" x14ac:dyDescent="0.25">
      <c r="A507" s="36"/>
    </row>
    <row r="508" spans="1:1" ht="15.75" customHeight="1" x14ac:dyDescent="0.25">
      <c r="A508" s="36"/>
    </row>
    <row r="509" spans="1:1" ht="15.75" customHeight="1" x14ac:dyDescent="0.25">
      <c r="A509" s="36"/>
    </row>
    <row r="510" spans="1:1" ht="15.75" customHeight="1" x14ac:dyDescent="0.25">
      <c r="A510" s="36"/>
    </row>
    <row r="511" spans="1:1" ht="15.75" customHeight="1" x14ac:dyDescent="0.25">
      <c r="A511" s="36"/>
    </row>
    <row r="512" spans="1:1" ht="15.75" customHeight="1" x14ac:dyDescent="0.25">
      <c r="A512" s="36"/>
    </row>
    <row r="513" spans="1:1" ht="15.75" customHeight="1" x14ac:dyDescent="0.25">
      <c r="A513" s="36"/>
    </row>
    <row r="514" spans="1:1" ht="15.75" customHeight="1" x14ac:dyDescent="0.25">
      <c r="A514" s="36"/>
    </row>
    <row r="515" spans="1:1" ht="15.75" customHeight="1" x14ac:dyDescent="0.25">
      <c r="A515" s="36"/>
    </row>
    <row r="516" spans="1:1" ht="15.75" customHeight="1" x14ac:dyDescent="0.25">
      <c r="A516" s="36"/>
    </row>
    <row r="517" spans="1:1" ht="15.75" customHeight="1" x14ac:dyDescent="0.25">
      <c r="A517" s="36"/>
    </row>
    <row r="518" spans="1:1" ht="15.75" customHeight="1" x14ac:dyDescent="0.25">
      <c r="A518" s="36"/>
    </row>
    <row r="519" spans="1:1" ht="15.75" customHeight="1" x14ac:dyDescent="0.25">
      <c r="A519" s="36"/>
    </row>
    <row r="520" spans="1:1" ht="15.75" customHeight="1" x14ac:dyDescent="0.25">
      <c r="A520" s="36"/>
    </row>
    <row r="521" spans="1:1" ht="15.75" customHeight="1" x14ac:dyDescent="0.25">
      <c r="A521" s="36"/>
    </row>
    <row r="522" spans="1:1" ht="15.75" customHeight="1" x14ac:dyDescent="0.25">
      <c r="A522" s="36"/>
    </row>
    <row r="523" spans="1:1" ht="15.75" customHeight="1" x14ac:dyDescent="0.25">
      <c r="A523" s="36"/>
    </row>
    <row r="524" spans="1:1" ht="15.75" customHeight="1" x14ac:dyDescent="0.25">
      <c r="A524" s="36"/>
    </row>
    <row r="525" spans="1:1" ht="15.75" customHeight="1" x14ac:dyDescent="0.25">
      <c r="A525" s="36"/>
    </row>
    <row r="526" spans="1:1" ht="15.75" customHeight="1" x14ac:dyDescent="0.25">
      <c r="A526" s="36"/>
    </row>
    <row r="527" spans="1:1" ht="15.75" customHeight="1" x14ac:dyDescent="0.25">
      <c r="A527" s="36"/>
    </row>
    <row r="528" spans="1:1" ht="15.75" customHeight="1" x14ac:dyDescent="0.25">
      <c r="A528" s="36"/>
    </row>
    <row r="529" spans="1:1" ht="15.75" customHeight="1" x14ac:dyDescent="0.25">
      <c r="A529" s="36"/>
    </row>
    <row r="530" spans="1:1" ht="15.75" customHeight="1" x14ac:dyDescent="0.25">
      <c r="A530" s="36"/>
    </row>
    <row r="531" spans="1:1" ht="15.75" customHeight="1" x14ac:dyDescent="0.25">
      <c r="A531" s="36"/>
    </row>
    <row r="532" spans="1:1" ht="15.75" customHeight="1" x14ac:dyDescent="0.25">
      <c r="A532" s="36"/>
    </row>
    <row r="533" spans="1:1" ht="15.75" customHeight="1" x14ac:dyDescent="0.25">
      <c r="A533" s="36"/>
    </row>
    <row r="534" spans="1:1" ht="15.75" customHeight="1" x14ac:dyDescent="0.25">
      <c r="A534" s="36"/>
    </row>
    <row r="535" spans="1:1" ht="15.75" customHeight="1" x14ac:dyDescent="0.25">
      <c r="A535" s="36"/>
    </row>
    <row r="536" spans="1:1" ht="15.75" customHeight="1" x14ac:dyDescent="0.25">
      <c r="A536" s="36"/>
    </row>
    <row r="537" spans="1:1" ht="15.75" customHeight="1" x14ac:dyDescent="0.25">
      <c r="A537" s="36"/>
    </row>
    <row r="538" spans="1:1" ht="15.75" customHeight="1" x14ac:dyDescent="0.25">
      <c r="A538" s="36"/>
    </row>
    <row r="539" spans="1:1" ht="15.75" customHeight="1" x14ac:dyDescent="0.25">
      <c r="A539" s="36"/>
    </row>
    <row r="540" spans="1:1" ht="15.75" customHeight="1" x14ac:dyDescent="0.25">
      <c r="A540" s="36"/>
    </row>
    <row r="541" spans="1:1" ht="15.75" customHeight="1" x14ac:dyDescent="0.25">
      <c r="A541" s="36"/>
    </row>
    <row r="542" spans="1:1" ht="15.75" customHeight="1" x14ac:dyDescent="0.25">
      <c r="A542" s="36"/>
    </row>
    <row r="543" spans="1:1" ht="15.75" customHeight="1" x14ac:dyDescent="0.25">
      <c r="A543" s="36"/>
    </row>
    <row r="544" spans="1:1" ht="15.75" customHeight="1" x14ac:dyDescent="0.25">
      <c r="A544" s="36"/>
    </row>
    <row r="545" spans="1:1" ht="15.75" customHeight="1" x14ac:dyDescent="0.25">
      <c r="A545" s="36"/>
    </row>
    <row r="546" spans="1:1" ht="15.75" customHeight="1" x14ac:dyDescent="0.25">
      <c r="A546" s="36"/>
    </row>
    <row r="547" spans="1:1" ht="15.75" customHeight="1" x14ac:dyDescent="0.25">
      <c r="A547" s="36"/>
    </row>
    <row r="548" spans="1:1" ht="15.75" customHeight="1" x14ac:dyDescent="0.25">
      <c r="A548" s="36"/>
    </row>
    <row r="549" spans="1:1" ht="15.75" customHeight="1" x14ac:dyDescent="0.25">
      <c r="A549" s="36"/>
    </row>
    <row r="550" spans="1:1" ht="15.75" customHeight="1" x14ac:dyDescent="0.25">
      <c r="A550" s="36"/>
    </row>
    <row r="551" spans="1:1" ht="15.75" customHeight="1" x14ac:dyDescent="0.25">
      <c r="A551" s="36"/>
    </row>
    <row r="552" spans="1:1" ht="15.75" customHeight="1" x14ac:dyDescent="0.25">
      <c r="A552" s="36"/>
    </row>
    <row r="553" spans="1:1" ht="15.75" customHeight="1" x14ac:dyDescent="0.25">
      <c r="A553" s="36"/>
    </row>
    <row r="554" spans="1:1" ht="15.75" customHeight="1" x14ac:dyDescent="0.25">
      <c r="A554" s="36"/>
    </row>
    <row r="555" spans="1:1" ht="15.75" customHeight="1" x14ac:dyDescent="0.25">
      <c r="A555" s="36"/>
    </row>
    <row r="556" spans="1:1" ht="15.75" customHeight="1" x14ac:dyDescent="0.25">
      <c r="A556" s="36"/>
    </row>
    <row r="557" spans="1:1" ht="15.75" customHeight="1" x14ac:dyDescent="0.25">
      <c r="A557" s="36"/>
    </row>
    <row r="558" spans="1:1" ht="15.75" customHeight="1" x14ac:dyDescent="0.25">
      <c r="A558" s="36"/>
    </row>
    <row r="559" spans="1:1" ht="15.75" customHeight="1" x14ac:dyDescent="0.25">
      <c r="A559" s="36"/>
    </row>
    <row r="560" spans="1:1" ht="15.75" customHeight="1" x14ac:dyDescent="0.25">
      <c r="A560" s="36"/>
    </row>
    <row r="561" spans="1:1" ht="15.75" customHeight="1" x14ac:dyDescent="0.25">
      <c r="A561" s="36"/>
    </row>
    <row r="562" spans="1:1" ht="15.75" customHeight="1" x14ac:dyDescent="0.25">
      <c r="A562" s="36"/>
    </row>
    <row r="563" spans="1:1" ht="15.75" customHeight="1" x14ac:dyDescent="0.25">
      <c r="A563" s="36"/>
    </row>
    <row r="564" spans="1:1" ht="15.75" customHeight="1" x14ac:dyDescent="0.25">
      <c r="A564" s="36"/>
    </row>
    <row r="565" spans="1:1" ht="15.75" customHeight="1" x14ac:dyDescent="0.25">
      <c r="A565" s="36"/>
    </row>
    <row r="566" spans="1:1" ht="15.75" customHeight="1" x14ac:dyDescent="0.25">
      <c r="A566" s="36"/>
    </row>
    <row r="567" spans="1:1" ht="15.75" customHeight="1" x14ac:dyDescent="0.25">
      <c r="A567" s="36"/>
    </row>
    <row r="568" spans="1:1" ht="15.75" customHeight="1" x14ac:dyDescent="0.25">
      <c r="A568" s="36"/>
    </row>
    <row r="569" spans="1:1" ht="15.75" customHeight="1" x14ac:dyDescent="0.25">
      <c r="A569" s="36"/>
    </row>
    <row r="570" spans="1:1" ht="15.75" customHeight="1" x14ac:dyDescent="0.25">
      <c r="A570" s="36"/>
    </row>
    <row r="571" spans="1:1" ht="15.75" customHeight="1" x14ac:dyDescent="0.25">
      <c r="A571" s="36"/>
    </row>
    <row r="572" spans="1:1" ht="15.75" customHeight="1" x14ac:dyDescent="0.25">
      <c r="A572" s="36"/>
    </row>
    <row r="573" spans="1:1" ht="15.75" customHeight="1" x14ac:dyDescent="0.25">
      <c r="A573" s="36"/>
    </row>
    <row r="574" spans="1:1" ht="15.75" customHeight="1" x14ac:dyDescent="0.25">
      <c r="A574" s="36"/>
    </row>
    <row r="575" spans="1:1" ht="15.75" customHeight="1" x14ac:dyDescent="0.25">
      <c r="A575" s="36"/>
    </row>
    <row r="576" spans="1:1" ht="15.75" customHeight="1" x14ac:dyDescent="0.25">
      <c r="A576" s="36"/>
    </row>
    <row r="577" spans="1:1" ht="15.75" customHeight="1" x14ac:dyDescent="0.25">
      <c r="A577" s="36"/>
    </row>
    <row r="578" spans="1:1" ht="15.75" customHeight="1" x14ac:dyDescent="0.25">
      <c r="A578" s="36"/>
    </row>
    <row r="579" spans="1:1" ht="15.75" customHeight="1" x14ac:dyDescent="0.25">
      <c r="A579" s="36"/>
    </row>
    <row r="580" spans="1:1" ht="15.75" customHeight="1" x14ac:dyDescent="0.25">
      <c r="A580" s="36"/>
    </row>
    <row r="581" spans="1:1" ht="15.75" customHeight="1" x14ac:dyDescent="0.25">
      <c r="A581" s="36"/>
    </row>
    <row r="582" spans="1:1" ht="15.75" customHeight="1" x14ac:dyDescent="0.25">
      <c r="A582" s="36"/>
    </row>
    <row r="583" spans="1:1" ht="15.75" customHeight="1" x14ac:dyDescent="0.25">
      <c r="A583" s="36"/>
    </row>
    <row r="584" spans="1:1" ht="15.75" customHeight="1" x14ac:dyDescent="0.25">
      <c r="A584" s="36"/>
    </row>
    <row r="585" spans="1:1" ht="15.75" customHeight="1" x14ac:dyDescent="0.25">
      <c r="A585" s="36"/>
    </row>
    <row r="586" spans="1:1" ht="15.75" customHeight="1" x14ac:dyDescent="0.25">
      <c r="A586" s="36"/>
    </row>
    <row r="587" spans="1:1" ht="15.75" customHeight="1" x14ac:dyDescent="0.25">
      <c r="A587" s="36"/>
    </row>
    <row r="588" spans="1:1" ht="15.75" customHeight="1" x14ac:dyDescent="0.25">
      <c r="A588" s="36"/>
    </row>
    <row r="589" spans="1:1" ht="15.75" customHeight="1" x14ac:dyDescent="0.25">
      <c r="A589" s="36"/>
    </row>
    <row r="590" spans="1:1" ht="15.75" customHeight="1" x14ac:dyDescent="0.25">
      <c r="A590" s="36"/>
    </row>
    <row r="591" spans="1:1" ht="15.75" customHeight="1" x14ac:dyDescent="0.25">
      <c r="A591" s="36"/>
    </row>
    <row r="592" spans="1:1" ht="15.75" customHeight="1" x14ac:dyDescent="0.25">
      <c r="A592" s="36"/>
    </row>
    <row r="593" spans="1:1" ht="15.75" customHeight="1" x14ac:dyDescent="0.25">
      <c r="A593" s="36"/>
    </row>
    <row r="594" spans="1:1" ht="15.75" customHeight="1" x14ac:dyDescent="0.25">
      <c r="A594" s="36"/>
    </row>
    <row r="595" spans="1:1" ht="15.75" customHeight="1" x14ac:dyDescent="0.25">
      <c r="A595" s="36"/>
    </row>
    <row r="596" spans="1:1" ht="15.75" customHeight="1" x14ac:dyDescent="0.25">
      <c r="A596" s="36"/>
    </row>
    <row r="597" spans="1:1" ht="15.75" customHeight="1" x14ac:dyDescent="0.25">
      <c r="A597" s="36"/>
    </row>
    <row r="598" spans="1:1" ht="15.75" customHeight="1" x14ac:dyDescent="0.25">
      <c r="A598" s="36"/>
    </row>
    <row r="599" spans="1:1" ht="15.75" customHeight="1" x14ac:dyDescent="0.25">
      <c r="A599" s="36"/>
    </row>
    <row r="600" spans="1:1" ht="15.75" customHeight="1" x14ac:dyDescent="0.25">
      <c r="A600" s="36"/>
    </row>
    <row r="601" spans="1:1" ht="15.75" customHeight="1" x14ac:dyDescent="0.25">
      <c r="A601" s="36"/>
    </row>
    <row r="602" spans="1:1" ht="15.75" customHeight="1" x14ac:dyDescent="0.25">
      <c r="A602" s="36"/>
    </row>
    <row r="603" spans="1:1" ht="15.75" customHeight="1" x14ac:dyDescent="0.25">
      <c r="A603" s="36"/>
    </row>
    <row r="604" spans="1:1" ht="15.75" customHeight="1" x14ac:dyDescent="0.25">
      <c r="A604" s="36"/>
    </row>
    <row r="605" spans="1:1" ht="15.75" customHeight="1" x14ac:dyDescent="0.25">
      <c r="A605" s="36"/>
    </row>
    <row r="606" spans="1:1" ht="15.75" customHeight="1" x14ac:dyDescent="0.25">
      <c r="A606" s="36"/>
    </row>
    <row r="607" spans="1:1" ht="15.75" customHeight="1" x14ac:dyDescent="0.25">
      <c r="A607" s="36"/>
    </row>
    <row r="608" spans="1:1" ht="15.75" customHeight="1" x14ac:dyDescent="0.25">
      <c r="A608" s="36"/>
    </row>
    <row r="609" spans="1:1" ht="15.75" customHeight="1" x14ac:dyDescent="0.25">
      <c r="A609" s="36"/>
    </row>
    <row r="610" spans="1:1" ht="15.75" customHeight="1" x14ac:dyDescent="0.25">
      <c r="A610" s="36"/>
    </row>
    <row r="611" spans="1:1" ht="15.75" customHeight="1" x14ac:dyDescent="0.25">
      <c r="A611" s="36"/>
    </row>
    <row r="612" spans="1:1" ht="15.75" customHeight="1" x14ac:dyDescent="0.25">
      <c r="A612" s="36"/>
    </row>
    <row r="613" spans="1:1" ht="15.75" customHeight="1" x14ac:dyDescent="0.25">
      <c r="A613" s="36"/>
    </row>
    <row r="614" spans="1:1" ht="15.75" customHeight="1" x14ac:dyDescent="0.25">
      <c r="A614" s="36"/>
    </row>
    <row r="615" spans="1:1" ht="15.75" customHeight="1" x14ac:dyDescent="0.25">
      <c r="A615" s="36"/>
    </row>
    <row r="616" spans="1:1" ht="15.75" customHeight="1" x14ac:dyDescent="0.25">
      <c r="A616" s="36"/>
    </row>
    <row r="617" spans="1:1" ht="15.75" customHeight="1" x14ac:dyDescent="0.25">
      <c r="A617" s="36"/>
    </row>
    <row r="618" spans="1:1" ht="15.75" customHeight="1" x14ac:dyDescent="0.25">
      <c r="A618" s="36"/>
    </row>
    <row r="619" spans="1:1" ht="15.75" customHeight="1" x14ac:dyDescent="0.25">
      <c r="A619" s="36"/>
    </row>
    <row r="620" spans="1:1" ht="15.75" customHeight="1" x14ac:dyDescent="0.25">
      <c r="A620" s="36"/>
    </row>
    <row r="621" spans="1:1" ht="15.75" customHeight="1" x14ac:dyDescent="0.25">
      <c r="A621" s="36"/>
    </row>
    <row r="622" spans="1:1" ht="15.75" customHeight="1" x14ac:dyDescent="0.25">
      <c r="A622" s="36"/>
    </row>
    <row r="623" spans="1:1" ht="15.75" customHeight="1" x14ac:dyDescent="0.25">
      <c r="A623" s="36"/>
    </row>
    <row r="624" spans="1:1" ht="15.75" customHeight="1" x14ac:dyDescent="0.25">
      <c r="A624" s="36"/>
    </row>
    <row r="625" spans="1:1" ht="15.75" customHeight="1" x14ac:dyDescent="0.25">
      <c r="A625" s="36"/>
    </row>
    <row r="626" spans="1:1" ht="15.75" customHeight="1" x14ac:dyDescent="0.25">
      <c r="A626" s="36"/>
    </row>
    <row r="627" spans="1:1" ht="15.75" customHeight="1" x14ac:dyDescent="0.25">
      <c r="A627" s="36"/>
    </row>
    <row r="628" spans="1:1" ht="15.75" customHeight="1" x14ac:dyDescent="0.25">
      <c r="A628" s="36"/>
    </row>
    <row r="629" spans="1:1" ht="15.75" customHeight="1" x14ac:dyDescent="0.25">
      <c r="A629" s="36"/>
    </row>
    <row r="630" spans="1:1" ht="15.75" customHeight="1" x14ac:dyDescent="0.25">
      <c r="A630" s="36"/>
    </row>
    <row r="631" spans="1:1" ht="15.75" customHeight="1" x14ac:dyDescent="0.25">
      <c r="A631" s="36"/>
    </row>
    <row r="632" spans="1:1" ht="15.75" customHeight="1" x14ac:dyDescent="0.25">
      <c r="A632" s="36"/>
    </row>
    <row r="633" spans="1:1" ht="15.75" customHeight="1" x14ac:dyDescent="0.25">
      <c r="A633" s="36"/>
    </row>
    <row r="634" spans="1:1" ht="15.75" customHeight="1" x14ac:dyDescent="0.25">
      <c r="A634" s="36"/>
    </row>
    <row r="635" spans="1:1" ht="15.75" customHeight="1" x14ac:dyDescent="0.25">
      <c r="A635" s="36"/>
    </row>
    <row r="636" spans="1:1" ht="15.75" customHeight="1" x14ac:dyDescent="0.25">
      <c r="A636" s="36"/>
    </row>
    <row r="637" spans="1:1" ht="15.75" customHeight="1" x14ac:dyDescent="0.25">
      <c r="A637" s="36"/>
    </row>
    <row r="638" spans="1:1" ht="15.75" customHeight="1" x14ac:dyDescent="0.25">
      <c r="A638" s="36"/>
    </row>
    <row r="639" spans="1:1" ht="15.75" customHeight="1" x14ac:dyDescent="0.25">
      <c r="A639" s="36"/>
    </row>
    <row r="640" spans="1:1" ht="15.75" customHeight="1" x14ac:dyDescent="0.25">
      <c r="A640" s="36"/>
    </row>
    <row r="641" spans="1:1" ht="15.75" customHeight="1" x14ac:dyDescent="0.25">
      <c r="A641" s="36"/>
    </row>
    <row r="642" spans="1:1" ht="15.75" customHeight="1" x14ac:dyDescent="0.25">
      <c r="A642" s="36"/>
    </row>
    <row r="643" spans="1:1" ht="15.75" customHeight="1" x14ac:dyDescent="0.25">
      <c r="A643" s="36"/>
    </row>
    <row r="644" spans="1:1" ht="15.75" customHeight="1" x14ac:dyDescent="0.25">
      <c r="A644" s="36"/>
    </row>
    <row r="645" spans="1:1" ht="15.75" customHeight="1" x14ac:dyDescent="0.25">
      <c r="A645" s="36"/>
    </row>
    <row r="646" spans="1:1" ht="15.75" customHeight="1" x14ac:dyDescent="0.25">
      <c r="A646" s="36"/>
    </row>
    <row r="647" spans="1:1" ht="15.75" customHeight="1" x14ac:dyDescent="0.25">
      <c r="A647" s="36"/>
    </row>
    <row r="648" spans="1:1" ht="15.75" customHeight="1" x14ac:dyDescent="0.25">
      <c r="A648" s="36"/>
    </row>
    <row r="649" spans="1:1" ht="15.75" customHeight="1" x14ac:dyDescent="0.25">
      <c r="A649" s="36"/>
    </row>
    <row r="650" spans="1:1" ht="15.75" customHeight="1" x14ac:dyDescent="0.25">
      <c r="A650" s="36"/>
    </row>
    <row r="651" spans="1:1" ht="15.75" customHeight="1" x14ac:dyDescent="0.25">
      <c r="A651" s="36"/>
    </row>
    <row r="652" spans="1:1" ht="15.75" customHeight="1" x14ac:dyDescent="0.25">
      <c r="A652" s="36"/>
    </row>
    <row r="653" spans="1:1" ht="15.75" customHeight="1" x14ac:dyDescent="0.25">
      <c r="A653" s="36"/>
    </row>
    <row r="654" spans="1:1" ht="15.75" customHeight="1" x14ac:dyDescent="0.25">
      <c r="A654" s="36"/>
    </row>
    <row r="655" spans="1:1" ht="15.75" customHeight="1" x14ac:dyDescent="0.25">
      <c r="A655" s="36"/>
    </row>
    <row r="656" spans="1:1" ht="15.75" customHeight="1" x14ac:dyDescent="0.25">
      <c r="A656" s="36"/>
    </row>
    <row r="657" spans="1:1" ht="15.75" customHeight="1" x14ac:dyDescent="0.25">
      <c r="A657" s="36"/>
    </row>
    <row r="658" spans="1:1" ht="15.75" customHeight="1" x14ac:dyDescent="0.25">
      <c r="A658" s="36"/>
    </row>
    <row r="659" spans="1:1" ht="15.75" customHeight="1" x14ac:dyDescent="0.25">
      <c r="A659" s="36"/>
    </row>
    <row r="660" spans="1:1" ht="15.75" customHeight="1" x14ac:dyDescent="0.25">
      <c r="A660" s="36"/>
    </row>
    <row r="661" spans="1:1" ht="15.75" customHeight="1" x14ac:dyDescent="0.25">
      <c r="A661" s="36"/>
    </row>
    <row r="662" spans="1:1" ht="15.75" customHeight="1" x14ac:dyDescent="0.25">
      <c r="A662" s="36"/>
    </row>
    <row r="663" spans="1:1" ht="15.75" customHeight="1" x14ac:dyDescent="0.25">
      <c r="A663" s="36"/>
    </row>
    <row r="664" spans="1:1" ht="15.75" customHeight="1" x14ac:dyDescent="0.25">
      <c r="A664" s="36"/>
    </row>
    <row r="665" spans="1:1" ht="15.75" customHeight="1" x14ac:dyDescent="0.25">
      <c r="A665" s="36"/>
    </row>
    <row r="666" spans="1:1" ht="15.75" customHeight="1" x14ac:dyDescent="0.25">
      <c r="A666" s="36"/>
    </row>
    <row r="667" spans="1:1" ht="15.75" customHeight="1" x14ac:dyDescent="0.25">
      <c r="A667" s="36"/>
    </row>
    <row r="668" spans="1:1" ht="15.75" customHeight="1" x14ac:dyDescent="0.25">
      <c r="A668" s="36"/>
    </row>
    <row r="669" spans="1:1" ht="15.75" customHeight="1" x14ac:dyDescent="0.25">
      <c r="A669" s="36"/>
    </row>
    <row r="670" spans="1:1" ht="15.75" customHeight="1" x14ac:dyDescent="0.25">
      <c r="A670" s="36"/>
    </row>
    <row r="671" spans="1:1" ht="15.75" customHeight="1" x14ac:dyDescent="0.25">
      <c r="A671" s="36"/>
    </row>
    <row r="672" spans="1:1" ht="15.75" customHeight="1" x14ac:dyDescent="0.25">
      <c r="A672" s="36"/>
    </row>
    <row r="673" spans="1:1" ht="15.75" customHeight="1" x14ac:dyDescent="0.25">
      <c r="A673" s="36"/>
    </row>
    <row r="674" spans="1:1" ht="15.75" customHeight="1" x14ac:dyDescent="0.25">
      <c r="A674" s="36"/>
    </row>
    <row r="675" spans="1:1" ht="15.75" customHeight="1" x14ac:dyDescent="0.25">
      <c r="A675" s="36"/>
    </row>
    <row r="676" spans="1:1" ht="15.75" customHeight="1" x14ac:dyDescent="0.25">
      <c r="A676" s="36"/>
    </row>
    <row r="677" spans="1:1" ht="15.75" customHeight="1" x14ac:dyDescent="0.25">
      <c r="A677" s="36"/>
    </row>
    <row r="678" spans="1:1" ht="15.75" customHeight="1" x14ac:dyDescent="0.25">
      <c r="A678" s="36"/>
    </row>
    <row r="679" spans="1:1" ht="15.75" customHeight="1" x14ac:dyDescent="0.25">
      <c r="A679" s="36"/>
    </row>
    <row r="680" spans="1:1" ht="15.75" customHeight="1" x14ac:dyDescent="0.25">
      <c r="A680" s="36"/>
    </row>
    <row r="681" spans="1:1" ht="15.75" customHeight="1" x14ac:dyDescent="0.25">
      <c r="A681" s="36"/>
    </row>
    <row r="682" spans="1:1" ht="15.75" customHeight="1" x14ac:dyDescent="0.25">
      <c r="A682" s="36"/>
    </row>
    <row r="683" spans="1:1" ht="15.75" customHeight="1" x14ac:dyDescent="0.25">
      <c r="A683" s="36"/>
    </row>
    <row r="684" spans="1:1" ht="15.75" customHeight="1" x14ac:dyDescent="0.25">
      <c r="A684" s="36"/>
    </row>
    <row r="685" spans="1:1" ht="15.75" customHeight="1" x14ac:dyDescent="0.25">
      <c r="A685" s="36"/>
    </row>
    <row r="686" spans="1:1" ht="15.75" customHeight="1" x14ac:dyDescent="0.25">
      <c r="A686" s="36"/>
    </row>
    <row r="687" spans="1:1" ht="15.75" customHeight="1" x14ac:dyDescent="0.25">
      <c r="A687" s="36"/>
    </row>
    <row r="688" spans="1:1" ht="15.75" customHeight="1" x14ac:dyDescent="0.25">
      <c r="A688" s="36"/>
    </row>
    <row r="689" spans="1:1" ht="15.75" customHeight="1" x14ac:dyDescent="0.25">
      <c r="A689" s="36"/>
    </row>
    <row r="690" spans="1:1" ht="15.75" customHeight="1" x14ac:dyDescent="0.25">
      <c r="A690" s="36"/>
    </row>
    <row r="691" spans="1:1" ht="15.75" customHeight="1" x14ac:dyDescent="0.25">
      <c r="A691" s="36"/>
    </row>
    <row r="692" spans="1:1" ht="15.75" customHeight="1" x14ac:dyDescent="0.25">
      <c r="A692" s="36"/>
    </row>
    <row r="693" spans="1:1" ht="15.75" customHeight="1" x14ac:dyDescent="0.25">
      <c r="A693" s="36"/>
    </row>
    <row r="694" spans="1:1" ht="15.75" customHeight="1" x14ac:dyDescent="0.25">
      <c r="A694" s="36"/>
    </row>
    <row r="695" spans="1:1" ht="15.75" customHeight="1" x14ac:dyDescent="0.25">
      <c r="A695" s="36"/>
    </row>
    <row r="696" spans="1:1" ht="15.75" customHeight="1" x14ac:dyDescent="0.25">
      <c r="A696" s="36"/>
    </row>
    <row r="697" spans="1:1" ht="15.75" customHeight="1" x14ac:dyDescent="0.25">
      <c r="A697" s="36"/>
    </row>
    <row r="698" spans="1:1" ht="15.75" customHeight="1" x14ac:dyDescent="0.25">
      <c r="A698" s="36"/>
    </row>
    <row r="699" spans="1:1" ht="15.75" customHeight="1" x14ac:dyDescent="0.25">
      <c r="A699" s="36"/>
    </row>
    <row r="700" spans="1:1" ht="15.75" customHeight="1" x14ac:dyDescent="0.25">
      <c r="A700" s="36"/>
    </row>
    <row r="701" spans="1:1" ht="15.75" customHeight="1" x14ac:dyDescent="0.25">
      <c r="A701" s="36"/>
    </row>
    <row r="702" spans="1:1" ht="15.75" customHeight="1" x14ac:dyDescent="0.25">
      <c r="A702" s="36"/>
    </row>
    <row r="703" spans="1:1" ht="15.75" customHeight="1" x14ac:dyDescent="0.25">
      <c r="A703" s="36"/>
    </row>
    <row r="704" spans="1:1" ht="15.75" customHeight="1" x14ac:dyDescent="0.25">
      <c r="A704" s="36"/>
    </row>
    <row r="705" spans="1:1" ht="15.75" customHeight="1" x14ac:dyDescent="0.25">
      <c r="A705" s="36"/>
    </row>
    <row r="706" spans="1:1" ht="15.75" customHeight="1" x14ac:dyDescent="0.25">
      <c r="A706" s="36"/>
    </row>
    <row r="707" spans="1:1" ht="15.75" customHeight="1" x14ac:dyDescent="0.25">
      <c r="A707" s="36"/>
    </row>
    <row r="708" spans="1:1" ht="15.75" customHeight="1" x14ac:dyDescent="0.25">
      <c r="A708" s="36"/>
    </row>
    <row r="709" spans="1:1" ht="15.75" customHeight="1" x14ac:dyDescent="0.25">
      <c r="A709" s="36"/>
    </row>
    <row r="710" spans="1:1" ht="15.75" customHeight="1" x14ac:dyDescent="0.25">
      <c r="A710" s="36"/>
    </row>
    <row r="711" spans="1:1" ht="15.75" customHeight="1" x14ac:dyDescent="0.25">
      <c r="A711" s="36"/>
    </row>
    <row r="712" spans="1:1" ht="15.75" customHeight="1" x14ac:dyDescent="0.25">
      <c r="A712" s="36"/>
    </row>
    <row r="713" spans="1:1" ht="15.75" customHeight="1" x14ac:dyDescent="0.25">
      <c r="A713" s="36"/>
    </row>
    <row r="714" spans="1:1" ht="15.75" customHeight="1" x14ac:dyDescent="0.25">
      <c r="A714" s="36"/>
    </row>
    <row r="715" spans="1:1" ht="15.75" customHeight="1" x14ac:dyDescent="0.25">
      <c r="A715" s="36"/>
    </row>
    <row r="716" spans="1:1" ht="15.75" customHeight="1" x14ac:dyDescent="0.25">
      <c r="A716" s="36"/>
    </row>
    <row r="717" spans="1:1" ht="15.75" customHeight="1" x14ac:dyDescent="0.25">
      <c r="A717" s="36"/>
    </row>
    <row r="718" spans="1:1" ht="15.75" customHeight="1" x14ac:dyDescent="0.25">
      <c r="A718" s="36"/>
    </row>
    <row r="719" spans="1:1" ht="15.75" customHeight="1" x14ac:dyDescent="0.25">
      <c r="A719" s="36"/>
    </row>
    <row r="720" spans="1:1" ht="15.75" customHeight="1" x14ac:dyDescent="0.25">
      <c r="A720" s="36"/>
    </row>
    <row r="721" spans="1:1" ht="15.75" customHeight="1" x14ac:dyDescent="0.25">
      <c r="A721" s="36"/>
    </row>
    <row r="722" spans="1:1" ht="15.75" customHeight="1" x14ac:dyDescent="0.25">
      <c r="A722" s="36"/>
    </row>
    <row r="723" spans="1:1" ht="15.75" customHeight="1" x14ac:dyDescent="0.25">
      <c r="A723" s="36"/>
    </row>
    <row r="724" spans="1:1" ht="15.75" customHeight="1" x14ac:dyDescent="0.25">
      <c r="A724" s="36"/>
    </row>
    <row r="725" spans="1:1" ht="15.75" customHeight="1" x14ac:dyDescent="0.25">
      <c r="A725" s="36"/>
    </row>
    <row r="726" spans="1:1" ht="15.75" customHeight="1" x14ac:dyDescent="0.25">
      <c r="A726" s="36"/>
    </row>
    <row r="727" spans="1:1" ht="15.75" customHeight="1" x14ac:dyDescent="0.25">
      <c r="A727" s="36"/>
    </row>
    <row r="728" spans="1:1" ht="15.75" customHeight="1" x14ac:dyDescent="0.25">
      <c r="A728" s="36"/>
    </row>
    <row r="729" spans="1:1" ht="15.75" customHeight="1" x14ac:dyDescent="0.25">
      <c r="A729" s="36"/>
    </row>
    <row r="730" spans="1:1" ht="15.75" customHeight="1" x14ac:dyDescent="0.25">
      <c r="A730" s="36"/>
    </row>
    <row r="731" spans="1:1" ht="15.75" customHeight="1" x14ac:dyDescent="0.25">
      <c r="A731" s="36"/>
    </row>
    <row r="732" spans="1:1" ht="15.75" customHeight="1" x14ac:dyDescent="0.25">
      <c r="A732" s="36"/>
    </row>
    <row r="733" spans="1:1" ht="15.75" customHeight="1" x14ac:dyDescent="0.25">
      <c r="A733" s="36"/>
    </row>
    <row r="734" spans="1:1" ht="15.75" customHeight="1" x14ac:dyDescent="0.25">
      <c r="A734" s="36"/>
    </row>
    <row r="735" spans="1:1" ht="15.75" customHeight="1" x14ac:dyDescent="0.25">
      <c r="A735" s="36"/>
    </row>
    <row r="736" spans="1:1" ht="15.75" customHeight="1" x14ac:dyDescent="0.25">
      <c r="A736" s="36"/>
    </row>
    <row r="737" spans="1:1" ht="15.75" customHeight="1" x14ac:dyDescent="0.25">
      <c r="A737" s="36"/>
    </row>
    <row r="738" spans="1:1" ht="15.75" customHeight="1" x14ac:dyDescent="0.25">
      <c r="A738" s="36"/>
    </row>
    <row r="739" spans="1:1" ht="15.75" customHeight="1" x14ac:dyDescent="0.25">
      <c r="A739" s="36"/>
    </row>
    <row r="740" spans="1:1" ht="15.75" customHeight="1" x14ac:dyDescent="0.25">
      <c r="A740" s="36"/>
    </row>
    <row r="741" spans="1:1" ht="15.75" customHeight="1" x14ac:dyDescent="0.25">
      <c r="A741" s="36"/>
    </row>
    <row r="742" spans="1:1" ht="15.75" customHeight="1" x14ac:dyDescent="0.25">
      <c r="A742" s="36"/>
    </row>
    <row r="743" spans="1:1" ht="15.75" customHeight="1" x14ac:dyDescent="0.25">
      <c r="A743" s="36"/>
    </row>
    <row r="744" spans="1:1" ht="15.75" customHeight="1" x14ac:dyDescent="0.25">
      <c r="A744" s="36"/>
    </row>
    <row r="745" spans="1:1" ht="15.75" customHeight="1" x14ac:dyDescent="0.25">
      <c r="A745" s="36"/>
    </row>
    <row r="746" spans="1:1" ht="15.75" customHeight="1" x14ac:dyDescent="0.25">
      <c r="A746" s="36"/>
    </row>
    <row r="747" spans="1:1" ht="15.75" customHeight="1" x14ac:dyDescent="0.25">
      <c r="A747" s="36"/>
    </row>
    <row r="748" spans="1:1" ht="15.75" customHeight="1" x14ac:dyDescent="0.25">
      <c r="A748" s="36"/>
    </row>
    <row r="749" spans="1:1" ht="15.75" customHeight="1" x14ac:dyDescent="0.25">
      <c r="A749" s="36"/>
    </row>
    <row r="750" spans="1:1" ht="15.75" customHeight="1" x14ac:dyDescent="0.25">
      <c r="A750" s="36"/>
    </row>
    <row r="751" spans="1:1" ht="15.75" customHeight="1" x14ac:dyDescent="0.25">
      <c r="A751" s="36"/>
    </row>
    <row r="752" spans="1:1" ht="15.75" customHeight="1" x14ac:dyDescent="0.25">
      <c r="A752" s="36"/>
    </row>
    <row r="753" spans="1:1" ht="15.75" customHeight="1" x14ac:dyDescent="0.25">
      <c r="A753" s="36"/>
    </row>
    <row r="754" spans="1:1" ht="15.75" customHeight="1" x14ac:dyDescent="0.25">
      <c r="A754" s="36"/>
    </row>
    <row r="755" spans="1:1" ht="15.75" customHeight="1" x14ac:dyDescent="0.25">
      <c r="A755" s="36"/>
    </row>
    <row r="756" spans="1:1" ht="15.75" customHeight="1" x14ac:dyDescent="0.25">
      <c r="A756" s="36"/>
    </row>
    <row r="757" spans="1:1" ht="15.75" customHeight="1" x14ac:dyDescent="0.25">
      <c r="A757" s="36"/>
    </row>
    <row r="758" spans="1:1" ht="15.75" customHeight="1" x14ac:dyDescent="0.25">
      <c r="A758" s="36"/>
    </row>
    <row r="759" spans="1:1" ht="15.75" customHeight="1" x14ac:dyDescent="0.25">
      <c r="A759" s="36"/>
    </row>
    <row r="760" spans="1:1" ht="15.75" customHeight="1" x14ac:dyDescent="0.25">
      <c r="A760" s="36"/>
    </row>
    <row r="761" spans="1:1" ht="15.75" customHeight="1" x14ac:dyDescent="0.25">
      <c r="A761" s="36"/>
    </row>
    <row r="762" spans="1:1" ht="15.75" customHeight="1" x14ac:dyDescent="0.25">
      <c r="A762" s="36"/>
    </row>
    <row r="763" spans="1:1" ht="15.75" customHeight="1" x14ac:dyDescent="0.25">
      <c r="A763" s="36"/>
    </row>
    <row r="764" spans="1:1" ht="15.75" customHeight="1" x14ac:dyDescent="0.25">
      <c r="A764" s="36"/>
    </row>
    <row r="765" spans="1:1" ht="15.75" customHeight="1" x14ac:dyDescent="0.25">
      <c r="A765" s="36"/>
    </row>
    <row r="766" spans="1:1" ht="15.75" customHeight="1" x14ac:dyDescent="0.25">
      <c r="A766" s="36"/>
    </row>
    <row r="767" spans="1:1" ht="15.75" customHeight="1" x14ac:dyDescent="0.25">
      <c r="A767" s="36"/>
    </row>
    <row r="768" spans="1:1" ht="15.75" customHeight="1" x14ac:dyDescent="0.25">
      <c r="A768" s="36"/>
    </row>
    <row r="769" spans="1:1" ht="15.75" customHeight="1" x14ac:dyDescent="0.25">
      <c r="A769" s="36"/>
    </row>
    <row r="770" spans="1:1" ht="15.75" customHeight="1" x14ac:dyDescent="0.25">
      <c r="A770" s="36"/>
    </row>
    <row r="771" spans="1:1" ht="15.75" customHeight="1" x14ac:dyDescent="0.25">
      <c r="A771" s="36"/>
    </row>
    <row r="772" spans="1:1" ht="15.75" customHeight="1" x14ac:dyDescent="0.25">
      <c r="A772" s="36"/>
    </row>
    <row r="773" spans="1:1" ht="15.75" customHeight="1" x14ac:dyDescent="0.25">
      <c r="A773" s="36"/>
    </row>
    <row r="774" spans="1:1" ht="15.75" customHeight="1" x14ac:dyDescent="0.25">
      <c r="A774" s="36"/>
    </row>
    <row r="775" spans="1:1" ht="15.75" customHeight="1" x14ac:dyDescent="0.25">
      <c r="A775" s="36"/>
    </row>
    <row r="776" spans="1:1" ht="15.75" customHeight="1" x14ac:dyDescent="0.25">
      <c r="A776" s="36"/>
    </row>
    <row r="777" spans="1:1" ht="15.75" customHeight="1" x14ac:dyDescent="0.25">
      <c r="A777" s="36"/>
    </row>
    <row r="778" spans="1:1" ht="15.75" customHeight="1" x14ac:dyDescent="0.25">
      <c r="A778" s="36"/>
    </row>
    <row r="779" spans="1:1" ht="15.75" customHeight="1" x14ac:dyDescent="0.25">
      <c r="A779" s="36"/>
    </row>
    <row r="780" spans="1:1" ht="15.75" customHeight="1" x14ac:dyDescent="0.25">
      <c r="A780" s="36"/>
    </row>
    <row r="781" spans="1:1" ht="15.75" customHeight="1" x14ac:dyDescent="0.25">
      <c r="A781" s="36"/>
    </row>
    <row r="782" spans="1:1" ht="15.75" customHeight="1" x14ac:dyDescent="0.25">
      <c r="A782" s="36"/>
    </row>
    <row r="783" spans="1:1" ht="15.75" customHeight="1" x14ac:dyDescent="0.25">
      <c r="A783" s="36"/>
    </row>
    <row r="784" spans="1:1" ht="15.75" customHeight="1" x14ac:dyDescent="0.25">
      <c r="A784" s="36"/>
    </row>
    <row r="785" spans="1:1" ht="15.75" customHeight="1" x14ac:dyDescent="0.25">
      <c r="A785" s="36"/>
    </row>
    <row r="786" spans="1:1" ht="15.75" customHeight="1" x14ac:dyDescent="0.25">
      <c r="A786" s="36"/>
    </row>
    <row r="787" spans="1:1" ht="15.75" customHeight="1" x14ac:dyDescent="0.25">
      <c r="A787" s="36"/>
    </row>
    <row r="788" spans="1:1" ht="15.75" customHeight="1" x14ac:dyDescent="0.25">
      <c r="A788" s="36"/>
    </row>
    <row r="789" spans="1:1" ht="15.75" customHeight="1" x14ac:dyDescent="0.25">
      <c r="A789" s="36"/>
    </row>
    <row r="790" spans="1:1" ht="15.75" customHeight="1" x14ac:dyDescent="0.25">
      <c r="A790" s="36"/>
    </row>
    <row r="791" spans="1:1" ht="15.75" customHeight="1" x14ac:dyDescent="0.25">
      <c r="A791" s="36"/>
    </row>
    <row r="792" spans="1:1" ht="15.75" customHeight="1" x14ac:dyDescent="0.25">
      <c r="A792" s="36"/>
    </row>
    <row r="793" spans="1:1" ht="15.75" customHeight="1" x14ac:dyDescent="0.25">
      <c r="A793" s="36"/>
    </row>
    <row r="794" spans="1:1" ht="15.75" customHeight="1" x14ac:dyDescent="0.25">
      <c r="A794" s="36"/>
    </row>
    <row r="795" spans="1:1" ht="15.75" customHeight="1" x14ac:dyDescent="0.25">
      <c r="A795" s="36"/>
    </row>
    <row r="796" spans="1:1" ht="15.75" customHeight="1" x14ac:dyDescent="0.25">
      <c r="A796" s="36"/>
    </row>
    <row r="797" spans="1:1" ht="15.75" customHeight="1" x14ac:dyDescent="0.25">
      <c r="A797" s="36"/>
    </row>
    <row r="798" spans="1:1" ht="15.75" customHeight="1" x14ac:dyDescent="0.25">
      <c r="A798" s="36"/>
    </row>
    <row r="799" spans="1:1" ht="15.75" customHeight="1" x14ac:dyDescent="0.25">
      <c r="A799" s="36"/>
    </row>
    <row r="800" spans="1:1" ht="15.75" customHeight="1" x14ac:dyDescent="0.25">
      <c r="A800" s="36"/>
    </row>
    <row r="801" spans="1:1" ht="15.75" customHeight="1" x14ac:dyDescent="0.25">
      <c r="A801" s="36"/>
    </row>
    <row r="802" spans="1:1" ht="15.75" customHeight="1" x14ac:dyDescent="0.25">
      <c r="A802" s="36"/>
    </row>
    <row r="803" spans="1:1" ht="15.75" customHeight="1" x14ac:dyDescent="0.25">
      <c r="A803" s="36"/>
    </row>
    <row r="804" spans="1:1" ht="15.75" customHeight="1" x14ac:dyDescent="0.25">
      <c r="A804" s="36"/>
    </row>
    <row r="805" spans="1:1" ht="15.75" customHeight="1" x14ac:dyDescent="0.25">
      <c r="A805" s="36"/>
    </row>
    <row r="806" spans="1:1" ht="15.75" customHeight="1" x14ac:dyDescent="0.25">
      <c r="A806" s="36"/>
    </row>
    <row r="807" spans="1:1" ht="15.75" customHeight="1" x14ac:dyDescent="0.25">
      <c r="A807" s="36"/>
    </row>
    <row r="808" spans="1:1" ht="15.75" customHeight="1" x14ac:dyDescent="0.25">
      <c r="A808" s="36"/>
    </row>
    <row r="809" spans="1:1" ht="15.75" customHeight="1" x14ac:dyDescent="0.25">
      <c r="A809" s="36"/>
    </row>
    <row r="810" spans="1:1" ht="15.75" customHeight="1" x14ac:dyDescent="0.25">
      <c r="A810" s="36"/>
    </row>
    <row r="811" spans="1:1" ht="15.75" customHeight="1" x14ac:dyDescent="0.25">
      <c r="A811" s="36"/>
    </row>
    <row r="812" spans="1:1" ht="15.75" customHeight="1" x14ac:dyDescent="0.25">
      <c r="A812" s="36"/>
    </row>
    <row r="813" spans="1:1" ht="15.75" customHeight="1" x14ac:dyDescent="0.25">
      <c r="A813" s="36"/>
    </row>
    <row r="814" spans="1:1" ht="15.75" customHeight="1" x14ac:dyDescent="0.25">
      <c r="A814" s="36"/>
    </row>
    <row r="815" spans="1:1" ht="15.75" customHeight="1" x14ac:dyDescent="0.25">
      <c r="A815" s="36"/>
    </row>
    <row r="816" spans="1:1" ht="15.75" customHeight="1" x14ac:dyDescent="0.25">
      <c r="A816" s="36"/>
    </row>
    <row r="817" spans="1:1" ht="15.75" customHeight="1" x14ac:dyDescent="0.25">
      <c r="A817" s="36"/>
    </row>
    <row r="818" spans="1:1" ht="15.75" customHeight="1" x14ac:dyDescent="0.25">
      <c r="A818" s="36"/>
    </row>
    <row r="819" spans="1:1" ht="15.75" customHeight="1" x14ac:dyDescent="0.25">
      <c r="A819" s="36"/>
    </row>
    <row r="820" spans="1:1" ht="15.75" customHeight="1" x14ac:dyDescent="0.25">
      <c r="A820" s="36"/>
    </row>
    <row r="821" spans="1:1" ht="15.75" customHeight="1" x14ac:dyDescent="0.25">
      <c r="A821" s="36"/>
    </row>
    <row r="822" spans="1:1" ht="15.75" customHeight="1" x14ac:dyDescent="0.25">
      <c r="A822" s="36"/>
    </row>
    <row r="823" spans="1:1" ht="15.75" customHeight="1" x14ac:dyDescent="0.25">
      <c r="A823" s="36"/>
    </row>
    <row r="824" spans="1:1" ht="15.75" customHeight="1" x14ac:dyDescent="0.25">
      <c r="A824" s="36"/>
    </row>
    <row r="825" spans="1:1" ht="15.75" customHeight="1" x14ac:dyDescent="0.25">
      <c r="A825" s="36"/>
    </row>
    <row r="826" spans="1:1" ht="15.75" customHeight="1" x14ac:dyDescent="0.25">
      <c r="A826" s="36"/>
    </row>
    <row r="827" spans="1:1" ht="15.75" customHeight="1" x14ac:dyDescent="0.25">
      <c r="A827" s="36"/>
    </row>
    <row r="828" spans="1:1" ht="15.75" customHeight="1" x14ac:dyDescent="0.25">
      <c r="A828" s="36"/>
    </row>
    <row r="829" spans="1:1" ht="15.75" customHeight="1" x14ac:dyDescent="0.25">
      <c r="A829" s="36"/>
    </row>
    <row r="830" spans="1:1" ht="15.75" customHeight="1" x14ac:dyDescent="0.25">
      <c r="A830" s="36"/>
    </row>
    <row r="831" spans="1:1" ht="15.75" customHeight="1" x14ac:dyDescent="0.25">
      <c r="A831" s="36"/>
    </row>
    <row r="832" spans="1:1" ht="15.75" customHeight="1" x14ac:dyDescent="0.25">
      <c r="A832" s="36"/>
    </row>
    <row r="833" spans="1:1" ht="15.75" customHeight="1" x14ac:dyDescent="0.25">
      <c r="A833" s="36"/>
    </row>
    <row r="834" spans="1:1" ht="15.75" customHeight="1" x14ac:dyDescent="0.25">
      <c r="A834" s="36"/>
    </row>
    <row r="835" spans="1:1" ht="15.75" customHeight="1" x14ac:dyDescent="0.25">
      <c r="A835" s="36"/>
    </row>
    <row r="836" spans="1:1" ht="15.75" customHeight="1" x14ac:dyDescent="0.25">
      <c r="A836" s="36"/>
    </row>
    <row r="837" spans="1:1" ht="15.75" customHeight="1" x14ac:dyDescent="0.25">
      <c r="A837" s="36"/>
    </row>
    <row r="838" spans="1:1" ht="15.75" customHeight="1" x14ac:dyDescent="0.25">
      <c r="A838" s="36"/>
    </row>
    <row r="839" spans="1:1" ht="15.75" customHeight="1" x14ac:dyDescent="0.25">
      <c r="A839" s="36"/>
    </row>
    <row r="840" spans="1:1" ht="15.75" customHeight="1" x14ac:dyDescent="0.25">
      <c r="A840" s="36"/>
    </row>
    <row r="841" spans="1:1" ht="15.75" customHeight="1" x14ac:dyDescent="0.25">
      <c r="A841" s="36"/>
    </row>
    <row r="842" spans="1:1" ht="15.75" customHeight="1" x14ac:dyDescent="0.25">
      <c r="A842" s="36"/>
    </row>
    <row r="843" spans="1:1" ht="15.75" customHeight="1" x14ac:dyDescent="0.25">
      <c r="A843" s="36"/>
    </row>
    <row r="844" spans="1:1" ht="15.75" customHeight="1" x14ac:dyDescent="0.25">
      <c r="A844" s="36"/>
    </row>
    <row r="845" spans="1:1" ht="15.75" customHeight="1" x14ac:dyDescent="0.25">
      <c r="A845" s="36"/>
    </row>
    <row r="846" spans="1:1" ht="15.75" customHeight="1" x14ac:dyDescent="0.25">
      <c r="A846" s="36"/>
    </row>
    <row r="847" spans="1:1" ht="15.75" customHeight="1" x14ac:dyDescent="0.25">
      <c r="A847" s="36"/>
    </row>
    <row r="848" spans="1:1" ht="15.75" customHeight="1" x14ac:dyDescent="0.25">
      <c r="A848" s="36"/>
    </row>
    <row r="849" spans="1:1" ht="15.75" customHeight="1" x14ac:dyDescent="0.25">
      <c r="A849" s="36"/>
    </row>
    <row r="850" spans="1:1" ht="15.75" customHeight="1" x14ac:dyDescent="0.25">
      <c r="A850" s="36"/>
    </row>
    <row r="851" spans="1:1" ht="15.75" customHeight="1" x14ac:dyDescent="0.25">
      <c r="A851" s="36"/>
    </row>
    <row r="852" spans="1:1" ht="15.75" customHeight="1" x14ac:dyDescent="0.25">
      <c r="A852" s="36"/>
    </row>
    <row r="853" spans="1:1" ht="15.75" customHeight="1" x14ac:dyDescent="0.25">
      <c r="A853" s="36"/>
    </row>
    <row r="854" spans="1:1" ht="15.75" customHeight="1" x14ac:dyDescent="0.25">
      <c r="A854" s="36"/>
    </row>
    <row r="855" spans="1:1" ht="15.75" customHeight="1" x14ac:dyDescent="0.25">
      <c r="A855" s="36"/>
    </row>
    <row r="856" spans="1:1" ht="15.75" customHeight="1" x14ac:dyDescent="0.25">
      <c r="A856" s="36"/>
    </row>
    <row r="857" spans="1:1" ht="15.75" customHeight="1" x14ac:dyDescent="0.25">
      <c r="A857" s="36"/>
    </row>
    <row r="858" spans="1:1" ht="15.75" customHeight="1" x14ac:dyDescent="0.25">
      <c r="A858" s="36"/>
    </row>
    <row r="859" spans="1:1" ht="15.75" customHeight="1" x14ac:dyDescent="0.25">
      <c r="A859" s="36"/>
    </row>
    <row r="860" spans="1:1" ht="15.75" customHeight="1" x14ac:dyDescent="0.25">
      <c r="A860" s="36"/>
    </row>
    <row r="861" spans="1:1" ht="15.75" customHeight="1" x14ac:dyDescent="0.25">
      <c r="A861" s="36"/>
    </row>
    <row r="862" spans="1:1" ht="15.75" customHeight="1" x14ac:dyDescent="0.25">
      <c r="A862" s="36"/>
    </row>
    <row r="863" spans="1:1" ht="15.75" customHeight="1" x14ac:dyDescent="0.25">
      <c r="A863" s="36"/>
    </row>
    <row r="864" spans="1:1" ht="15.75" customHeight="1" x14ac:dyDescent="0.25">
      <c r="A864" s="36"/>
    </row>
    <row r="865" spans="1:1" ht="15.75" customHeight="1" x14ac:dyDescent="0.25">
      <c r="A865" s="36"/>
    </row>
    <row r="866" spans="1:1" ht="15.75" customHeight="1" x14ac:dyDescent="0.25">
      <c r="A866" s="36"/>
    </row>
    <row r="867" spans="1:1" ht="15.75" customHeight="1" x14ac:dyDescent="0.25">
      <c r="A867" s="36"/>
    </row>
    <row r="868" spans="1:1" ht="15.75" customHeight="1" x14ac:dyDescent="0.25">
      <c r="A868" s="36"/>
    </row>
    <row r="869" spans="1:1" ht="15.75" customHeight="1" x14ac:dyDescent="0.25">
      <c r="A869" s="36"/>
    </row>
    <row r="870" spans="1:1" ht="15.75" customHeight="1" x14ac:dyDescent="0.25">
      <c r="A870" s="36"/>
    </row>
    <row r="871" spans="1:1" ht="15.75" customHeight="1" x14ac:dyDescent="0.25">
      <c r="A871" s="36"/>
    </row>
    <row r="872" spans="1:1" ht="15.75" customHeight="1" x14ac:dyDescent="0.25">
      <c r="A872" s="36"/>
    </row>
    <row r="873" spans="1:1" ht="15.75" customHeight="1" x14ac:dyDescent="0.25">
      <c r="A873" s="36"/>
    </row>
    <row r="874" spans="1:1" ht="15.75" customHeight="1" x14ac:dyDescent="0.25">
      <c r="A874" s="36"/>
    </row>
    <row r="875" spans="1:1" ht="15.75" customHeight="1" x14ac:dyDescent="0.25">
      <c r="A875" s="36"/>
    </row>
    <row r="876" spans="1:1" ht="15.75" customHeight="1" x14ac:dyDescent="0.25">
      <c r="A876" s="36"/>
    </row>
    <row r="877" spans="1:1" ht="15.75" customHeight="1" x14ac:dyDescent="0.25">
      <c r="A877" s="36"/>
    </row>
    <row r="878" spans="1:1" ht="15.75" customHeight="1" x14ac:dyDescent="0.25">
      <c r="A878" s="36"/>
    </row>
    <row r="879" spans="1:1" ht="15.75" customHeight="1" x14ac:dyDescent="0.25">
      <c r="A879" s="36"/>
    </row>
    <row r="880" spans="1:1" ht="15.75" customHeight="1" x14ac:dyDescent="0.25">
      <c r="A880" s="36"/>
    </row>
    <row r="881" spans="1:1" ht="15.75" customHeight="1" x14ac:dyDescent="0.25">
      <c r="A881" s="36"/>
    </row>
    <row r="882" spans="1:1" ht="15.75" customHeight="1" x14ac:dyDescent="0.25">
      <c r="A882" s="36"/>
    </row>
    <row r="883" spans="1:1" ht="15.75" customHeight="1" x14ac:dyDescent="0.25">
      <c r="A883" s="36"/>
    </row>
    <row r="884" spans="1:1" ht="15.75" customHeight="1" x14ac:dyDescent="0.25">
      <c r="A884" s="36"/>
    </row>
    <row r="885" spans="1:1" ht="15.75" customHeight="1" x14ac:dyDescent="0.25">
      <c r="A885" s="36"/>
    </row>
    <row r="886" spans="1:1" ht="15.75" customHeight="1" x14ac:dyDescent="0.25">
      <c r="A886" s="36"/>
    </row>
    <row r="887" spans="1:1" ht="15.75" customHeight="1" x14ac:dyDescent="0.25">
      <c r="A887" s="36"/>
    </row>
    <row r="888" spans="1:1" ht="15.75" customHeight="1" x14ac:dyDescent="0.25">
      <c r="A888" s="36"/>
    </row>
    <row r="889" spans="1:1" ht="15.75" customHeight="1" x14ac:dyDescent="0.25">
      <c r="A889" s="36"/>
    </row>
    <row r="890" spans="1:1" ht="15.75" customHeight="1" x14ac:dyDescent="0.25">
      <c r="A890" s="36"/>
    </row>
    <row r="891" spans="1:1" ht="15.75" customHeight="1" x14ac:dyDescent="0.25">
      <c r="A891" s="36"/>
    </row>
    <row r="892" spans="1:1" ht="15.75" customHeight="1" x14ac:dyDescent="0.25">
      <c r="A892" s="36"/>
    </row>
    <row r="893" spans="1:1" ht="15.75" customHeight="1" x14ac:dyDescent="0.25">
      <c r="A893" s="36"/>
    </row>
    <row r="894" spans="1:1" ht="15.75" customHeight="1" x14ac:dyDescent="0.25">
      <c r="A894" s="36"/>
    </row>
    <row r="895" spans="1:1" ht="15.75" customHeight="1" x14ac:dyDescent="0.25">
      <c r="A895" s="36"/>
    </row>
    <row r="896" spans="1:1" ht="15.75" customHeight="1" x14ac:dyDescent="0.25">
      <c r="A896" s="36"/>
    </row>
    <row r="897" spans="1:1" ht="15.75" customHeight="1" x14ac:dyDescent="0.25">
      <c r="A897" s="36"/>
    </row>
    <row r="898" spans="1:1" ht="15.75" customHeight="1" x14ac:dyDescent="0.25">
      <c r="A898" s="36"/>
    </row>
    <row r="899" spans="1:1" ht="15.75" customHeight="1" x14ac:dyDescent="0.25">
      <c r="A899" s="36"/>
    </row>
    <row r="900" spans="1:1" ht="15.75" customHeight="1" x14ac:dyDescent="0.25">
      <c r="A900" s="36"/>
    </row>
    <row r="901" spans="1:1" ht="15.75" customHeight="1" x14ac:dyDescent="0.25">
      <c r="A901" s="36"/>
    </row>
    <row r="902" spans="1:1" ht="15.75" customHeight="1" x14ac:dyDescent="0.25">
      <c r="A902" s="36"/>
    </row>
    <row r="903" spans="1:1" ht="15.75" customHeight="1" x14ac:dyDescent="0.25">
      <c r="A903" s="36"/>
    </row>
    <row r="904" spans="1:1" ht="15.75" customHeight="1" x14ac:dyDescent="0.25">
      <c r="A904" s="36"/>
    </row>
    <row r="905" spans="1:1" ht="15.75" customHeight="1" x14ac:dyDescent="0.25">
      <c r="A905" s="36"/>
    </row>
    <row r="906" spans="1:1" ht="15.75" customHeight="1" x14ac:dyDescent="0.25">
      <c r="A906" s="36"/>
    </row>
    <row r="907" spans="1:1" ht="15.75" customHeight="1" x14ac:dyDescent="0.25">
      <c r="A907" s="36"/>
    </row>
    <row r="908" spans="1:1" ht="15.75" customHeight="1" x14ac:dyDescent="0.25">
      <c r="A908" s="36"/>
    </row>
    <row r="909" spans="1:1" ht="15.75" customHeight="1" x14ac:dyDescent="0.25">
      <c r="A909" s="36"/>
    </row>
    <row r="910" spans="1:1" ht="15.75" customHeight="1" x14ac:dyDescent="0.25">
      <c r="A910" s="36"/>
    </row>
    <row r="911" spans="1:1" ht="15.75" customHeight="1" x14ac:dyDescent="0.25">
      <c r="A911" s="36"/>
    </row>
    <row r="912" spans="1:1" ht="15.75" customHeight="1" x14ac:dyDescent="0.25">
      <c r="A912" s="36"/>
    </row>
    <row r="913" spans="1:1" ht="15.75" customHeight="1" x14ac:dyDescent="0.25">
      <c r="A913" s="36"/>
    </row>
    <row r="914" spans="1:1" ht="15.75" customHeight="1" x14ac:dyDescent="0.25">
      <c r="A914" s="36"/>
    </row>
    <row r="915" spans="1:1" ht="15.75" customHeight="1" x14ac:dyDescent="0.25">
      <c r="A915" s="36"/>
    </row>
    <row r="916" spans="1:1" ht="15.75" customHeight="1" x14ac:dyDescent="0.25">
      <c r="A916" s="36"/>
    </row>
    <row r="917" spans="1:1" ht="15.75" customHeight="1" x14ac:dyDescent="0.25">
      <c r="A917" s="36"/>
    </row>
    <row r="918" spans="1:1" ht="15.75" customHeight="1" x14ac:dyDescent="0.25">
      <c r="A918" s="36"/>
    </row>
    <row r="919" spans="1:1" ht="15.75" customHeight="1" x14ac:dyDescent="0.25">
      <c r="A919" s="36"/>
    </row>
    <row r="920" spans="1:1" ht="15.75" customHeight="1" x14ac:dyDescent="0.25">
      <c r="A920" s="36"/>
    </row>
    <row r="921" spans="1:1" ht="15.75" customHeight="1" x14ac:dyDescent="0.25">
      <c r="A921" s="36"/>
    </row>
    <row r="922" spans="1:1" ht="15.75" customHeight="1" x14ac:dyDescent="0.25">
      <c r="A922" s="36"/>
    </row>
    <row r="923" spans="1:1" ht="15.75" customHeight="1" x14ac:dyDescent="0.25">
      <c r="A923" s="36"/>
    </row>
    <row r="924" spans="1:1" ht="15.75" customHeight="1" x14ac:dyDescent="0.25">
      <c r="A924" s="36"/>
    </row>
    <row r="925" spans="1:1" ht="15.75" customHeight="1" x14ac:dyDescent="0.25">
      <c r="A925" s="36"/>
    </row>
    <row r="926" spans="1:1" ht="15.75" customHeight="1" x14ac:dyDescent="0.25">
      <c r="A926" s="36"/>
    </row>
    <row r="927" spans="1:1" ht="15.75" customHeight="1" x14ac:dyDescent="0.25">
      <c r="A927" s="36"/>
    </row>
    <row r="928" spans="1:1" ht="15.75" customHeight="1" x14ac:dyDescent="0.25">
      <c r="A928" s="36"/>
    </row>
    <row r="929" spans="1:1" ht="15.75" customHeight="1" x14ac:dyDescent="0.25">
      <c r="A929" s="36"/>
    </row>
    <row r="930" spans="1:1" ht="15.75" customHeight="1" x14ac:dyDescent="0.25">
      <c r="A930" s="36"/>
    </row>
    <row r="931" spans="1:1" ht="15.75" customHeight="1" x14ac:dyDescent="0.25">
      <c r="A931" s="36"/>
    </row>
    <row r="932" spans="1:1" ht="15.75" customHeight="1" x14ac:dyDescent="0.25">
      <c r="A932" s="36"/>
    </row>
    <row r="933" spans="1:1" ht="15.75" customHeight="1" x14ac:dyDescent="0.25">
      <c r="A933" s="36"/>
    </row>
    <row r="934" spans="1:1" ht="15.75" customHeight="1" x14ac:dyDescent="0.25">
      <c r="A934" s="36"/>
    </row>
    <row r="935" spans="1:1" ht="15.75" customHeight="1" x14ac:dyDescent="0.25">
      <c r="A935" s="36"/>
    </row>
    <row r="936" spans="1:1" ht="15.75" customHeight="1" x14ac:dyDescent="0.25">
      <c r="A936" s="36"/>
    </row>
    <row r="937" spans="1:1" ht="15.75" customHeight="1" x14ac:dyDescent="0.25">
      <c r="A937" s="36"/>
    </row>
    <row r="938" spans="1:1" ht="15.75" customHeight="1" x14ac:dyDescent="0.25">
      <c r="A938" s="36"/>
    </row>
    <row r="939" spans="1:1" ht="15.75" customHeight="1" x14ac:dyDescent="0.25">
      <c r="A939" s="36"/>
    </row>
    <row r="940" spans="1:1" ht="15.75" customHeight="1" x14ac:dyDescent="0.25">
      <c r="A940" s="36"/>
    </row>
    <row r="941" spans="1:1" ht="15.75" customHeight="1" x14ac:dyDescent="0.25">
      <c r="A941" s="36"/>
    </row>
    <row r="942" spans="1:1" ht="15.75" customHeight="1" x14ac:dyDescent="0.25">
      <c r="A942" s="36"/>
    </row>
    <row r="943" spans="1:1" ht="15.75" customHeight="1" x14ac:dyDescent="0.25">
      <c r="A943" s="36"/>
    </row>
    <row r="944" spans="1:1" ht="15.75" customHeight="1" x14ac:dyDescent="0.25">
      <c r="A944" s="36"/>
    </row>
    <row r="945" spans="1:1" ht="15.75" customHeight="1" x14ac:dyDescent="0.25">
      <c r="A945" s="36"/>
    </row>
    <row r="946" spans="1:1" ht="15.75" customHeight="1" x14ac:dyDescent="0.25">
      <c r="A946" s="36"/>
    </row>
    <row r="947" spans="1:1" ht="15.75" customHeight="1" x14ac:dyDescent="0.25">
      <c r="A947" s="36"/>
    </row>
    <row r="948" spans="1:1" ht="15.75" customHeight="1" x14ac:dyDescent="0.25">
      <c r="A948" s="36"/>
    </row>
    <row r="949" spans="1:1" ht="15.75" customHeight="1" x14ac:dyDescent="0.25">
      <c r="A949" s="36"/>
    </row>
    <row r="950" spans="1:1" ht="15.75" customHeight="1" x14ac:dyDescent="0.25">
      <c r="A950" s="36"/>
    </row>
    <row r="951" spans="1:1" ht="15.75" customHeight="1" x14ac:dyDescent="0.25">
      <c r="A951" s="36"/>
    </row>
    <row r="952" spans="1:1" ht="15.75" customHeight="1" x14ac:dyDescent="0.25">
      <c r="A952" s="36"/>
    </row>
    <row r="953" spans="1:1" ht="15.75" customHeight="1" x14ac:dyDescent="0.25">
      <c r="A953" s="36"/>
    </row>
    <row r="954" spans="1:1" ht="15.75" customHeight="1" x14ac:dyDescent="0.25">
      <c r="A954" s="36"/>
    </row>
    <row r="955" spans="1:1" ht="15.75" customHeight="1" x14ac:dyDescent="0.25">
      <c r="A955" s="36"/>
    </row>
    <row r="956" spans="1:1" ht="15.75" customHeight="1" x14ac:dyDescent="0.25">
      <c r="A956" s="36"/>
    </row>
    <row r="957" spans="1:1" ht="15.75" customHeight="1" x14ac:dyDescent="0.25">
      <c r="A957" s="36"/>
    </row>
    <row r="958" spans="1:1" ht="15.75" customHeight="1" x14ac:dyDescent="0.25">
      <c r="A958" s="36"/>
    </row>
    <row r="959" spans="1:1" ht="15.75" customHeight="1" x14ac:dyDescent="0.25">
      <c r="A959" s="36"/>
    </row>
    <row r="960" spans="1:1" ht="15.75" customHeight="1" x14ac:dyDescent="0.25">
      <c r="A960" s="36"/>
    </row>
    <row r="961" spans="1:1" ht="15.75" customHeight="1" x14ac:dyDescent="0.25">
      <c r="A961" s="36"/>
    </row>
    <row r="962" spans="1:1" ht="15.75" customHeight="1" x14ac:dyDescent="0.25">
      <c r="A962" s="36"/>
    </row>
    <row r="963" spans="1:1" ht="15.75" customHeight="1" x14ac:dyDescent="0.25">
      <c r="A963" s="36"/>
    </row>
    <row r="964" spans="1:1" ht="15.75" customHeight="1" x14ac:dyDescent="0.25">
      <c r="A964" s="36"/>
    </row>
    <row r="965" spans="1:1" ht="15.75" customHeight="1" x14ac:dyDescent="0.25">
      <c r="A965" s="36"/>
    </row>
    <row r="966" spans="1:1" ht="15.75" customHeight="1" x14ac:dyDescent="0.25">
      <c r="A966" s="36"/>
    </row>
    <row r="967" spans="1:1" ht="15.75" customHeight="1" x14ac:dyDescent="0.25">
      <c r="A967" s="36"/>
    </row>
    <row r="968" spans="1:1" ht="15.75" customHeight="1" x14ac:dyDescent="0.25">
      <c r="A968" s="36"/>
    </row>
    <row r="969" spans="1:1" ht="15.75" customHeight="1" x14ac:dyDescent="0.25">
      <c r="A969" s="36"/>
    </row>
    <row r="970" spans="1:1" ht="15.75" customHeight="1" x14ac:dyDescent="0.25">
      <c r="A970" s="36"/>
    </row>
    <row r="971" spans="1:1" ht="15.75" customHeight="1" x14ac:dyDescent="0.25">
      <c r="A971" s="36"/>
    </row>
    <row r="972" spans="1:1" ht="15.75" customHeight="1" x14ac:dyDescent="0.25">
      <c r="A972" s="36"/>
    </row>
    <row r="973" spans="1:1" ht="15.75" customHeight="1" x14ac:dyDescent="0.25">
      <c r="A973" s="36"/>
    </row>
    <row r="974" spans="1:1" ht="15.75" customHeight="1" x14ac:dyDescent="0.25">
      <c r="A974" s="36"/>
    </row>
    <row r="975" spans="1:1" ht="15.75" customHeight="1" x14ac:dyDescent="0.25">
      <c r="A975" s="36"/>
    </row>
    <row r="976" spans="1:1" ht="15.75" customHeight="1" x14ac:dyDescent="0.25">
      <c r="A976" s="36"/>
    </row>
    <row r="977" spans="1:1" ht="15.75" customHeight="1" x14ac:dyDescent="0.25">
      <c r="A977" s="36"/>
    </row>
    <row r="978" spans="1:1" ht="15.75" customHeight="1" x14ac:dyDescent="0.25">
      <c r="A978" s="36"/>
    </row>
    <row r="979" spans="1:1" ht="15.75" customHeight="1" x14ac:dyDescent="0.25">
      <c r="A979" s="36"/>
    </row>
    <row r="980" spans="1:1" ht="15.75" customHeight="1" x14ac:dyDescent="0.25">
      <c r="A980" s="36"/>
    </row>
    <row r="981" spans="1:1" ht="15.75" customHeight="1" x14ac:dyDescent="0.25">
      <c r="A981" s="36"/>
    </row>
    <row r="982" spans="1:1" ht="15.75" customHeight="1" x14ac:dyDescent="0.25">
      <c r="A982" s="36"/>
    </row>
    <row r="983" spans="1:1" ht="15.75" customHeight="1" x14ac:dyDescent="0.25">
      <c r="A983" s="36"/>
    </row>
    <row r="984" spans="1:1" ht="15.75" customHeight="1" x14ac:dyDescent="0.25">
      <c r="A984" s="36"/>
    </row>
    <row r="985" spans="1:1" ht="15.75" customHeight="1" x14ac:dyDescent="0.25">
      <c r="A985" s="36"/>
    </row>
    <row r="986" spans="1:1" ht="15.75" customHeight="1" x14ac:dyDescent="0.25">
      <c r="A986" s="36"/>
    </row>
    <row r="987" spans="1:1" ht="15.75" customHeight="1" x14ac:dyDescent="0.25">
      <c r="A987" s="36"/>
    </row>
    <row r="988" spans="1:1" ht="15.75" customHeight="1" x14ac:dyDescent="0.25">
      <c r="A988" s="36"/>
    </row>
    <row r="989" spans="1:1" ht="15.75" customHeight="1" x14ac:dyDescent="0.25">
      <c r="A989" s="36"/>
    </row>
    <row r="990" spans="1:1" ht="15.75" customHeight="1" x14ac:dyDescent="0.25">
      <c r="A990" s="36"/>
    </row>
    <row r="991" spans="1:1" ht="15.75" customHeight="1" x14ac:dyDescent="0.25">
      <c r="A991" s="36"/>
    </row>
    <row r="992" spans="1:1" ht="15.75" customHeight="1" x14ac:dyDescent="0.25">
      <c r="A992" s="36"/>
    </row>
    <row r="993" spans="1:1" ht="15.75" customHeight="1" x14ac:dyDescent="0.25">
      <c r="A993" s="36"/>
    </row>
    <row r="994" spans="1:1" ht="15.75" customHeight="1" x14ac:dyDescent="0.25">
      <c r="A994" s="36"/>
    </row>
    <row r="995" spans="1:1" ht="15.75" customHeight="1" x14ac:dyDescent="0.25">
      <c r="A995" s="36"/>
    </row>
    <row r="996" spans="1:1" ht="15.75" customHeight="1" x14ac:dyDescent="0.25">
      <c r="A996" s="36"/>
    </row>
    <row r="997" spans="1:1" ht="15.75" customHeight="1" x14ac:dyDescent="0.25">
      <c r="A997" s="36"/>
    </row>
    <row r="998" spans="1:1" ht="15.75" customHeight="1" x14ac:dyDescent="0.25">
      <c r="A998" s="36"/>
    </row>
    <row r="999" spans="1:1" ht="15.75" customHeight="1" x14ac:dyDescent="0.25">
      <c r="A999" s="36"/>
    </row>
    <row r="1000" spans="1:1" ht="15.75" customHeight="1" x14ac:dyDescent="0.25">
      <c r="A1000" s="36"/>
    </row>
  </sheetData>
  <pageMargins left="0.70866141732283472" right="0.70866141732283472" top="0.74803149606299213" bottom="0.74803149606299213" header="0" footer="0"/>
  <pageSetup paperSize="9" orientation="landscape"/>
  <headerFooter>
    <oddHeader>&amp;R&amp;F  &amp;A</oddHeader>
    <oddFooter>&amp;L© 2016&amp;CPage &amp;P of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3" ma:contentTypeDescription="Create a new document." ma:contentTypeScope="" ma:versionID="91a2337fa3e469389372e0f8f3ebfbff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997a15627981ecf1ec0c7ac2787440f4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DF90780-3A8C-4E81-8F01-756CFE9BBDC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E291264-EA53-4872-8705-8918FCBE98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33</vt:i4>
      </vt:variant>
    </vt:vector>
  </HeadingPairs>
  <TitlesOfParts>
    <vt:vector size="42" baseType="lpstr">
      <vt:lpstr>Welcome</vt:lpstr>
      <vt:lpstr>Info</vt:lpstr>
      <vt:lpstr>LBO initial</vt:lpstr>
      <vt:lpstr>Add-on acquisition</vt:lpstr>
      <vt:lpstr>LBO add-on</vt:lpstr>
      <vt:lpstr>Recapitalization</vt:lpstr>
      <vt:lpstr>LBO recap</vt:lpstr>
      <vt:lpstr>Ratchet</vt:lpstr>
      <vt:lpstr>Factset codes</vt:lpstr>
      <vt:lpstr>AddonSwitch</vt:lpstr>
      <vt:lpstr>AddonYear</vt:lpstr>
      <vt:lpstr>CircSwitch</vt:lpstr>
      <vt:lpstr>'Factset codes'!COMP_CALENDARIZE_PERCENTAGES</vt:lpstr>
      <vt:lpstr>'Factset codes'!COMP_EQ_VALUE</vt:lpstr>
      <vt:lpstr>'Factset codes'!COMP_EV</vt:lpstr>
      <vt:lpstr>'Factset codes'!Comp_MTR</vt:lpstr>
      <vt:lpstr>'Factset codes'!COMP_SHAREPRICE</vt:lpstr>
      <vt:lpstr>'Factset codes'!EBIT_LTM</vt:lpstr>
      <vt:lpstr>'Factset codes'!EBITDA_LTM</vt:lpstr>
      <vt:lpstr>'Factset codes'!EV_EBIT_CY1</vt:lpstr>
      <vt:lpstr>'Factset codes'!EV_EBIT_CY2</vt:lpstr>
      <vt:lpstr>'Factset codes'!EV_EBIT_CY3</vt:lpstr>
      <vt:lpstr>'Factset codes'!EV_EBIT_CY4</vt:lpstr>
      <vt:lpstr>'Factset codes'!EV_EBIT_LTM</vt:lpstr>
      <vt:lpstr>'Factset codes'!EV_EBITDA_CY1</vt:lpstr>
      <vt:lpstr>'Factset codes'!EV_EBITDA_CY2</vt:lpstr>
      <vt:lpstr>'Factset codes'!EV_EBITDA_CY3</vt:lpstr>
      <vt:lpstr>'Factset codes'!EV_EBITDA_CY4</vt:lpstr>
      <vt:lpstr>'Factset codes'!EV_EBITDA_LMT</vt:lpstr>
      <vt:lpstr>'Factset codes'!EV_REVENUE_CY1</vt:lpstr>
      <vt:lpstr>'Factset codes'!EV_REVENUE_CY2</vt:lpstr>
      <vt:lpstr>'Factset codes'!EV_REVENUE_CY3</vt:lpstr>
      <vt:lpstr>'Factset codes'!EV_REVENUE_CY4</vt:lpstr>
      <vt:lpstr>'Factset codes'!EV_REVENUE_LTM</vt:lpstr>
      <vt:lpstr>'Factset codes'!FCF_LTM</vt:lpstr>
      <vt:lpstr>'Factset codes'!PE_CY1</vt:lpstr>
      <vt:lpstr>'Factset codes'!PE_CY2</vt:lpstr>
      <vt:lpstr>'Factset codes'!PE_CY3</vt:lpstr>
      <vt:lpstr>'Factset codes'!PE_CY4</vt:lpstr>
      <vt:lpstr>RecapSwitch</vt:lpstr>
      <vt:lpstr>RecapYear</vt:lpstr>
      <vt:lpstr>'Factset codes'!SALES_LTM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Andrew Jones</cp:lastModifiedBy>
  <cp:lastPrinted>2023-01-16T17:52:41Z</cp:lastPrinted>
  <dcterms:created xsi:type="dcterms:W3CDTF">2016-02-03T14:06:14Z</dcterms:created>
  <dcterms:modified xsi:type="dcterms:W3CDTF">2023-11-16T15:13:00Z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=fdsSearchOrder">
    <vt:i4>0</vt:i4>
  </property>
</Properties>
</file>