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externalLinks/externalLink1.xml" ContentType="application/vnd.openxmlformats-officedocument.spreadsheetml.externalLink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/>
  <mc:AlternateContent xmlns:mc="http://schemas.openxmlformats.org/markup-compatibility/2006">
    <mc:Choice Requires="x15">
      <x15ac:absPath xmlns:x15ac="http://schemas.microsoft.com/office/spreadsheetml/2010/11/ac" url="G:\My Drive\D Taylor\Useful Materials\Forensic Accounting\Classroom Materials\"/>
    </mc:Choice>
  </mc:AlternateContent>
  <xr:revisionPtr revIDLastSave="0" documentId="13_ncr:1_{907A1964-04F6-49F9-8F22-8C4D03165A3D}" xr6:coauthVersionLast="46" xr6:coauthVersionMax="46" xr10:uidLastSave="{00000000-0000-0000-0000-000000000000}"/>
  <bookViews>
    <workbookView xWindow="-98" yWindow="-98" windowWidth="20715" windowHeight="13276" tabRatio="716" xr2:uid="{00000000-000D-0000-FFFF-FFFF00000000}"/>
  </bookViews>
  <sheets>
    <sheet name="Welcome" sheetId="1" r:id="rId1"/>
    <sheet name="Info" sheetId="6" r:id="rId2"/>
    <sheet name="Workouts" sheetId="33" r:id="rId3"/>
    <sheet name="Estimates" sheetId="38" r:id="rId4"/>
    <sheet name="Patisserie Valerie" sheetId="21" r:id="rId5"/>
    <sheet name="Apple" sheetId="24" r:id="rId6"/>
    <sheet name="Capita 2" sheetId="37" r:id="rId7"/>
    <sheet name="Pearson" sheetId="25" r:id="rId8"/>
    <sheet name="Aston Martin" sheetId="14" r:id="rId9"/>
    <sheet name="Steinhoff" sheetId="31" r:id="rId10"/>
    <sheet name="Kier" sheetId="35" r:id="rId11"/>
    <sheet name="Interserve" sheetId="23" r:id="rId12"/>
    <sheet name="Flybe" sheetId="16" r:id="rId13"/>
    <sheet name="Hertz" sheetId="27" r:id="rId14"/>
    <sheet name="Company X" sheetId="32" r:id="rId15"/>
  </sheets>
  <externalReferences>
    <externalReference r:id="rId16"/>
  </externalReference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3">Estimates!$A$1:$N$70</definedName>
    <definedName name="switch">Info!$N$10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" i="38" l="1"/>
  <c r="D67" i="38"/>
  <c r="C67" i="38"/>
  <c r="G66" i="38"/>
  <c r="E66" i="38"/>
  <c r="H66" i="38" s="1"/>
  <c r="G65" i="38"/>
  <c r="E65" i="38"/>
  <c r="H65" i="38" s="1"/>
  <c r="E64" i="38"/>
  <c r="H64" i="38" s="1"/>
  <c r="H67" i="38" s="1"/>
  <c r="D60" i="38"/>
  <c r="C60" i="38"/>
  <c r="E59" i="38"/>
  <c r="H59" i="38" s="1"/>
  <c r="H60" i="38" s="1"/>
  <c r="H58" i="38"/>
  <c r="D56" i="38"/>
  <c r="C56" i="38"/>
  <c r="G55" i="38"/>
  <c r="H55" i="38" s="1"/>
  <c r="H56" i="38" s="1"/>
  <c r="H54" i="38"/>
  <c r="F43" i="38"/>
  <c r="F42" i="38"/>
  <c r="E42" i="38"/>
  <c r="E43" i="38" s="1"/>
  <c r="D42" i="38"/>
  <c r="D43" i="38" s="1"/>
  <c r="D28" i="38"/>
  <c r="D29" i="38" s="1"/>
  <c r="D27" i="38"/>
  <c r="E14" i="38"/>
  <c r="E16" i="38" s="1"/>
  <c r="D14" i="38"/>
  <c r="D16" i="38" s="1"/>
  <c r="D11" i="38"/>
  <c r="D101" i="32"/>
  <c r="E101" i="32"/>
  <c r="F101" i="32"/>
  <c r="G101" i="32"/>
  <c r="H101" i="32"/>
  <c r="C101" i="32"/>
  <c r="D97" i="32"/>
  <c r="E97" i="32"/>
  <c r="F97" i="32"/>
  <c r="G97" i="32"/>
  <c r="H97" i="32"/>
  <c r="C97" i="32"/>
  <c r="D91" i="32"/>
  <c r="E91" i="32"/>
  <c r="F91" i="32"/>
  <c r="G91" i="32"/>
  <c r="H91" i="32"/>
  <c r="C91" i="32"/>
  <c r="G84" i="32"/>
  <c r="D82" i="32"/>
  <c r="D84" i="32" s="1"/>
  <c r="E82" i="32"/>
  <c r="E84" i="32" s="1"/>
  <c r="F82" i="32"/>
  <c r="F84" i="32" s="1"/>
  <c r="G82" i="32"/>
  <c r="H82" i="32"/>
  <c r="H84" i="32" s="1"/>
  <c r="C82" i="32"/>
  <c r="C84" i="32" s="1"/>
  <c r="D72" i="32"/>
  <c r="E72" i="32"/>
  <c r="F72" i="32"/>
  <c r="G72" i="32"/>
  <c r="H72" i="32"/>
  <c r="C72" i="32"/>
  <c r="D62" i="32"/>
  <c r="D68" i="32" s="1"/>
  <c r="D73" i="32" s="1"/>
  <c r="E62" i="32"/>
  <c r="E68" i="32" s="1"/>
  <c r="E73" i="32" s="1"/>
  <c r="F62" i="32"/>
  <c r="F68" i="32" s="1"/>
  <c r="F73" i="32" s="1"/>
  <c r="G62" i="32"/>
  <c r="G68" i="32" s="1"/>
  <c r="G73" i="32" s="1"/>
  <c r="H62" i="32"/>
  <c r="H68" i="32" s="1"/>
  <c r="H73" i="32" s="1"/>
  <c r="C62" i="32"/>
  <c r="C68" i="32" s="1"/>
  <c r="C73" i="32" s="1"/>
  <c r="C75" i="32" s="1"/>
  <c r="D47" i="32"/>
  <c r="D55" i="32" s="1"/>
  <c r="E47" i="32"/>
  <c r="E55" i="32" s="1"/>
  <c r="F47" i="32"/>
  <c r="F55" i="32" s="1"/>
  <c r="G47" i="32"/>
  <c r="G55" i="32" s="1"/>
  <c r="H47" i="32"/>
  <c r="H55" i="32" s="1"/>
  <c r="C47" i="32"/>
  <c r="C55" i="32" s="1"/>
  <c r="D19" i="32"/>
  <c r="D22" i="32" s="1"/>
  <c r="D26" i="32" s="1"/>
  <c r="D29" i="32" s="1"/>
  <c r="D31" i="32" s="1"/>
  <c r="E19" i="32"/>
  <c r="E22" i="32" s="1"/>
  <c r="E26" i="32" s="1"/>
  <c r="E29" i="32" s="1"/>
  <c r="E31" i="32" s="1"/>
  <c r="F19" i="32"/>
  <c r="F22" i="32" s="1"/>
  <c r="F26" i="32" s="1"/>
  <c r="F29" i="32" s="1"/>
  <c r="F31" i="32" s="1"/>
  <c r="G19" i="32"/>
  <c r="G22" i="32" s="1"/>
  <c r="G26" i="32" s="1"/>
  <c r="G29" i="32" s="1"/>
  <c r="G31" i="32" s="1"/>
  <c r="H19" i="32"/>
  <c r="H22" i="32" s="1"/>
  <c r="H26" i="32" s="1"/>
  <c r="H29" i="32" s="1"/>
  <c r="H31" i="32" s="1"/>
  <c r="C19" i="32"/>
  <c r="C22" i="32" s="1"/>
  <c r="C26" i="32" s="1"/>
  <c r="C29" i="32" s="1"/>
  <c r="C31" i="32" s="1"/>
  <c r="E50" i="14"/>
  <c r="D50" i="14"/>
  <c r="C50" i="14"/>
  <c r="I67" i="38"/>
  <c r="I64" i="38"/>
  <c r="I59" i="38"/>
  <c r="E31" i="38"/>
  <c r="G16" i="38"/>
  <c r="F66" i="38"/>
  <c r="I55" i="38"/>
  <c r="G42" i="38"/>
  <c r="E29" i="38"/>
  <c r="I65" i="38"/>
  <c r="I58" i="38"/>
  <c r="E28" i="38"/>
  <c r="G14" i="38"/>
  <c r="I56" i="38"/>
  <c r="I66" i="38"/>
  <c r="F65" i="38"/>
  <c r="G43" i="38"/>
  <c r="E27" i="38"/>
  <c r="F64" i="38"/>
  <c r="I60" i="38"/>
  <c r="I54" i="38"/>
  <c r="E33" i="38"/>
  <c r="F67" i="38"/>
  <c r="I29" i="32"/>
  <c r="I82" i="32"/>
  <c r="I19" i="32"/>
  <c r="I91" i="32"/>
  <c r="I47" i="32"/>
  <c r="I39" i="32"/>
  <c r="I101" i="32"/>
  <c r="F50" i="14"/>
  <c r="I22" i="32"/>
  <c r="I68" i="32"/>
  <c r="I62" i="32"/>
  <c r="I55" i="32"/>
  <c r="I97" i="32"/>
  <c r="I84" i="32"/>
  <c r="I26" i="32"/>
  <c r="I31" i="32"/>
  <c r="I75" i="32"/>
  <c r="I72" i="32"/>
  <c r="I73" i="32"/>
  <c r="D31" i="38" l="1"/>
  <c r="D33" i="38"/>
  <c r="F14" i="38"/>
  <c r="F16" i="38" s="1"/>
  <c r="E67" i="38"/>
  <c r="E75" i="32"/>
  <c r="H75" i="32"/>
  <c r="D75" i="32"/>
  <c r="F75" i="32"/>
  <c r="G75" i="32"/>
  <c r="H39" i="32"/>
  <c r="G39" i="32"/>
  <c r="C39" i="32"/>
  <c r="F39" i="32"/>
  <c r="D39" i="32"/>
  <c r="E39" i="32"/>
  <c r="E503" i="33"/>
  <c r="D503" i="33"/>
  <c r="C503" i="33"/>
  <c r="E502" i="33"/>
  <c r="D502" i="33"/>
  <c r="D505" i="33" s="1"/>
  <c r="C502" i="33"/>
  <c r="E471" i="33"/>
  <c r="D471" i="33"/>
  <c r="C471" i="33"/>
  <c r="E468" i="33"/>
  <c r="D468" i="33"/>
  <c r="C468" i="33"/>
  <c r="E467" i="33"/>
  <c r="D467" i="33"/>
  <c r="C467" i="33"/>
  <c r="C429" i="33"/>
  <c r="C355" i="33"/>
  <c r="C363" i="33" s="1"/>
  <c r="C360" i="33"/>
  <c r="D113" i="21"/>
  <c r="D140" i="21"/>
  <c r="F17" i="14"/>
  <c r="H30" i="21"/>
  <c r="F506" i="33"/>
  <c r="D109" i="21"/>
  <c r="F25" i="14"/>
  <c r="D145" i="21"/>
  <c r="H70" i="21"/>
  <c r="F34" i="14"/>
  <c r="H57" i="21"/>
  <c r="F468" i="33"/>
  <c r="F43" i="14"/>
  <c r="D108" i="21"/>
  <c r="D143" i="21"/>
  <c r="F13" i="14"/>
  <c r="D150" i="21"/>
  <c r="F47" i="14"/>
  <c r="F505" i="33"/>
  <c r="D147" i="21"/>
  <c r="F24" i="14"/>
  <c r="D179" i="21"/>
  <c r="H55" i="21"/>
  <c r="F363" i="33"/>
  <c r="D148" i="21"/>
  <c r="H46" i="21"/>
  <c r="F355" i="33"/>
  <c r="E66" i="14"/>
  <c r="F502" i="33"/>
  <c r="H45" i="21"/>
  <c r="H43" i="21"/>
  <c r="F22" i="14"/>
  <c r="D146" i="21"/>
  <c r="F467" i="33"/>
  <c r="D152" i="21"/>
  <c r="F58" i="14"/>
  <c r="F15" i="14"/>
  <c r="D112" i="21"/>
  <c r="H67" i="21"/>
  <c r="F471" i="33"/>
  <c r="F27" i="14"/>
  <c r="F56" i="14"/>
  <c r="D151" i="21"/>
  <c r="F32" i="14"/>
  <c r="D114" i="21"/>
  <c r="F26" i="14"/>
  <c r="F362" i="33"/>
  <c r="H19" i="21"/>
  <c r="H33" i="21"/>
  <c r="F46" i="14"/>
  <c r="D106" i="21"/>
  <c r="F360" i="33"/>
  <c r="E69" i="14"/>
  <c r="F469" i="33"/>
  <c r="D107" i="21"/>
  <c r="F503" i="33"/>
  <c r="E65" i="14"/>
  <c r="F31" i="14"/>
  <c r="F39" i="14"/>
  <c r="H32" i="21"/>
  <c r="F21" i="14"/>
  <c r="F356" i="33"/>
  <c r="D144" i="21"/>
  <c r="F507" i="33"/>
  <c r="F19" i="14"/>
  <c r="H58" i="21"/>
  <c r="F364" i="33"/>
  <c r="F472" i="33"/>
  <c r="D115" i="21"/>
  <c r="H16" i="21"/>
  <c r="E67" i="14"/>
  <c r="F55" i="14"/>
  <c r="F16" i="14"/>
  <c r="F59" i="14"/>
  <c r="D176" i="21"/>
  <c r="H69" i="21"/>
  <c r="H18" i="21"/>
  <c r="D469" i="33" l="1"/>
  <c r="D472" i="33" s="1"/>
  <c r="E469" i="33"/>
  <c r="E472" i="33" s="1"/>
  <c r="E505" i="33"/>
  <c r="D506" i="33"/>
  <c r="D507" i="33"/>
  <c r="E506" i="33"/>
  <c r="C507" i="33"/>
  <c r="E507" i="33"/>
  <c r="C469" i="33"/>
  <c r="C472" i="33" s="1"/>
  <c r="E340" i="33"/>
  <c r="D340" i="33"/>
  <c r="D358" i="33" s="1"/>
  <c r="E352" i="33"/>
  <c r="D352" i="33"/>
  <c r="E351" i="33"/>
  <c r="D351" i="33"/>
  <c r="E350" i="33"/>
  <c r="D350" i="33"/>
  <c r="E347" i="33"/>
  <c r="D347" i="33"/>
  <c r="E346" i="33"/>
  <c r="D346" i="33"/>
  <c r="E345" i="33"/>
  <c r="D345" i="33"/>
  <c r="E344" i="33"/>
  <c r="D344" i="33"/>
  <c r="E343" i="33"/>
  <c r="E360" i="33" s="1"/>
  <c r="D343" i="33"/>
  <c r="D360" i="33" s="1"/>
  <c r="E313" i="33"/>
  <c r="D313" i="33"/>
  <c r="E311" i="33"/>
  <c r="D311" i="33"/>
  <c r="C311" i="33"/>
  <c r="C310" i="33"/>
  <c r="E269" i="33"/>
  <c r="D269" i="33"/>
  <c r="E266" i="33"/>
  <c r="D266" i="33"/>
  <c r="E267" i="33"/>
  <c r="E310" i="33" s="1"/>
  <c r="D267" i="33"/>
  <c r="D270" i="33" s="1"/>
  <c r="C270" i="33"/>
  <c r="F359" i="33"/>
  <c r="F313" i="33"/>
  <c r="F353" i="33"/>
  <c r="F352" i="33"/>
  <c r="F358" i="33"/>
  <c r="F346" i="33"/>
  <c r="F350" i="33"/>
  <c r="F345" i="33"/>
  <c r="F310" i="33"/>
  <c r="F314" i="33"/>
  <c r="F311" i="33"/>
  <c r="F347" i="33"/>
  <c r="F348" i="33"/>
  <c r="F351" i="33"/>
  <c r="F344" i="33"/>
  <c r="F312" i="33"/>
  <c r="F343" i="33"/>
  <c r="E355" i="33" l="1"/>
  <c r="E363" i="33" s="1"/>
  <c r="C312" i="33"/>
  <c r="C314" i="33" s="1"/>
  <c r="E358" i="33"/>
  <c r="D355" i="33"/>
  <c r="E312" i="33"/>
  <c r="E314" i="33" s="1"/>
  <c r="D359" i="33"/>
  <c r="E359" i="33"/>
  <c r="D310" i="33"/>
  <c r="D312" i="33" s="1"/>
  <c r="D314" i="33" s="1"/>
  <c r="E270" i="33"/>
  <c r="F270" i="33"/>
  <c r="D363" i="33" l="1"/>
  <c r="D362" i="33"/>
  <c r="E362" i="33"/>
  <c r="F233" i="33" l="1"/>
  <c r="E233" i="33"/>
  <c r="F231" i="33"/>
  <c r="E231" i="33"/>
  <c r="F230" i="33"/>
  <c r="E230" i="33"/>
  <c r="F268" i="33"/>
  <c r="G230" i="33"/>
  <c r="G233" i="33"/>
  <c r="G232" i="33"/>
  <c r="G234" i="33"/>
  <c r="G240" i="33"/>
  <c r="G231" i="33"/>
  <c r="D234" i="33" l="1"/>
  <c r="D240" i="33" s="1"/>
  <c r="C234" i="33"/>
  <c r="C240" i="33" s="1"/>
  <c r="E166" i="33"/>
  <c r="F166" i="33"/>
  <c r="F163" i="33"/>
  <c r="E163" i="33"/>
  <c r="F164" i="33"/>
  <c r="E164" i="33"/>
  <c r="F161" i="33"/>
  <c r="E161" i="33"/>
  <c r="F159" i="33"/>
  <c r="E159" i="33"/>
  <c r="C89" i="33"/>
  <c r="D89" i="33"/>
  <c r="E89" i="33"/>
  <c r="F89" i="33"/>
  <c r="C90" i="33"/>
  <c r="D90" i="33"/>
  <c r="E90" i="33"/>
  <c r="F90" i="33"/>
  <c r="C91" i="33"/>
  <c r="D91" i="33"/>
  <c r="F91" i="33"/>
  <c r="C92" i="33"/>
  <c r="D92" i="33"/>
  <c r="E92" i="33"/>
  <c r="F92" i="33"/>
  <c r="C93" i="33"/>
  <c r="D93" i="33"/>
  <c r="E93" i="33"/>
  <c r="F93" i="33"/>
  <c r="C94" i="33"/>
  <c r="D94" i="33"/>
  <c r="E94" i="33"/>
  <c r="F94" i="33"/>
  <c r="D88" i="33"/>
  <c r="E88" i="33"/>
  <c r="F88" i="33"/>
  <c r="C88" i="33"/>
  <c r="D69" i="33"/>
  <c r="E69" i="33"/>
  <c r="F69" i="33"/>
  <c r="C69" i="33"/>
  <c r="G161" i="33"/>
  <c r="G96" i="33"/>
  <c r="G70" i="33"/>
  <c r="G87" i="33"/>
  <c r="G90" i="33"/>
  <c r="G69" i="33"/>
  <c r="G159" i="33"/>
  <c r="G167" i="33"/>
  <c r="G72" i="33"/>
  <c r="G165" i="33"/>
  <c r="G95" i="33"/>
  <c r="G88" i="33"/>
  <c r="G92" i="33"/>
  <c r="G93" i="33"/>
  <c r="G158" i="33"/>
  <c r="G71" i="33"/>
  <c r="G94" i="33"/>
  <c r="G91" i="33"/>
  <c r="G164" i="33"/>
  <c r="G160" i="33"/>
  <c r="G166" i="33"/>
  <c r="G163" i="33"/>
  <c r="G162" i="33"/>
  <c r="G89" i="33"/>
  <c r="F20" i="33" l="1"/>
  <c r="D20" i="33"/>
  <c r="D70" i="33" s="1"/>
  <c r="D71" i="33" s="1"/>
  <c r="D87" i="33" s="1"/>
  <c r="C20" i="33"/>
  <c r="C70" i="33" s="1"/>
  <c r="C71" i="33" s="1"/>
  <c r="C87" i="33" s="1"/>
  <c r="E16" i="33"/>
  <c r="F70" i="33" l="1"/>
  <c r="F71" i="33" s="1"/>
  <c r="F87" i="33" s="1"/>
  <c r="F95" i="33" s="1"/>
  <c r="F96" i="33" s="1"/>
  <c r="F158" i="33"/>
  <c r="F160" i="33" s="1"/>
  <c r="F162" i="33" s="1"/>
  <c r="F165" i="33" s="1"/>
  <c r="F167" i="33" s="1"/>
  <c r="F232" i="33" s="1"/>
  <c r="F234" i="33" s="1"/>
  <c r="F240" i="33" s="1"/>
  <c r="E20" i="33"/>
  <c r="E91" i="33"/>
  <c r="D95" i="33"/>
  <c r="D96" i="33" s="1"/>
  <c r="C95" i="33"/>
  <c r="C96" i="33" s="1"/>
  <c r="D72" i="33"/>
  <c r="C72" i="33"/>
  <c r="D115" i="37"/>
  <c r="D113" i="37"/>
  <c r="E112" i="37"/>
  <c r="F101" i="37"/>
  <c r="D100" i="37"/>
  <c r="D102" i="37" s="1"/>
  <c r="C100" i="37"/>
  <c r="C102" i="37" s="1"/>
  <c r="F99" i="37"/>
  <c r="F98" i="37"/>
  <c r="F97" i="37"/>
  <c r="F96" i="37"/>
  <c r="F95" i="37"/>
  <c r="F94" i="37"/>
  <c r="F100" i="37" s="1"/>
  <c r="F102" i="37" s="1"/>
  <c r="F93" i="37"/>
  <c r="D91" i="37"/>
  <c r="C91" i="37"/>
  <c r="F90" i="37"/>
  <c r="F89" i="37"/>
  <c r="F88" i="37"/>
  <c r="F87" i="37"/>
  <c r="F86" i="37"/>
  <c r="F91" i="37" s="1"/>
  <c r="F84" i="37"/>
  <c r="F83" i="37"/>
  <c r="F82" i="37"/>
  <c r="F81" i="37"/>
  <c r="F80" i="37"/>
  <c r="F79" i="37"/>
  <c r="E78" i="37"/>
  <c r="D78" i="37"/>
  <c r="F78" i="37" s="1"/>
  <c r="C78" i="37"/>
  <c r="C77" i="37"/>
  <c r="C85" i="37" s="1"/>
  <c r="C92" i="37" s="1"/>
  <c r="C103" i="37" s="1"/>
  <c r="C75" i="37"/>
  <c r="C76" i="37" s="1"/>
  <c r="F74" i="37"/>
  <c r="E73" i="37"/>
  <c r="D73" i="37"/>
  <c r="D72" i="37" s="1"/>
  <c r="F72" i="37" s="1"/>
  <c r="C72" i="37"/>
  <c r="F71" i="37"/>
  <c r="F70" i="37"/>
  <c r="F69" i="37"/>
  <c r="D68" i="37"/>
  <c r="C68" i="37"/>
  <c r="F67" i="37"/>
  <c r="F66" i="37"/>
  <c r="F65" i="37"/>
  <c r="F64" i="37"/>
  <c r="F63" i="37"/>
  <c r="F68" i="37" s="1"/>
  <c r="F58" i="37"/>
  <c r="F56" i="37"/>
  <c r="F55" i="37"/>
  <c r="F53" i="37"/>
  <c r="F113" i="37" s="1"/>
  <c r="F52" i="37"/>
  <c r="F115" i="37" s="1"/>
  <c r="D51" i="37"/>
  <c r="F51" i="37" s="1"/>
  <c r="D50" i="37"/>
  <c r="D54" i="37" s="1"/>
  <c r="F49" i="37"/>
  <c r="F48" i="37"/>
  <c r="C15" i="35"/>
  <c r="C11" i="35"/>
  <c r="D15" i="35"/>
  <c r="D11" i="35"/>
  <c r="E15" i="35"/>
  <c r="E11" i="35"/>
  <c r="D72" i="35"/>
  <c r="E72" i="35"/>
  <c r="C72" i="35"/>
  <c r="C31" i="35"/>
  <c r="C71" i="35" s="1"/>
  <c r="C427" i="33"/>
  <c r="D422" i="33" l="1"/>
  <c r="C430" i="33"/>
  <c r="F72" i="33"/>
  <c r="E70" i="33"/>
  <c r="E71" i="33" s="1"/>
  <c r="E158" i="33"/>
  <c r="E160" i="33" s="1"/>
  <c r="E162" i="33" s="1"/>
  <c r="E165" i="33" s="1"/>
  <c r="E167" i="33" s="1"/>
  <c r="E232" i="33" s="1"/>
  <c r="E234" i="33" s="1"/>
  <c r="E240" i="33" s="1"/>
  <c r="F73" i="37"/>
  <c r="F75" i="37" s="1"/>
  <c r="F76" i="37" s="1"/>
  <c r="D77" i="37"/>
  <c r="D85" i="37" s="1"/>
  <c r="D92" i="37" s="1"/>
  <c r="D103" i="37" s="1"/>
  <c r="F50" i="37"/>
  <c r="F54" i="37" s="1"/>
  <c r="F57" i="37" s="1"/>
  <c r="F59" i="37" s="1"/>
  <c r="D112" i="37"/>
  <c r="D114" i="37" s="1"/>
  <c r="D116" i="37" s="1"/>
  <c r="D57" i="37"/>
  <c r="D59" i="37" s="1"/>
  <c r="C105" i="37"/>
  <c r="F77" i="37"/>
  <c r="F85" i="37" s="1"/>
  <c r="F92" i="37" s="1"/>
  <c r="F103" i="37" s="1"/>
  <c r="D75" i="37"/>
  <c r="D76" i="37" s="1"/>
  <c r="D105" i="37" s="1"/>
  <c r="C73" i="35"/>
  <c r="D427" i="33" l="1"/>
  <c r="D429" i="33"/>
  <c r="E87" i="33"/>
  <c r="E72" i="33"/>
  <c r="F105" i="37"/>
  <c r="F112" i="37"/>
  <c r="F114" i="37" s="1"/>
  <c r="F116" i="37" s="1"/>
  <c r="C268" i="33"/>
  <c r="D268" i="33"/>
  <c r="E268" i="33"/>
  <c r="E422" i="33" l="1"/>
  <c r="D430" i="33"/>
  <c r="E95" i="33"/>
  <c r="E96" i="33" s="1"/>
  <c r="E427" i="33" l="1"/>
  <c r="E430" i="33" s="1"/>
  <c r="E429" i="33"/>
  <c r="D131" i="35"/>
  <c r="E131" i="35"/>
  <c r="C131" i="35"/>
  <c r="D127" i="35"/>
  <c r="E127" i="35"/>
  <c r="D128" i="35"/>
  <c r="E128" i="35"/>
  <c r="C128" i="35"/>
  <c r="C127" i="35"/>
  <c r="D95" i="35"/>
  <c r="E95" i="35" s="1"/>
  <c r="C95" i="35"/>
  <c r="C76" i="35"/>
  <c r="D76" i="35"/>
  <c r="E76" i="35"/>
  <c r="C68" i="35"/>
  <c r="D68" i="35"/>
  <c r="E68" i="35"/>
  <c r="E38" i="35"/>
  <c r="E58" i="35" s="1"/>
  <c r="E79" i="35" s="1"/>
  <c r="D38" i="35"/>
  <c r="D58" i="35" s="1"/>
  <c r="D80" i="35" s="1"/>
  <c r="C58" i="35"/>
  <c r="C75" i="35" s="1"/>
  <c r="E21" i="35"/>
  <c r="D21" i="35"/>
  <c r="E19" i="35"/>
  <c r="A1" i="35"/>
  <c r="F59" i="31"/>
  <c r="E59" i="31"/>
  <c r="F53" i="31"/>
  <c r="E53" i="31"/>
  <c r="F52" i="31"/>
  <c r="E52" i="31"/>
  <c r="A1" i="31"/>
  <c r="A1" i="33"/>
  <c r="A1" i="24" s="1"/>
  <c r="A1" i="37" s="1"/>
  <c r="A1" i="25" s="1"/>
  <c r="D353" i="33"/>
  <c r="E353" i="33"/>
  <c r="C353" i="33"/>
  <c r="E348" i="33"/>
  <c r="D348" i="33"/>
  <c r="D356" i="33" s="1"/>
  <c r="D364" i="33" s="1"/>
  <c r="C348" i="33"/>
  <c r="E356" i="33" l="1"/>
  <c r="E364" i="33" s="1"/>
  <c r="C356" i="33"/>
  <c r="C364" i="33" s="1"/>
  <c r="E61" i="31"/>
  <c r="F61" i="31"/>
  <c r="C129" i="35"/>
  <c r="D31" i="35"/>
  <c r="D71" i="35" s="1"/>
  <c r="D73" i="35" s="1"/>
  <c r="E31" i="35"/>
  <c r="E71" i="35" s="1"/>
  <c r="E73" i="35" s="1"/>
  <c r="E129" i="35"/>
  <c r="D129" i="35"/>
  <c r="C132" i="35"/>
  <c r="C133" i="35" s="1"/>
  <c r="E132" i="35"/>
  <c r="E133" i="35" s="1"/>
  <c r="D132" i="35"/>
  <c r="D133" i="35" s="1"/>
  <c r="D79" i="35"/>
  <c r="D81" i="35" s="1"/>
  <c r="C79" i="35"/>
  <c r="C77" i="35"/>
  <c r="C80" i="35"/>
  <c r="D75" i="35"/>
  <c r="D77" i="35" s="1"/>
  <c r="E75" i="35"/>
  <c r="E77" i="35" s="1"/>
  <c r="E80" i="35"/>
  <c r="E81" i="35" s="1"/>
  <c r="C81" i="35" l="1"/>
  <c r="D57" i="21"/>
  <c r="E54" i="21"/>
  <c r="E55" i="21" s="1"/>
  <c r="E58" i="21" s="1"/>
  <c r="D54" i="21"/>
  <c r="D55" i="21" s="1"/>
  <c r="D58" i="21" s="1"/>
  <c r="G69" i="21"/>
  <c r="F69" i="21"/>
  <c r="E69" i="21"/>
  <c r="F67" i="21"/>
  <c r="F70" i="21" s="1"/>
  <c r="E67" i="21"/>
  <c r="E70" i="21" s="1"/>
  <c r="G67" i="21"/>
  <c r="G70" i="21" s="1"/>
  <c r="G54" i="21"/>
  <c r="F54" i="21"/>
  <c r="F55" i="21" s="1"/>
  <c r="F58" i="21" s="1"/>
  <c r="G57" i="21"/>
  <c r="F57" i="21"/>
  <c r="G55" i="21" l="1"/>
  <c r="G58" i="21" s="1"/>
  <c r="E57" i="21"/>
  <c r="E58" i="14" l="1"/>
  <c r="D58" i="14"/>
  <c r="C58" i="14"/>
  <c r="F102" i="31" l="1"/>
  <c r="E102" i="31"/>
  <c r="G102" i="31" s="1"/>
  <c r="G101" i="31"/>
  <c r="G100" i="31"/>
  <c r="G59" i="31"/>
  <c r="G51" i="31"/>
  <c r="C12" i="27" l="1"/>
  <c r="C20" i="27" s="1"/>
  <c r="C23" i="27" s="1"/>
  <c r="C24" i="27" s="1"/>
  <c r="D26" i="25"/>
  <c r="C26" i="25"/>
  <c r="D24" i="25"/>
  <c r="D31" i="25" s="1"/>
  <c r="C24" i="25"/>
  <c r="C31" i="25" s="1"/>
  <c r="E23" i="25"/>
  <c r="E24" i="25" s="1"/>
  <c r="E31" i="25" s="1"/>
  <c r="D23" i="25"/>
  <c r="D17" i="25"/>
  <c r="D253" i="24"/>
  <c r="D254" i="24" s="1"/>
  <c r="D240" i="24"/>
  <c r="D241" i="24" s="1"/>
  <c r="C217" i="24"/>
  <c r="C216" i="24"/>
  <c r="C218" i="24" s="1"/>
  <c r="C206" i="24"/>
  <c r="C205" i="24"/>
  <c r="D175" i="24"/>
  <c r="D176" i="24" s="1"/>
  <c r="D174" i="24"/>
  <c r="D171" i="24"/>
  <c r="D170" i="24"/>
  <c r="D164" i="24"/>
  <c r="C164" i="24"/>
  <c r="D163" i="24"/>
  <c r="C163" i="24"/>
  <c r="D161" i="24"/>
  <c r="D188" i="24" s="1"/>
  <c r="D190" i="24" s="1"/>
  <c r="C161" i="24"/>
  <c r="D111" i="24"/>
  <c r="D110" i="24"/>
  <c r="D108" i="24"/>
  <c r="D172" i="24" l="1"/>
  <c r="C207" i="24"/>
  <c r="D25" i="25"/>
  <c r="D27" i="25" s="1"/>
  <c r="C25" i="25"/>
  <c r="C27" i="25" s="1"/>
  <c r="C13" i="27"/>
  <c r="E26" i="25"/>
  <c r="E25" i="25"/>
  <c r="E27" i="25" l="1"/>
  <c r="D70" i="16" l="1"/>
  <c r="C70" i="16"/>
  <c r="D85" i="23"/>
  <c r="E85" i="23"/>
  <c r="F85" i="23"/>
  <c r="G85" i="23"/>
  <c r="C85" i="23"/>
  <c r="D78" i="23"/>
  <c r="E78" i="23"/>
  <c r="E79" i="23" s="1"/>
  <c r="E93" i="23" s="1"/>
  <c r="F78" i="23"/>
  <c r="F79" i="23" s="1"/>
  <c r="G78" i="23"/>
  <c r="C78" i="23"/>
  <c r="G70" i="23"/>
  <c r="G73" i="23" s="1"/>
  <c r="G92" i="23" s="1"/>
  <c r="F70" i="23"/>
  <c r="F73" i="23" s="1"/>
  <c r="F92" i="23" s="1"/>
  <c r="E70" i="23"/>
  <c r="E73" i="23" s="1"/>
  <c r="E92" i="23" s="1"/>
  <c r="E94" i="23" s="1"/>
  <c r="D70" i="23"/>
  <c r="D73" i="23" s="1"/>
  <c r="D92" i="23" s="1"/>
  <c r="C70" i="23"/>
  <c r="C73" i="23" s="1"/>
  <c r="C92" i="23" s="1"/>
  <c r="D64" i="23"/>
  <c r="D69" i="23" s="1"/>
  <c r="E64" i="23"/>
  <c r="E69" i="23" s="1"/>
  <c r="F64" i="23"/>
  <c r="F69" i="23" s="1"/>
  <c r="G64" i="23"/>
  <c r="G69" i="23" s="1"/>
  <c r="C64" i="23"/>
  <c r="C69" i="23" s="1"/>
  <c r="D54" i="23"/>
  <c r="D59" i="23" s="1"/>
  <c r="E54" i="23"/>
  <c r="E59" i="23" s="1"/>
  <c r="F54" i="23"/>
  <c r="F59" i="23" s="1"/>
  <c r="G54" i="23"/>
  <c r="G59" i="23" s="1"/>
  <c r="C54" i="23"/>
  <c r="C59" i="23" s="1"/>
  <c r="G35" i="23"/>
  <c r="F35" i="23"/>
  <c r="E35" i="23"/>
  <c r="D35" i="23"/>
  <c r="C35" i="23"/>
  <c r="D27" i="23"/>
  <c r="E27" i="23"/>
  <c r="F27" i="23"/>
  <c r="G27" i="23"/>
  <c r="C27" i="23"/>
  <c r="F22" i="23"/>
  <c r="G22" i="23"/>
  <c r="E22" i="23"/>
  <c r="D22" i="23"/>
  <c r="C22" i="23"/>
  <c r="D16" i="23"/>
  <c r="D18" i="23" s="1"/>
  <c r="E16" i="23"/>
  <c r="E18" i="23" s="1"/>
  <c r="E24" i="23" s="1"/>
  <c r="E38" i="23" s="1"/>
  <c r="E39" i="23" s="1"/>
  <c r="F16" i="23"/>
  <c r="F18" i="23" s="1"/>
  <c r="G16" i="23"/>
  <c r="G18" i="23" s="1"/>
  <c r="C16" i="23"/>
  <c r="C18" i="23" s="1"/>
  <c r="A1" i="23"/>
  <c r="C161" i="16"/>
  <c r="D161" i="16"/>
  <c r="E161" i="16"/>
  <c r="F161" i="16"/>
  <c r="G161" i="16"/>
  <c r="C162" i="16"/>
  <c r="D162" i="16"/>
  <c r="E162" i="16"/>
  <c r="F162" i="16"/>
  <c r="G162" i="16"/>
  <c r="C163" i="16"/>
  <c r="D163" i="16"/>
  <c r="E163" i="16"/>
  <c r="F163" i="16"/>
  <c r="G163" i="16"/>
  <c r="C164" i="16"/>
  <c r="D164" i="16"/>
  <c r="E164" i="16"/>
  <c r="F164" i="16"/>
  <c r="G164" i="16"/>
  <c r="B165" i="16"/>
  <c r="B164" i="16"/>
  <c r="B163" i="16"/>
  <c r="B162" i="16"/>
  <c r="B161" i="16"/>
  <c r="E132" i="16"/>
  <c r="E133" i="16"/>
  <c r="F133" i="16"/>
  <c r="G133" i="16"/>
  <c r="D133" i="16"/>
  <c r="D132" i="16"/>
  <c r="E141" i="16"/>
  <c r="F141" i="16"/>
  <c r="G141" i="16"/>
  <c r="D141" i="16"/>
  <c r="E127" i="16"/>
  <c r="F127" i="16"/>
  <c r="G127" i="16"/>
  <c r="E128" i="16"/>
  <c r="F128" i="16"/>
  <c r="G128" i="16"/>
  <c r="E129" i="16"/>
  <c r="F129" i="16"/>
  <c r="G129" i="16"/>
  <c r="E130" i="16"/>
  <c r="F130" i="16"/>
  <c r="G130" i="16"/>
  <c r="E134" i="16"/>
  <c r="F134" i="16"/>
  <c r="G134" i="16"/>
  <c r="E135" i="16"/>
  <c r="F135" i="16"/>
  <c r="G135" i="16"/>
  <c r="E144" i="16"/>
  <c r="F144" i="16"/>
  <c r="G144" i="16"/>
  <c r="E145" i="16"/>
  <c r="F145" i="16"/>
  <c r="G145" i="16"/>
  <c r="E146" i="16"/>
  <c r="F146" i="16"/>
  <c r="G146" i="16"/>
  <c r="D146" i="16"/>
  <c r="D145" i="16"/>
  <c r="D144" i="16"/>
  <c r="D135" i="16"/>
  <c r="D134" i="16"/>
  <c r="D130" i="16"/>
  <c r="D129" i="16"/>
  <c r="D127" i="16"/>
  <c r="D128" i="16"/>
  <c r="C104" i="16"/>
  <c r="E104" i="16"/>
  <c r="G104" i="16"/>
  <c r="F104" i="16"/>
  <c r="D104" i="16"/>
  <c r="F96" i="16"/>
  <c r="F91" i="16"/>
  <c r="F165" i="16" s="1"/>
  <c r="F85" i="16"/>
  <c r="F132" i="16" s="1"/>
  <c r="F80" i="16"/>
  <c r="F81" i="23" l="1"/>
  <c r="F80" i="23"/>
  <c r="F93" i="23"/>
  <c r="F94" i="23" s="1"/>
  <c r="F99" i="23" s="1"/>
  <c r="C109" i="23" s="1"/>
  <c r="E99" i="23"/>
  <c r="C112" i="23"/>
  <c r="E74" i="23"/>
  <c r="E76" i="23" s="1"/>
  <c r="G80" i="23"/>
  <c r="E95" i="23"/>
  <c r="D112" i="23"/>
  <c r="F166" i="16"/>
  <c r="G132" i="16"/>
  <c r="F74" i="23"/>
  <c r="F76" i="23" s="1"/>
  <c r="C79" i="23"/>
  <c r="C93" i="23" s="1"/>
  <c r="C94" i="23" s="1"/>
  <c r="C99" i="23" s="1"/>
  <c r="D79" i="23"/>
  <c r="E80" i="23"/>
  <c r="C74" i="23"/>
  <c r="C76" i="23" s="1"/>
  <c r="G74" i="23"/>
  <c r="G76" i="23" s="1"/>
  <c r="G79" i="23"/>
  <c r="D80" i="23"/>
  <c r="D74" i="23"/>
  <c r="D76" i="23" s="1"/>
  <c r="E40" i="23"/>
  <c r="E28" i="23"/>
  <c r="E31" i="23" s="1"/>
  <c r="E33" i="23" s="1"/>
  <c r="E37" i="23"/>
  <c r="G37" i="23"/>
  <c r="F37" i="23"/>
  <c r="D24" i="23"/>
  <c r="D37" i="23"/>
  <c r="G24" i="23"/>
  <c r="F24" i="23"/>
  <c r="C24" i="23"/>
  <c r="G122" i="16"/>
  <c r="F122" i="16"/>
  <c r="E122" i="16"/>
  <c r="G120" i="16"/>
  <c r="G124" i="16" s="1"/>
  <c r="F120" i="16"/>
  <c r="F124" i="16" s="1"/>
  <c r="E120" i="16"/>
  <c r="E124" i="16" s="1"/>
  <c r="F119" i="16"/>
  <c r="C122" i="16"/>
  <c r="D119" i="16" s="1"/>
  <c r="D122" i="16"/>
  <c r="D120" i="16"/>
  <c r="D124" i="16" s="1"/>
  <c r="F116" i="16"/>
  <c r="F126" i="16" s="1"/>
  <c r="D81" i="23" l="1"/>
  <c r="D93" i="23"/>
  <c r="D94" i="23" s="1"/>
  <c r="D99" i="23" s="1"/>
  <c r="E96" i="23"/>
  <c r="G81" i="23"/>
  <c r="G93" i="23"/>
  <c r="G94" i="23" s="1"/>
  <c r="G99" i="23" s="1"/>
  <c r="D109" i="23" s="1"/>
  <c r="E81" i="23"/>
  <c r="E41" i="23"/>
  <c r="E82" i="23"/>
  <c r="E83" i="23" s="1"/>
  <c r="E86" i="23" s="1"/>
  <c r="F28" i="23"/>
  <c r="F31" i="23" s="1"/>
  <c r="F33" i="23" s="1"/>
  <c r="F38" i="23"/>
  <c r="G28" i="23"/>
  <c r="G31" i="23" s="1"/>
  <c r="G33" i="23" s="1"/>
  <c r="G38" i="23"/>
  <c r="C28" i="23"/>
  <c r="C31" i="23" s="1"/>
  <c r="C33" i="23" s="1"/>
  <c r="C38" i="23"/>
  <c r="C95" i="23" s="1"/>
  <c r="D28" i="23"/>
  <c r="D31" i="23" s="1"/>
  <c r="D33" i="23" s="1"/>
  <c r="D38" i="23"/>
  <c r="D95" i="23" s="1"/>
  <c r="D96" i="23" s="1"/>
  <c r="F121" i="16"/>
  <c r="F147" i="16" s="1"/>
  <c r="F148" i="16" s="1"/>
  <c r="D121" i="16"/>
  <c r="D147" i="16" s="1"/>
  <c r="D148" i="16" s="1"/>
  <c r="G119" i="16"/>
  <c r="G121" i="16" s="1"/>
  <c r="G147" i="16" s="1"/>
  <c r="G148" i="16" s="1"/>
  <c r="E119" i="16"/>
  <c r="E121" i="16" s="1"/>
  <c r="E147" i="16" s="1"/>
  <c r="E148" i="16" s="1"/>
  <c r="E116" i="16"/>
  <c r="E126" i="16" s="1"/>
  <c r="G116" i="16"/>
  <c r="G126" i="16" s="1"/>
  <c r="D116" i="16"/>
  <c r="D126" i="16" s="1"/>
  <c r="D105" i="16"/>
  <c r="D111" i="16" s="1"/>
  <c r="D125" i="16" s="1"/>
  <c r="E105" i="16"/>
  <c r="E111" i="16" s="1"/>
  <c r="E125" i="16" s="1"/>
  <c r="F105" i="16"/>
  <c r="F111" i="16" s="1"/>
  <c r="F125" i="16" s="1"/>
  <c r="G105" i="16"/>
  <c r="G111" i="16" s="1"/>
  <c r="G125" i="16" s="1"/>
  <c r="C105" i="16"/>
  <c r="E117" i="16"/>
  <c r="F114" i="16" s="1"/>
  <c r="F117" i="16"/>
  <c r="G117" i="16"/>
  <c r="D117" i="16"/>
  <c r="E114" i="16" s="1"/>
  <c r="C117" i="16"/>
  <c r="D114" i="16" s="1"/>
  <c r="E112" i="16"/>
  <c r="F109" i="16" s="1"/>
  <c r="F112" i="16"/>
  <c r="G112" i="16"/>
  <c r="D112" i="16"/>
  <c r="E109" i="16" s="1"/>
  <c r="C112" i="16"/>
  <c r="D109" i="16" s="1"/>
  <c r="C96" i="16"/>
  <c r="G96" i="16"/>
  <c r="G136" i="16" s="1"/>
  <c r="E96" i="16"/>
  <c r="D96" i="16"/>
  <c r="G91" i="16"/>
  <c r="G165" i="16" s="1"/>
  <c r="G166" i="16" s="1"/>
  <c r="G167" i="16" s="1"/>
  <c r="F92" i="16"/>
  <c r="E91" i="16"/>
  <c r="E165" i="16" s="1"/>
  <c r="E166" i="16" s="1"/>
  <c r="F167" i="16" s="1"/>
  <c r="D91" i="16"/>
  <c r="D165" i="16" s="1"/>
  <c r="D166" i="16" s="1"/>
  <c r="E167" i="16" s="1"/>
  <c r="C91" i="16"/>
  <c r="C165" i="16" s="1"/>
  <c r="C166" i="16" s="1"/>
  <c r="G80" i="16"/>
  <c r="E80" i="16"/>
  <c r="D80" i="16"/>
  <c r="C80" i="16"/>
  <c r="C152" i="16" s="1"/>
  <c r="D150" i="16" s="1"/>
  <c r="E100" i="23" l="1"/>
  <c r="E97" i="23"/>
  <c r="G95" i="23"/>
  <c r="G96" i="23" s="1"/>
  <c r="D116" i="23"/>
  <c r="C96" i="23"/>
  <c r="F95" i="23"/>
  <c r="F96" i="23" s="1"/>
  <c r="C116" i="23"/>
  <c r="D100" i="23"/>
  <c r="D97" i="23"/>
  <c r="D167" i="16"/>
  <c r="D39" i="23"/>
  <c r="D40" i="23"/>
  <c r="C39" i="23"/>
  <c r="C40" i="23"/>
  <c r="F39" i="23"/>
  <c r="F40" i="23"/>
  <c r="G39" i="23"/>
  <c r="G40" i="23"/>
  <c r="E136" i="16"/>
  <c r="F136" i="16"/>
  <c r="C92" i="16"/>
  <c r="C97" i="16" s="1"/>
  <c r="C100" i="16" s="1"/>
  <c r="G92" i="16"/>
  <c r="G97" i="16" s="1"/>
  <c r="G100" i="16" s="1"/>
  <c r="G131" i="16"/>
  <c r="G137" i="16" s="1"/>
  <c r="E92" i="16"/>
  <c r="E97" i="16" s="1"/>
  <c r="E100" i="16" s="1"/>
  <c r="F131" i="16"/>
  <c r="E131" i="16"/>
  <c r="E137" i="16" s="1"/>
  <c r="D92" i="16"/>
  <c r="D97" i="16" s="1"/>
  <c r="D100" i="16" s="1"/>
  <c r="D131" i="16"/>
  <c r="D136" i="16"/>
  <c r="F115" i="16"/>
  <c r="F140" i="16" s="1"/>
  <c r="F110" i="16"/>
  <c r="F139" i="16" s="1"/>
  <c r="E110" i="16"/>
  <c r="E139" i="16" s="1"/>
  <c r="E115" i="16"/>
  <c r="E140" i="16" s="1"/>
  <c r="D115" i="16"/>
  <c r="D140" i="16" s="1"/>
  <c r="D110" i="16"/>
  <c r="D139" i="16" s="1"/>
  <c r="G114" i="16"/>
  <c r="G115" i="16" s="1"/>
  <c r="G140" i="16" s="1"/>
  <c r="G109" i="16"/>
  <c r="G110" i="16" s="1"/>
  <c r="G139" i="16" s="1"/>
  <c r="F97" i="16"/>
  <c r="F100" i="16" s="1"/>
  <c r="D81" i="16"/>
  <c r="D87" i="16" s="1"/>
  <c r="G81" i="16"/>
  <c r="G87" i="16" s="1"/>
  <c r="F81" i="16"/>
  <c r="F87" i="16" s="1"/>
  <c r="E81" i="16"/>
  <c r="E87" i="16" s="1"/>
  <c r="C81" i="16"/>
  <c r="C87" i="16" s="1"/>
  <c r="D43" i="16"/>
  <c r="E43" i="16"/>
  <c r="F43" i="16"/>
  <c r="G43" i="16"/>
  <c r="C43" i="16"/>
  <c r="D137" i="16" l="1"/>
  <c r="G97" i="23"/>
  <c r="G100" i="23"/>
  <c r="F97" i="23"/>
  <c r="F100" i="23"/>
  <c r="D108" i="23"/>
  <c r="D110" i="23" s="1"/>
  <c r="D113" i="23" s="1"/>
  <c r="C108" i="23"/>
  <c r="C110" i="23" s="1"/>
  <c r="C113" i="23" s="1"/>
  <c r="C100" i="23"/>
  <c r="C97" i="23"/>
  <c r="E142" i="16"/>
  <c r="D142" i="16"/>
  <c r="F142" i="16"/>
  <c r="G41" i="23"/>
  <c r="G82" i="23"/>
  <c r="G83" i="23" s="1"/>
  <c r="G86" i="23" s="1"/>
  <c r="C41" i="23"/>
  <c r="C82" i="23"/>
  <c r="C83" i="23" s="1"/>
  <c r="C86" i="23" s="1"/>
  <c r="D41" i="23"/>
  <c r="D82" i="23"/>
  <c r="D83" i="23" s="1"/>
  <c r="D86" i="23" s="1"/>
  <c r="F41" i="23"/>
  <c r="F82" i="23"/>
  <c r="F83" i="23" s="1"/>
  <c r="F86" i="23" s="1"/>
  <c r="F137" i="16"/>
  <c r="G142" i="16"/>
  <c r="G151" i="16" s="1"/>
  <c r="E151" i="16"/>
  <c r="D151" i="16"/>
  <c r="F102" i="16"/>
  <c r="D102" i="16"/>
  <c r="G102" i="16"/>
  <c r="C102" i="16"/>
  <c r="E102" i="16"/>
  <c r="C115" i="23" l="1"/>
  <c r="C117" i="23" s="1"/>
  <c r="D115" i="23"/>
  <c r="D117" i="23" s="1"/>
  <c r="F151" i="16"/>
  <c r="D152" i="16"/>
  <c r="E150" i="16" s="1"/>
  <c r="D156" i="16"/>
  <c r="D154" i="16"/>
  <c r="D28" i="16"/>
  <c r="D39" i="16" s="1"/>
  <c r="E28" i="16"/>
  <c r="E39" i="16" s="1"/>
  <c r="F28" i="16"/>
  <c r="F39" i="16" s="1"/>
  <c r="G28" i="16"/>
  <c r="G39" i="16" s="1"/>
  <c r="C28" i="16"/>
  <c r="C39" i="16" s="1"/>
  <c r="E10" i="16"/>
  <c r="E12" i="16" s="1"/>
  <c r="E15" i="16" s="1"/>
  <c r="E16" i="16" s="1"/>
  <c r="E17" i="16" s="1"/>
  <c r="F10" i="16"/>
  <c r="F12" i="16" s="1"/>
  <c r="F15" i="16" s="1"/>
  <c r="F16" i="16" s="1"/>
  <c r="F17" i="16" s="1"/>
  <c r="G10" i="16"/>
  <c r="G12" i="16" s="1"/>
  <c r="G15" i="16" s="1"/>
  <c r="G16" i="16" s="1"/>
  <c r="G17" i="16" s="1"/>
  <c r="H10" i="16"/>
  <c r="H12" i="16" s="1"/>
  <c r="H15" i="16" s="1"/>
  <c r="H16" i="16" s="1"/>
  <c r="H17" i="16" s="1"/>
  <c r="D10" i="16"/>
  <c r="D12" i="16" s="1"/>
  <c r="D15" i="16" s="1"/>
  <c r="D16" i="16" s="1"/>
  <c r="D17" i="16" s="1"/>
  <c r="C12" i="16"/>
  <c r="C15" i="16" s="1"/>
  <c r="C16" i="16" s="1"/>
  <c r="C17" i="16" s="1"/>
  <c r="E152" i="16" l="1"/>
  <c r="E154" i="16" s="1"/>
  <c r="E156" i="16"/>
  <c r="F150" i="16"/>
  <c r="C29" i="16"/>
  <c r="C30" i="16" s="1"/>
  <c r="C44" i="16" s="1"/>
  <c r="C56" i="16" s="1"/>
  <c r="C57" i="16" s="1"/>
  <c r="D29" i="16"/>
  <c r="D30" i="16" s="1"/>
  <c r="D44" i="16" s="1"/>
  <c r="D56" i="16" s="1"/>
  <c r="D57" i="16" s="1"/>
  <c r="F41" i="16"/>
  <c r="F58" i="16"/>
  <c r="C68" i="16" s="1"/>
  <c r="C69" i="16" s="1"/>
  <c r="C71" i="16" s="1"/>
  <c r="E58" i="16"/>
  <c r="E41" i="16"/>
  <c r="F29" i="16"/>
  <c r="F30" i="16" s="1"/>
  <c r="F44" i="16" s="1"/>
  <c r="G41" i="16"/>
  <c r="G58" i="16"/>
  <c r="D68" i="16" s="1"/>
  <c r="D69" i="16" s="1"/>
  <c r="D71" i="16" s="1"/>
  <c r="G29" i="16"/>
  <c r="G30" i="16" s="1"/>
  <c r="G44" i="16" s="1"/>
  <c r="C58" i="16"/>
  <c r="C41" i="16"/>
  <c r="D41" i="16"/>
  <c r="D58" i="16"/>
  <c r="E29" i="16"/>
  <c r="E30" i="16" s="1"/>
  <c r="E44" i="16" s="1"/>
  <c r="C176" i="21"/>
  <c r="C179" i="21" s="1"/>
  <c r="C143" i="21"/>
  <c r="C137" i="21"/>
  <c r="C145" i="21" s="1"/>
  <c r="C131" i="21"/>
  <c r="C107" i="21"/>
  <c r="C101" i="21"/>
  <c r="C100" i="21"/>
  <c r="C91" i="21"/>
  <c r="C108" i="21" s="1"/>
  <c r="C96" i="21"/>
  <c r="C109" i="21" s="1"/>
  <c r="C103" i="21"/>
  <c r="C102" i="21"/>
  <c r="C99" i="21"/>
  <c r="E29" i="21"/>
  <c r="E28" i="21"/>
  <c r="E27" i="21"/>
  <c r="F29" i="21"/>
  <c r="F28" i="21"/>
  <c r="F27" i="21"/>
  <c r="G27" i="21"/>
  <c r="G29" i="21"/>
  <c r="G28" i="21"/>
  <c r="C42" i="21"/>
  <c r="C41" i="21"/>
  <c r="C40" i="21"/>
  <c r="D42" i="21"/>
  <c r="D41" i="21"/>
  <c r="D40" i="21"/>
  <c r="E42" i="21"/>
  <c r="E41" i="21"/>
  <c r="E40" i="21"/>
  <c r="F42" i="21"/>
  <c r="F41" i="21"/>
  <c r="F40" i="21"/>
  <c r="G42" i="21"/>
  <c r="G41" i="21"/>
  <c r="G40" i="21"/>
  <c r="D18" i="21"/>
  <c r="E18" i="21"/>
  <c r="F18" i="21"/>
  <c r="G18" i="21"/>
  <c r="C18" i="21"/>
  <c r="C16" i="21"/>
  <c r="C19" i="21" s="1"/>
  <c r="D16" i="21"/>
  <c r="E16" i="21"/>
  <c r="F16" i="21"/>
  <c r="G16" i="21"/>
  <c r="G19" i="21" s="1"/>
  <c r="F152" i="16" l="1"/>
  <c r="G150" i="16" s="1"/>
  <c r="F156" i="16"/>
  <c r="F154" i="16"/>
  <c r="C48" i="16"/>
  <c r="D48" i="16"/>
  <c r="C60" i="16"/>
  <c r="C42" i="16"/>
  <c r="C59" i="16"/>
  <c r="C61" i="16" s="1"/>
  <c r="G42" i="16"/>
  <c r="G59" i="16"/>
  <c r="E56" i="16"/>
  <c r="E57" i="16" s="1"/>
  <c r="E48" i="16"/>
  <c r="F48" i="16"/>
  <c r="F56" i="16"/>
  <c r="F57" i="16" s="1"/>
  <c r="C72" i="16" s="1"/>
  <c r="F42" i="16"/>
  <c r="F59" i="16"/>
  <c r="D42" i="16"/>
  <c r="D59" i="16"/>
  <c r="D61" i="16" s="1"/>
  <c r="D60" i="16"/>
  <c r="G48" i="16"/>
  <c r="G56" i="16"/>
  <c r="G57" i="16" s="1"/>
  <c r="D72" i="16" s="1"/>
  <c r="E42" i="16"/>
  <c r="E59" i="16"/>
  <c r="C144" i="21"/>
  <c r="C146" i="21" s="1"/>
  <c r="C138" i="21"/>
  <c r="C114" i="21"/>
  <c r="C113" i="21"/>
  <c r="C112" i="21"/>
  <c r="C106" i="21"/>
  <c r="C115" i="21"/>
  <c r="F32" i="21"/>
  <c r="E30" i="21"/>
  <c r="E33" i="21" s="1"/>
  <c r="G30" i="21"/>
  <c r="G33" i="21" s="1"/>
  <c r="F30" i="21"/>
  <c r="F33" i="21" s="1"/>
  <c r="G32" i="21"/>
  <c r="E32" i="21"/>
  <c r="C45" i="21"/>
  <c r="E45" i="21"/>
  <c r="G45" i="21"/>
  <c r="F45" i="21"/>
  <c r="C43" i="21"/>
  <c r="C46" i="21" s="1"/>
  <c r="D45" i="21"/>
  <c r="D43" i="21"/>
  <c r="D46" i="21" s="1"/>
  <c r="E43" i="21"/>
  <c r="E46" i="21" s="1"/>
  <c r="F43" i="21"/>
  <c r="F46" i="21" s="1"/>
  <c r="F19" i="21"/>
  <c r="E19" i="21"/>
  <c r="D19" i="21"/>
  <c r="G43" i="21"/>
  <c r="G46" i="21" s="1"/>
  <c r="G152" i="16" l="1"/>
  <c r="G154" i="16" s="1"/>
  <c r="G156" i="16"/>
  <c r="E47" i="16"/>
  <c r="F47" i="16"/>
  <c r="G46" i="16"/>
  <c r="E46" i="16"/>
  <c r="F61" i="16"/>
  <c r="F46" i="16"/>
  <c r="F60" i="16"/>
  <c r="D47" i="16"/>
  <c r="D46" i="16"/>
  <c r="E61" i="16"/>
  <c r="E60" i="16"/>
  <c r="G47" i="16"/>
  <c r="G61" i="16"/>
  <c r="G60" i="16"/>
  <c r="C147" i="21"/>
  <c r="C148" i="21" s="1"/>
  <c r="C151" i="21" s="1"/>
  <c r="C140" i="21"/>
  <c r="C150" i="21" s="1"/>
  <c r="A1" i="21"/>
  <c r="A1" i="32" s="1"/>
  <c r="C152" i="21" l="1"/>
  <c r="A1" i="16" l="1"/>
  <c r="A1" i="27" s="1"/>
  <c r="E55" i="14" l="1"/>
  <c r="D55" i="14"/>
  <c r="E56" i="14" s="1"/>
  <c r="E46" i="14" s="1"/>
  <c r="E47" i="14" s="1"/>
  <c r="C55" i="14"/>
  <c r="D56" i="14" s="1"/>
  <c r="D46" i="14" s="1"/>
  <c r="D47" i="14" s="1"/>
  <c r="C64" i="14"/>
  <c r="E39" i="14"/>
  <c r="D39" i="14"/>
  <c r="E43" i="14"/>
  <c r="D43" i="14"/>
  <c r="C43" i="14"/>
  <c r="C66" i="14"/>
  <c r="D66" i="14" s="1"/>
  <c r="E34" i="14"/>
  <c r="D34" i="14"/>
  <c r="C34" i="14"/>
  <c r="E31" i="14"/>
  <c r="D31" i="14"/>
  <c r="C31" i="14"/>
  <c r="D32" i="14" s="1"/>
  <c r="D26" i="14" s="1"/>
  <c r="E15" i="14"/>
  <c r="E19" i="14" s="1"/>
  <c r="E21" i="14" s="1"/>
  <c r="D15" i="14"/>
  <c r="C15" i="14"/>
  <c r="C16" i="14" s="1"/>
  <c r="E13" i="14"/>
  <c r="D13" i="14"/>
  <c r="A1" i="14"/>
  <c r="C65" i="14" l="1"/>
  <c r="E16" i="14"/>
  <c r="E17" i="14"/>
  <c r="E32" i="14"/>
  <c r="E26" i="14" s="1"/>
  <c r="C67" i="14"/>
  <c r="C69" i="14" s="1"/>
  <c r="D16" i="14"/>
  <c r="E24" i="14"/>
  <c r="E59" i="14" s="1"/>
  <c r="D65" i="14" s="1"/>
  <c r="D67" i="14" s="1"/>
  <c r="D69" i="14" s="1"/>
  <c r="E22" i="14"/>
  <c r="C19" i="14"/>
  <c r="C21" i="14" s="1"/>
  <c r="D17" i="14"/>
  <c r="D19" i="14"/>
  <c r="D21" i="14" s="1"/>
  <c r="C22" i="14" l="1"/>
  <c r="C24" i="14"/>
  <c r="C59" i="14" s="1"/>
  <c r="D22" i="14"/>
  <c r="D24" i="14"/>
  <c r="D59" i="14" s="1"/>
  <c r="E27" i="14"/>
  <c r="E25" i="14"/>
  <c r="C25" i="14" l="1"/>
  <c r="D25" i="14"/>
  <c r="D27" i="14"/>
  <c r="A7" i="1" l="1"/>
  <c r="A1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Jonathan Rugg</author>
  </authors>
  <commentList>
    <comment ref="B155" authorId="0" shapeId="0" xr:uid="{18FCEB4D-811A-49B3-BBEC-35971AE9695D}">
      <text>
        <r>
          <rPr>
            <b/>
            <sz val="9"/>
            <color indexed="81"/>
            <rFont val="Tahoma"/>
            <family val="2"/>
          </rPr>
          <t>Jonathan Rugg:</t>
        </r>
        <r>
          <rPr>
            <sz val="9"/>
            <color indexed="81"/>
            <rFont val="Tahoma"/>
            <family val="2"/>
          </rPr>
          <t xml:space="preserve">
Thomas Cook AR p.51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Jonathan Rugg</author>
  </authors>
  <commentList>
    <comment ref="B104" authorId="0" shapeId="0" xr:uid="{B45BE2AC-DA38-4030-A177-E34CD3670F70}">
      <text>
        <r>
          <rPr>
            <b/>
            <sz val="9"/>
            <color indexed="81"/>
            <rFont val="Tahoma"/>
            <family val="2"/>
          </rPr>
          <t>Jonathan Rugg:</t>
        </r>
        <r>
          <rPr>
            <sz val="9"/>
            <color indexed="81"/>
            <rFont val="Tahoma"/>
            <family val="2"/>
          </rPr>
          <t xml:space="preserve">
Includes Pension obligation remeasurement recycled from OCI to RE</t>
        </r>
      </text>
    </comment>
  </commentList>
</comments>
</file>

<file path=xl/sharedStrings.xml><?xml version="1.0" encoding="utf-8"?>
<sst xmlns="http://schemas.openxmlformats.org/spreadsheetml/2006/main" count="1448" uniqueCount="970">
  <si>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</si>
  <si>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</si>
  <si>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</si>
  <si>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</si>
  <si>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</si>
  <si>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</si>
  <si>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</si>
  <si>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</si>
  <si>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</si>
  <si>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</si>
  <si>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</si>
  <si>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</si>
  <si>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</si>
  <si>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</si>
  <si>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</si>
  <si>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</si>
  <si>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</si>
  <si>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</si>
  <si>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</si>
  <si>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</si>
  <si>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</si>
  <si>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Pearson - revenue recognition</t>
  </si>
  <si>
    <t>JUN '15</t>
  </si>
  <si>
    <t>DEC '15</t>
  </si>
  <si>
    <t>JUN '16</t>
  </si>
  <si>
    <t>DEC '16</t>
  </si>
  <si>
    <t>JUN '17</t>
  </si>
  <si>
    <t>LTM</t>
  </si>
  <si>
    <t>--</t>
  </si>
  <si>
    <t>Enterprise Value/EBIT</t>
  </si>
  <si>
    <t>Enterprise Value/EBITDA</t>
  </si>
  <si>
    <t>EBIT (Operating Income) per Share</t>
  </si>
  <si>
    <t>Inventories</t>
  </si>
  <si>
    <t>Total Assets</t>
  </si>
  <si>
    <t>Inventory Turnover (x)</t>
  </si>
  <si>
    <t>Total Debt/EBITDA</t>
  </si>
  <si>
    <t>EBITDA/Interest Expense</t>
  </si>
  <si>
    <t>LT Debt/EBITDA</t>
  </si>
  <si>
    <t>Apple</t>
  </si>
  <si>
    <t>Depreciation &amp; amortization for 2009:</t>
  </si>
  <si>
    <t>Depreciation &amp; amortization</t>
  </si>
  <si>
    <t>Hertz</t>
  </si>
  <si>
    <t>Assets</t>
  </si>
  <si>
    <t xml:space="preserve"> </t>
  </si>
  <si>
    <t>Net Property, Plant &amp; Equipment</t>
  </si>
  <si>
    <t>Total Investments and Advances</t>
  </si>
  <si>
    <t>Long-Term Note Receivable</t>
  </si>
  <si>
    <t>Intangible Assets</t>
  </si>
  <si>
    <t>Deferred Tax Assets</t>
  </si>
  <si>
    <t>Other Assets</t>
  </si>
  <si>
    <t>ST Debt &amp; Curr. Portion LT Debt</t>
  </si>
  <si>
    <t>Accounts Payable</t>
  </si>
  <si>
    <t>Income Tax Payable</t>
  </si>
  <si>
    <t>Other Current Liabilities</t>
  </si>
  <si>
    <t>Total Current Liabilities</t>
  </si>
  <si>
    <t>Long-Term Debt</t>
  </si>
  <si>
    <t>Provision for Risks &amp; Charges</t>
  </si>
  <si>
    <t>Deferred Tax Liabilities</t>
  </si>
  <si>
    <t>Other Liabilities</t>
  </si>
  <si>
    <t>Total Liabilities</t>
  </si>
  <si>
    <t xml:space="preserve">  </t>
  </si>
  <si>
    <t>Common Equity</t>
  </si>
  <si>
    <t>Accumulated Minority Interest</t>
  </si>
  <si>
    <t>Total Equity</t>
  </si>
  <si>
    <t>Total Liabilities &amp; Shareholders' Equity</t>
  </si>
  <si>
    <t>Sales</t>
  </si>
  <si>
    <t>Workout 1</t>
  </si>
  <si>
    <t>A company makes a cash sale for 50.0, show how this would be accounted for using the accounting equation.</t>
  </si>
  <si>
    <t>=</t>
  </si>
  <si>
    <t>Liabilities</t>
  </si>
  <si>
    <t>+</t>
  </si>
  <si>
    <t>Equity</t>
  </si>
  <si>
    <t>Workout 2</t>
  </si>
  <si>
    <t>A company makes a cash sale for 50.0 in period 1</t>
  </si>
  <si>
    <t>The product will be delivered to the customer in period 2</t>
  </si>
  <si>
    <t>Show how this would be accounted for in period 1 using the accounting equation</t>
  </si>
  <si>
    <t>Workout 3</t>
  </si>
  <si>
    <t>The company makes delivery to the customer in period 2 as planned</t>
  </si>
  <si>
    <t>Show how this would be accounted for in period 2 using the accounting equation</t>
  </si>
  <si>
    <t>Workout 4</t>
  </si>
  <si>
    <t>The product is expected to be in use by the customer for 2 years</t>
  </si>
  <si>
    <t>Over the 2 year period the company will release software updates for the mobile phone</t>
  </si>
  <si>
    <t>Customers make their purchase decision based on the quality of the hardware and the software</t>
  </si>
  <si>
    <t>Show how this would be accounted for in year 1 using the accounting equation</t>
  </si>
  <si>
    <t>Workout 5</t>
  </si>
  <si>
    <t>Workout 6</t>
  </si>
  <si>
    <t>Workout 7</t>
  </si>
  <si>
    <t>A company makes a cash sale of 500.0 for a mobile telephone</t>
  </si>
  <si>
    <t>Referring to the previous workout</t>
  </si>
  <si>
    <t>The company in the previous workout changes its approach to revenue recognition</t>
  </si>
  <si>
    <t>The revenue relating to the hardware represents half of the value of the product and should be recognised immediately</t>
  </si>
  <si>
    <t>Workout 8</t>
  </si>
  <si>
    <t>Explain the impact on cash and sales for year 1 following the change in approach to revenue recognition</t>
  </si>
  <si>
    <t>Workout 9</t>
  </si>
  <si>
    <t>The company decides to recognise the entire revenue on a straight line basis over the 2 year period</t>
  </si>
  <si>
    <t>The revenue relating to the software should continue to be recognised on a straight line basis over the two year period</t>
  </si>
  <si>
    <t>Calculate Apple's EBITDA, working capital and operating working capital for 2009</t>
  </si>
  <si>
    <t>EBIT</t>
  </si>
  <si>
    <t>EBITDA</t>
  </si>
  <si>
    <t>Working capital</t>
  </si>
  <si>
    <t>Operating working capital</t>
  </si>
  <si>
    <t>Workout 10</t>
  </si>
  <si>
    <t>Recalculate Calculate Apple's EBITDA, working capital and operating working capital for 2009 and 2010</t>
  </si>
  <si>
    <t>Workout 11</t>
  </si>
  <si>
    <t>Review the financial statements in the previous workouts</t>
  </si>
  <si>
    <t>Original 2009 current deferred revenue</t>
  </si>
  <si>
    <t>Restated 2009 current deferred revenue</t>
  </si>
  <si>
    <t>Original 2009 EBIT</t>
  </si>
  <si>
    <t>Change</t>
  </si>
  <si>
    <t>Workout 12</t>
  </si>
  <si>
    <t>The 2009 accounts have been restated, complete the following calculations and comment on the results</t>
  </si>
  <si>
    <t>Restated 2009 EBIT</t>
  </si>
  <si>
    <t>Apple is able to borrow at 6.0 x EBITDA</t>
  </si>
  <si>
    <t>Calculate 2009 EBITDA in order to calculate Apple's borrowing capacity</t>
  </si>
  <si>
    <t>Justify this decision</t>
  </si>
  <si>
    <t>Debt to EBITDA</t>
  </si>
  <si>
    <t>End</t>
  </si>
  <si>
    <t>Decide whether you want to base your calculation on the numbers before or after the change in approach to revenue recognition</t>
  </si>
  <si>
    <t>Show how this would be accounted for using the accounting equation.</t>
  </si>
  <si>
    <t>A company sells an item of inventory, which originally cost 30.0, for 50.0 in cash</t>
  </si>
  <si>
    <t>Complete the income statement using the information from the previous question</t>
  </si>
  <si>
    <t>Cost of goods sold</t>
  </si>
  <si>
    <t>Gross profit</t>
  </si>
  <si>
    <t>Further investigation reveals that its inventory balance should be written down from 100.0 to 95.0</t>
  </si>
  <si>
    <t>Selling general &amp; admin</t>
  </si>
  <si>
    <t>Operating profit</t>
  </si>
  <si>
    <t>Inventory</t>
  </si>
  <si>
    <t>Inventory turnover</t>
  </si>
  <si>
    <t>A company calculates its inventory turnover in the prior financial year, indicating it has an issue with slow moving inventory</t>
  </si>
  <si>
    <t>Operating Margin (%)</t>
  </si>
  <si>
    <t>Days of Inventory on Hand</t>
  </si>
  <si>
    <t>Explain how the erosion of Pearson's Dec '16 leverage and coverage ratios might have been predicted</t>
  </si>
  <si>
    <t>Total current assets</t>
  </si>
  <si>
    <t>Check</t>
  </si>
  <si>
    <t>Calculate the monthly depreciation expense</t>
  </si>
  <si>
    <t>Residual value</t>
  </si>
  <si>
    <t>Annual depreciation expense</t>
  </si>
  <si>
    <t>Useful life (years)</t>
  </si>
  <si>
    <t>The residual value of the asset is estimated to be 10,000.0</t>
  </si>
  <si>
    <t>A company purchases a production asset for 20,908.0, with a useful life of 3 years</t>
  </si>
  <si>
    <t>The remaining useful life of the asset is now 2 years</t>
  </si>
  <si>
    <t>Asset value</t>
  </si>
  <si>
    <t>Re-calculate the monthly depreciation expense</t>
  </si>
  <si>
    <t>Show how the depreciation expense in the previous question would be accounted for using the accounting equation.</t>
  </si>
  <si>
    <t>Review the article and comment on the impact on EBIT and EBITDA</t>
  </si>
  <si>
    <t>Trade receivables</t>
  </si>
  <si>
    <t>Borrowing capacity</t>
  </si>
  <si>
    <t>Calculate the inventory turnover ratio</t>
  </si>
  <si>
    <t>The company reviews the asset and finds the residual value is now estimated to be 8,920.0</t>
  </si>
  <si>
    <t>Source: FactSet Fundamentals</t>
  </si>
  <si>
    <t>366 Days</t>
  </si>
  <si>
    <t>365 Days</t>
  </si>
  <si>
    <t>Cost of Goods Sold (COGS) incl. D&amp;A</t>
  </si>
  <si>
    <t>Gross Income</t>
  </si>
  <si>
    <t>SG&amp;A Expense</t>
  </si>
  <si>
    <t>Other Operating Expense</t>
  </si>
  <si>
    <t>EBIT (Operating Income)</t>
  </si>
  <si>
    <t>Aston Martin</t>
  </si>
  <si>
    <t>Ferrari (Euro mill.)</t>
  </si>
  <si>
    <t>Adjusted EBITDA as per prospectus / 20F</t>
  </si>
  <si>
    <t>Margin</t>
  </si>
  <si>
    <t>Deduct capitalized R&amp;D</t>
  </si>
  <si>
    <t>Adjusted EBITDA post R&amp;D</t>
  </si>
  <si>
    <t>Total R&amp;D spend</t>
  </si>
  <si>
    <t>as % of sales</t>
  </si>
  <si>
    <t>Aston Martin Lagonda Global Holdings plc</t>
  </si>
  <si>
    <t xml:space="preserve">AML-GB   BFXZC44   London    Common stock    </t>
  </si>
  <si>
    <t>Growth</t>
  </si>
  <si>
    <t>D&amp;A</t>
  </si>
  <si>
    <t>R&amp;D capitalized</t>
  </si>
  <si>
    <t>Adjusted EBITDA</t>
  </si>
  <si>
    <t>Change in OWC - Core</t>
  </si>
  <si>
    <t>Cash flow</t>
  </si>
  <si>
    <t>OWC</t>
  </si>
  <si>
    <t>Ferrari Valuation</t>
  </si>
  <si>
    <t>Net debt</t>
  </si>
  <si>
    <t>Enterprise value</t>
  </si>
  <si>
    <t>Market cap</t>
  </si>
  <si>
    <t>Implied 2017 EBITDA multiple</t>
  </si>
  <si>
    <t>not adjusted for R&amp;D</t>
  </si>
  <si>
    <t>Implied Aston Martin valuation</t>
  </si>
  <si>
    <t>Implied equity value</t>
  </si>
  <si>
    <t>No of shares</t>
  </si>
  <si>
    <t>Implied value per share</t>
  </si>
  <si>
    <t>as % of total R&amp;D</t>
  </si>
  <si>
    <t>Adjusted Aston Martin EBITDA</t>
  </si>
  <si>
    <t>Growth rate</t>
  </si>
  <si>
    <t>NOPAT</t>
  </si>
  <si>
    <t>Invested capital</t>
  </si>
  <si>
    <t>ROIC</t>
  </si>
  <si>
    <t>Sales/IC</t>
  </si>
  <si>
    <t>Capex</t>
  </si>
  <si>
    <t>Flybe</t>
  </si>
  <si>
    <t>-</t>
  </si>
  <si>
    <t>Net PP&amp;E</t>
  </si>
  <si>
    <t>Rental expense (operating lease)</t>
  </si>
  <si>
    <t>LT debt</t>
  </si>
  <si>
    <t>ST debt</t>
  </si>
  <si>
    <t>Implied value of operating lease</t>
  </si>
  <si>
    <t>Cash</t>
  </si>
  <si>
    <t>ROIC before tax</t>
  </si>
  <si>
    <t>EBITDAR</t>
  </si>
  <si>
    <t>Debt/EBITDAR</t>
  </si>
  <si>
    <t>Operating cash flow</t>
  </si>
  <si>
    <t>Ending cash</t>
  </si>
  <si>
    <t>Debt</t>
  </si>
  <si>
    <t>Net debt/EBITDAR</t>
  </si>
  <si>
    <t>EBIT/Sales</t>
  </si>
  <si>
    <t>Cash and cash equivalents</t>
  </si>
  <si>
    <t>Total assets</t>
  </si>
  <si>
    <t>Patisserie Valerie</t>
  </si>
  <si>
    <t>Revenue</t>
  </si>
  <si>
    <t>Profit before income tax</t>
  </si>
  <si>
    <t>Trade and other receivables</t>
  </si>
  <si>
    <t>Trade and other payables</t>
  </si>
  <si>
    <t>Depreciation</t>
  </si>
  <si>
    <t>Net income</t>
  </si>
  <si>
    <t>Cost of Goods Sold</t>
  </si>
  <si>
    <t>SG&amp;A</t>
  </si>
  <si>
    <t>Tax expense</t>
  </si>
  <si>
    <t>Gross profit margin</t>
  </si>
  <si>
    <t>Operating profit margin</t>
  </si>
  <si>
    <t>Starbucks (UK) Limited</t>
  </si>
  <si>
    <t>Identify which of the above businesses has the highest margins.</t>
  </si>
  <si>
    <t>Consider the nature of the product, does this support the numbers?</t>
  </si>
  <si>
    <t>Caffe Concerto</t>
  </si>
  <si>
    <t>Calculate the Gross Profit margin and Operating Profit Margin Patisserie Valerie and is comparables.</t>
  </si>
  <si>
    <t>Caffe Concerto is a Italian restaurant with branches in Central London as well as Birmingham and the Middle East.</t>
  </si>
  <si>
    <t>With a dedication to fine food, excellence in service and a love of the fine art of patisserie and coffee.</t>
  </si>
  <si>
    <t xml:space="preserve">Caffe Concerto is proud to serve its customers surrounded by beautiful decor and live music at selected venues. </t>
  </si>
  <si>
    <t>The group operates under five different brand names: Patisserie Valerie, Druckers Vienna Patisserie, Philpotts Ltd, Baker and Spice and Flour Power City Bakery.</t>
  </si>
  <si>
    <t>In our havens of self-indulgence, you will discover only the best quality cakes and patisserie, continental breakfasts, lunches, the finest teas and coffees.</t>
  </si>
  <si>
    <t>Our reputation is built on quality products, handmade by ourselves using artisan craft bakery skills and we only ever use fresh ingredients &amp; traditional baking methods</t>
  </si>
  <si>
    <t>Starbucks UK's medium coffees sell for £2.45 - £3.20.</t>
  </si>
  <si>
    <t>Caffe Concerto's individual cake slices all sell for £3.40.</t>
  </si>
  <si>
    <t>Starbucks purchases and roasts high-quality whole bean coffees.</t>
  </si>
  <si>
    <t>Customers can count on genuine service, an inviting atmosphere and a superb cup of expertly roasted and richly brewed coffee every time.</t>
  </si>
  <si>
    <t>Wages &amp; salaries</t>
  </si>
  <si>
    <t>Comment on your analysis.</t>
  </si>
  <si>
    <t>Analyse the labor costs for Patisserie Valerie &amp; Caffe Concerto.</t>
  </si>
  <si>
    <t>Wages &amp; salaries as a % of revenue</t>
  </si>
  <si>
    <t>Average wages &amp; salaries cost per employee</t>
  </si>
  <si>
    <t>Directors</t>
  </si>
  <si>
    <t>Management</t>
  </si>
  <si>
    <t>Production</t>
  </si>
  <si>
    <t>Admin staff</t>
  </si>
  <si>
    <t>Floor staff</t>
  </si>
  <si>
    <t>Total operating costs (inc wages &amp; salaries)</t>
  </si>
  <si>
    <t>Revenue per sales &amp; production employee</t>
  </si>
  <si>
    <t>Revenue per sale member of floor staff</t>
  </si>
  <si>
    <t>Wages &amp; salaries as a % of operating costs</t>
  </si>
  <si>
    <t>Revenue per member of floor staff is significantly higher for Caffe Concerto.</t>
  </si>
  <si>
    <t>Wages and salaries as a % of total operating costs are much lower for Caffe Concerto</t>
  </si>
  <si>
    <t xml:space="preserve">On its own, this analysis suggests that Caffe Concerto is much more efficient </t>
  </si>
  <si>
    <t>Which suggests it should produce higher operating margins.</t>
  </si>
  <si>
    <t>Net interest income / (expense)</t>
  </si>
  <si>
    <t>Patisserie Valerie - revised</t>
  </si>
  <si>
    <t>Net Interest income / (expense)</t>
  </si>
  <si>
    <t>Profit before tax</t>
  </si>
  <si>
    <t>Reported net income</t>
  </si>
  <si>
    <t>Revised net income</t>
  </si>
  <si>
    <t>Net income variance</t>
  </si>
  <si>
    <t>Cream cakes are highly perishable, wastage must be high. Hard to imagine operating margins could be so much higher than coffee.</t>
  </si>
  <si>
    <t>Wages and salaries data is reported to the tax authorities.</t>
  </si>
  <si>
    <t>But it (apparently) does not!</t>
  </si>
  <si>
    <t>"20 new stores opened all funded from operating cash flow"</t>
  </si>
  <si>
    <t>"Operating cash flow of £24.4m, with year end cash balances of £21.5m"</t>
  </si>
  <si>
    <t>"Costs tightly controlled with inflationary wage and ingredient cost pressures managed in the year."</t>
  </si>
  <si>
    <t>"Highly predictable and resilient cash flows to fund ongoing new store rollout programme."</t>
  </si>
  <si>
    <t>"Investing cash flows includes capital investment in the year of £8.6m in new stores, estate refresh and central infrastructure."</t>
  </si>
  <si>
    <t>"Strong balance sheet maintained solely funded by equity and reserves –no external borrowings."</t>
  </si>
  <si>
    <t>"High quality products, almost all made in-house from scratch"</t>
  </si>
  <si>
    <t>"Patisserie Valarie is positioned across the two fastest growing sub-sectors: Coffee shops &amp; branded casual dining"</t>
  </si>
  <si>
    <t>Cash flows from operating activities</t>
  </si>
  <si>
    <t>Amortisation</t>
  </si>
  <si>
    <t>Net finance (income)/expense in the consolidated statement of comprehensive income</t>
  </si>
  <si>
    <t>Share based payment charge</t>
  </si>
  <si>
    <t>Cash generated from operations</t>
  </si>
  <si>
    <t>Net interest received/(paid)</t>
  </si>
  <si>
    <t>Income tax paid</t>
  </si>
  <si>
    <t>Net cash generated from operating activities</t>
  </si>
  <si>
    <t>Refer to the cash flow statement extract and your previous analysis.</t>
  </si>
  <si>
    <t>Net income represents 80.2% (16,364.0 / 20,408.0) of cash from operating activities.</t>
  </si>
  <si>
    <t>If net income fell to 883.1 then operating cash flow would collapse.</t>
  </si>
  <si>
    <t>The balance sheet would be materially weaker as a consequence.</t>
  </si>
  <si>
    <t>The rapid store expansion described would require a significant external borrowings in lieu of cash.</t>
  </si>
  <si>
    <t>Patisserie Valerie's individual cakes sell for £2.85 for an Apple Tart to £3.10 for a Madame Valarie Slice.</t>
  </si>
  <si>
    <t>Patisserie Valarie's offering is very similar to Caffe Concerto, however their margins are (somehow) significantly higher.</t>
  </si>
  <si>
    <t>It is less susceptible to manipulation and therefore reasonably reliable.</t>
  </si>
  <si>
    <t>Wages and salaries as a % of revenue is much lower for Caffe Concerto.</t>
  </si>
  <si>
    <t>Rework Patisserie Valerie's income statement, applying Caffe Concerto's operating margin.</t>
  </si>
  <si>
    <t>Patisserie Valerie - reported</t>
  </si>
  <si>
    <t>Comment on the following statements from Patisserie Valarie's 2017 preliminary results press release.</t>
  </si>
  <si>
    <t>If Patisserie Valerie focusses on coffee shops and branded dining then its performance should be reflective of Starbucks and Caffe Concerto.</t>
  </si>
  <si>
    <t>Wages and salaries costs per employee are similar between the two companies, however Caffe Concerto achieve much better productivity and output.</t>
  </si>
  <si>
    <t>If margins are overstated the true debt position (or absence of) will also be misstated.</t>
  </si>
  <si>
    <t>EBIT margin</t>
  </si>
  <si>
    <t>Sales growth rate</t>
  </si>
  <si>
    <t>Other operating expenses are non recurring.</t>
  </si>
  <si>
    <t>Complete the income statement, calculating EBIT margin.</t>
  </si>
  <si>
    <t>Operating lease multiple</t>
  </si>
  <si>
    <t>Capitalized operating lease</t>
  </si>
  <si>
    <t>Depreciation as a % rental expense</t>
  </si>
  <si>
    <t>Capitalize Flybe's operating lease</t>
  </si>
  <si>
    <t>Rent adjusted EBIT</t>
  </si>
  <si>
    <t>Calculate ROIC.</t>
  </si>
  <si>
    <t>Calculate leverage</t>
  </si>
  <si>
    <t>EBITDAR margin</t>
  </si>
  <si>
    <t>Complete the cash flow statement</t>
  </si>
  <si>
    <t>Intangible assets</t>
  </si>
  <si>
    <t>Property, plant and</t>
  </si>
  <si>
    <t>Interests in joint ventures</t>
  </si>
  <si>
    <t>Current liabilities</t>
  </si>
  <si>
    <t>Borrowings</t>
  </si>
  <si>
    <t>Total liabilities</t>
  </si>
  <si>
    <t>Share capital</t>
  </si>
  <si>
    <t>Retained deficit</t>
  </si>
  <si>
    <t>Total liabilities &amp; equity</t>
  </si>
  <si>
    <t>Other non current liabilities</t>
  </si>
  <si>
    <t>Other current liabilities</t>
  </si>
  <si>
    <t>Change in inventories</t>
  </si>
  <si>
    <t>Change in accounts receivable</t>
  </si>
  <si>
    <t>Change in accounts payable</t>
  </si>
  <si>
    <t>Change in other current liabilities</t>
  </si>
  <si>
    <t>Non current deferred income</t>
  </si>
  <si>
    <t>Non current deferred tax liabilities</t>
  </si>
  <si>
    <t>Short term borrowings</t>
  </si>
  <si>
    <t>Current deferred income</t>
  </si>
  <si>
    <t>Change in current deferred income</t>
  </si>
  <si>
    <t>O</t>
  </si>
  <si>
    <t>I</t>
  </si>
  <si>
    <t>O/I</t>
  </si>
  <si>
    <t>Non current deferred tax asset</t>
  </si>
  <si>
    <t>F</t>
  </si>
  <si>
    <t>Beginning PP&amp;E</t>
  </si>
  <si>
    <t>Add Capex</t>
  </si>
  <si>
    <t>Sub Depreciation</t>
  </si>
  <si>
    <t>Ending PP&amp;E</t>
  </si>
  <si>
    <t>Beginning intangibles</t>
  </si>
  <si>
    <t>Ending intangibles</t>
  </si>
  <si>
    <t>Beginning Retained Earnings</t>
  </si>
  <si>
    <t>Add net income</t>
  </si>
  <si>
    <t>Subtract dividends</t>
  </si>
  <si>
    <t>Ending Retained earnings</t>
  </si>
  <si>
    <t>Depreciation &amp; Amortisation</t>
  </si>
  <si>
    <t>Add Purchase of intangibles</t>
  </si>
  <si>
    <t>Sub Amortization</t>
  </si>
  <si>
    <t>Other non-current Asset</t>
  </si>
  <si>
    <t>Change in Non current deferred tax liabilities</t>
  </si>
  <si>
    <t>Change in Non current deferred income</t>
  </si>
  <si>
    <t>Change in Other non current liabilities</t>
  </si>
  <si>
    <t>Purchase of intangibles</t>
  </si>
  <si>
    <t>Investing cash flow</t>
  </si>
  <si>
    <t>Change in borrowings</t>
  </si>
  <si>
    <t>Dividends</t>
  </si>
  <si>
    <t>Change in share capital</t>
  </si>
  <si>
    <t>Change in short term borrowings</t>
  </si>
  <si>
    <t>Financing cash flow</t>
  </si>
  <si>
    <t>Beginning cash</t>
  </si>
  <si>
    <t>Net cash flow</t>
  </si>
  <si>
    <t>Change in JV</t>
  </si>
  <si>
    <t>Amortization</t>
  </si>
  <si>
    <t>Change in other non-current Asset</t>
  </si>
  <si>
    <t>Change in non current deferred tax asset</t>
  </si>
  <si>
    <t>Change in working capital</t>
  </si>
  <si>
    <t>Complete the working capital analysis.</t>
  </si>
  <si>
    <t>Interserve</t>
  </si>
  <si>
    <t>Revenue including share of associates and joint ventures</t>
  </si>
  <si>
    <t>Less: Share of associates and joint ventures</t>
  </si>
  <si>
    <t>Consolidated revenue</t>
  </si>
  <si>
    <t>Cost of sales</t>
  </si>
  <si>
    <t>Administration expenses</t>
  </si>
  <si>
    <t>Amortisation of acquired intangible assets</t>
  </si>
  <si>
    <t>Other exceptional items</t>
  </si>
  <si>
    <t>Total administration expenses</t>
  </si>
  <si>
    <t>Profit/(loss) on disposal of property and investments</t>
  </si>
  <si>
    <t>Share of result of associates and joint ventures</t>
  </si>
  <si>
    <t>Total share of result of associates and joint ventures</t>
  </si>
  <si>
    <t>Total operating profit</t>
  </si>
  <si>
    <t>Investment revenue</t>
  </si>
  <si>
    <t>Finance costs</t>
  </si>
  <si>
    <t>Tax (charge)/credit</t>
  </si>
  <si>
    <t>Profit for the year</t>
  </si>
  <si>
    <r>
      <t>We deliver </t>
    </r>
    <r>
      <rPr>
        <sz val="7"/>
        <color rgb="FF00A4E2"/>
        <rFont val="Trebuchet MS"/>
        <family val="2"/>
      </rPr>
      <t>construction</t>
    </r>
    <r>
      <rPr>
        <sz val="7"/>
        <color rgb="FF4F4F4F"/>
        <rFont val="Trebuchet MS"/>
        <family val="2"/>
      </rPr>
      <t>, </t>
    </r>
    <r>
      <rPr>
        <sz val="7"/>
        <color rgb="FF00A4E2"/>
        <rFont val="Trebuchet MS"/>
        <family val="2"/>
      </rPr>
      <t>equipment</t>
    </r>
    <r>
      <rPr>
        <sz val="7"/>
        <color rgb="FF4F4F4F"/>
        <rFont val="Trebuchet MS"/>
        <family val="2"/>
      </rPr>
      <t>, </t>
    </r>
    <r>
      <rPr>
        <sz val="7"/>
        <color rgb="FF00A4E2"/>
        <rFont val="Trebuchet MS"/>
        <family val="2"/>
      </rPr>
      <t>facilities management</t>
    </r>
    <r>
      <rPr>
        <sz val="7"/>
        <color rgb="FF4F4F4F"/>
        <rFont val="Trebuchet MS"/>
        <family val="2"/>
      </rPr>
      <t> and citizen services.</t>
    </r>
  </si>
  <si>
    <t>We are headquartered in the UK and FTSE listed.</t>
  </si>
  <si>
    <t xml:space="preserve">Our goal is to provide a cost effective and efficient solution to our clients' needs. </t>
  </si>
  <si>
    <t>We have gross revenues of £3.7 billion and a workforce of circa 75,000 people worldwide.</t>
  </si>
  <si>
    <t>Revenue growth</t>
  </si>
  <si>
    <t>Depreciation &amp; amortisation</t>
  </si>
  <si>
    <t>EBITDA margin</t>
  </si>
  <si>
    <t>Calculate Interserve's leverage and coverage</t>
  </si>
  <si>
    <t>Goodwill</t>
  </si>
  <si>
    <t>Other intangible assets</t>
  </si>
  <si>
    <t>Property, plant and equipment</t>
  </si>
  <si>
    <t>Interests in joint–venture entities</t>
  </si>
  <si>
    <t>Interests in associated undertakings</t>
  </si>
  <si>
    <t>Deferred tax asset</t>
  </si>
  <si>
    <t>Cash and deposits</t>
  </si>
  <si>
    <t>Bank overdrafts</t>
  </si>
  <si>
    <t>Current tax liabilities</t>
  </si>
  <si>
    <t>Short–term provisions</t>
  </si>
  <si>
    <t>Bank loans</t>
  </si>
  <si>
    <t>Long–term provisions</t>
  </si>
  <si>
    <t>Retirement benefit obligation</t>
  </si>
  <si>
    <t>Retained earnings</t>
  </si>
  <si>
    <t>Non–controlling interests</t>
  </si>
  <si>
    <t>Total equity</t>
  </si>
  <si>
    <t>Retirement benefit surplus</t>
  </si>
  <si>
    <t>Derivative financial instruments</t>
  </si>
  <si>
    <t>Total debt</t>
  </si>
  <si>
    <t>Total debt / EBITDA</t>
  </si>
  <si>
    <t>Interest expense</t>
  </si>
  <si>
    <t>EBITDA / Interest expense</t>
  </si>
  <si>
    <t>Percentage increase in total debt</t>
  </si>
  <si>
    <t>Percentage increase in net debt</t>
  </si>
  <si>
    <t>Other exceptional items are non recurring.</t>
  </si>
  <si>
    <t>Target EBITDAR</t>
  </si>
  <si>
    <t>Target EBITDAR margin</t>
  </si>
  <si>
    <t>Actual EBITDAR margin</t>
  </si>
  <si>
    <t>Net cash flow as a % beginning cash</t>
  </si>
  <si>
    <t>Invested Capital</t>
  </si>
  <si>
    <t>Sales / Invested Capital</t>
  </si>
  <si>
    <t>NOPAT / Sales</t>
  </si>
  <si>
    <t>Interserve wishes to hold 2017 &amp; 2018 ROIC at the 2016 level.</t>
  </si>
  <si>
    <t>Assume 2017 and 2018 sales / invested capital remains unchanged</t>
  </si>
  <si>
    <t>Target ROIC</t>
  </si>
  <si>
    <t>Target NOPAT / Sales</t>
  </si>
  <si>
    <t>Complete the earnings analysis</t>
  </si>
  <si>
    <t>Target NOPAT</t>
  </si>
  <si>
    <t>Target EBIT</t>
  </si>
  <si>
    <t>Actual EBIT</t>
  </si>
  <si>
    <t>Operating cost savings required</t>
  </si>
  <si>
    <t>Actual invested capital / Sales</t>
  </si>
  <si>
    <t>Cash up 50.0</t>
  </si>
  <si>
    <t>0.0</t>
  </si>
  <si>
    <t>Retained earrings up 50.0 (Sales)</t>
  </si>
  <si>
    <t>Deferred revenue up 50.0</t>
  </si>
  <si>
    <t>Deferred revenue down 50.0</t>
  </si>
  <si>
    <t>Retained earnings up 50.0 (Sales)</t>
  </si>
  <si>
    <t>Cash up 500.0</t>
  </si>
  <si>
    <t>Deferred revenue up 250.0</t>
  </si>
  <si>
    <t>Retained earnings up 250.0 (Sales)</t>
  </si>
  <si>
    <t>Deferred revenue down 250.0</t>
  </si>
  <si>
    <t>Deferred revenue up 125.0</t>
  </si>
  <si>
    <t>Retained earnings up 375.0 (Sales)</t>
  </si>
  <si>
    <t>Deferred revenue down 125.0</t>
  </si>
  <si>
    <t>Retained earnings up 125.0 (Sales)</t>
  </si>
  <si>
    <t>Cash remains the same, cash up 500.0</t>
  </si>
  <si>
    <t>The full sales value of 250.0 for the hardware is now recognised in year 1, increasing sales by 125.0</t>
  </si>
  <si>
    <t>Sales have been restated at a much higher amount</t>
  </si>
  <si>
    <t>Deferred revenue has reduced significantly</t>
  </si>
  <si>
    <t>Apple have changed their approach to revenue recognition</t>
  </si>
  <si>
    <t>The calculation is based on revenue after the change in approach to revenue recognition</t>
  </si>
  <si>
    <t>The increase in EBITDA significantly increased Apple's borrowing capacity</t>
  </si>
  <si>
    <t>Assuming the approach to revenue recognition is consistent with Apple's peer group then this give a more consistent basis on which to calculate borrowing capacity</t>
  </si>
  <si>
    <t>Workout 13</t>
  </si>
  <si>
    <t>A company makes sales of 400.0 in the current period</t>
  </si>
  <si>
    <t>Revenue is recognised on a straight line basis over 4 periods</t>
  </si>
  <si>
    <t>25.0 of deferred revenue from prior periods is recognised in the current period</t>
  </si>
  <si>
    <t>Calculate the enterprise multiple for the company</t>
  </si>
  <si>
    <t>EV / Revenue</t>
  </si>
  <si>
    <t>Workout 14</t>
  </si>
  <si>
    <t>The company in the previous question changes its approach to revenue recognition</t>
  </si>
  <si>
    <t>It now recognises 50% of its current period sales in that period</t>
  </si>
  <si>
    <t>Recognising the remaining 50% across 4 periods</t>
  </si>
  <si>
    <t>25.0 of deferred revenue from prior periods is recognised in the current period remains unchanged</t>
  </si>
  <si>
    <t>Re-calculate the enterprise multiple for the company</t>
  </si>
  <si>
    <t>Workout 15</t>
  </si>
  <si>
    <t>Adopting a new approach to revenue recognition brings the company in line with the approach taken by its peer-group</t>
  </si>
  <si>
    <t>Trading comparables analysis shows that similar company's enterprise values are trading on circa 8.0 x revenues</t>
  </si>
  <si>
    <t>The new approach to revenue recognition has increased the revenue reported in the period</t>
  </si>
  <si>
    <t>Should this result in an increase in the company's share price?</t>
  </si>
  <si>
    <t>Cash flow is unchanged, therefore the intrinsic DCF valuation will not be impacted</t>
  </si>
  <si>
    <t>Enterprise value and therefore equity value will be unchanged</t>
  </si>
  <si>
    <t>The new approach to revenue recognition is consistent with peer's approach and therefore the revised multiple is comparable</t>
  </si>
  <si>
    <t>The lower multiple is reflective of a higher enterprise value relative to revenues</t>
  </si>
  <si>
    <t>Workout 16</t>
  </si>
  <si>
    <t>Calculate the enterprise multiple for Apple 2009</t>
  </si>
  <si>
    <t>Non-core items</t>
  </si>
  <si>
    <t>EV</t>
  </si>
  <si>
    <t>Workout 17</t>
  </si>
  <si>
    <t>Apple has adopted a new approach to revenue recognition and revised its 2009 numbers</t>
  </si>
  <si>
    <t>Re-calculate the enterprise multiple for Apple 2009</t>
  </si>
  <si>
    <t>Inventory down 30.0</t>
  </si>
  <si>
    <t>Retained earrings down 30.0 (COGS)</t>
  </si>
  <si>
    <t>Inventory down 5.0</t>
  </si>
  <si>
    <t>Retained earrings down 5.0 (COGS)</t>
  </si>
  <si>
    <t>Sparkline's</t>
  </si>
  <si>
    <t>A rapid decline in inventory turnover / spike in inventory days is an indicator of slow moving inventory</t>
  </si>
  <si>
    <t>Slow moving inventory may need to be written down or written off, negatively impacting EBITDA</t>
  </si>
  <si>
    <t xml:space="preserve">The drop in inventory turnover in Jun '16 could have been used as an indicator </t>
  </si>
  <si>
    <t>The would have been 6 months in advance of the trading update release, in which Pearson discuss an 'inventory correction'</t>
  </si>
  <si>
    <t>Financial liabilities</t>
  </si>
  <si>
    <t>Monthly depreciation expense</t>
  </si>
  <si>
    <t>PP&amp;E down 348.0</t>
  </si>
  <si>
    <t>Retained earrings down 348.0 (COGS)</t>
  </si>
  <si>
    <t>Steinhoff</t>
  </si>
  <si>
    <t>Note that 2016 is a 15 month reporting period</t>
  </si>
  <si>
    <t>Net cash inflow from operating activities</t>
  </si>
  <si>
    <t>Profit has increased significantly, but this has not been converted into cash</t>
  </si>
  <si>
    <t>Review the Steinhoff's investments and loans note</t>
  </si>
  <si>
    <t>What questions does this raise?</t>
  </si>
  <si>
    <t>Long term loans at amortised cost</t>
  </si>
  <si>
    <t>Short term loans at amortised cost</t>
  </si>
  <si>
    <t>Total loans at amortised cost</t>
  </si>
  <si>
    <t>Loan receivables have increased significantly, who are Steinhoff granting loans to?</t>
  </si>
  <si>
    <t>Summarise the impact of Steinhoff's discontinued operations transactions</t>
  </si>
  <si>
    <t>In 2012 Steinhoff acquired a majority stake of African furniture retailer JD Group</t>
  </si>
  <si>
    <t>JD Group’s subsidiary, JD Consumer Finance, is a South Africa-based business which provides unsecured consumer loans to JD Group customers</t>
  </si>
  <si>
    <t xml:space="preserve">JD Consumer Finance’s holds significant non-performing loans, operating a predatory administration and collections operation </t>
  </si>
  <si>
    <t>JD Consumer Finance was purchased by Campion Capital, financing the acquisition by taking an expensive loan from Steinhoff</t>
  </si>
  <si>
    <t>Campion Capital was initially established by ex Steinhoff CFO/CEO Siegmar Schmidt, again financed by a loan from Steinhoff</t>
  </si>
  <si>
    <t>Steinhoff recently re-acquired the JD Consumer Finance's loan administration and debt collection entities from Campion Capital, the only profitable part of JD Consumer Finance</t>
  </si>
  <si>
    <t>The disposal of JD Consumer finance removes the non-performing consumer loans from Steinhoff's balance sheet</t>
  </si>
  <si>
    <t>However there is an argument that Campion Capital is a related party, falls under the control of Steinhoff and should therefore be consolidated</t>
  </si>
  <si>
    <t>The disposal removes loss making assets from the balance sheet, replacing them with loan receivables, which generate interest income</t>
  </si>
  <si>
    <t>By re-acquiring the debt collection operation Steinhoff is able to book a profit off of non-performing loans, without carrying them on their balance sheet</t>
  </si>
  <si>
    <t>Lower net income would have two principal impacts on the balance sheet: Balance sheet cash would reduce; retained earnings would reduce.</t>
  </si>
  <si>
    <t>Calculate the EBITDAR margin required in 2017 and 2018 to reduce leverage to 4.0 x</t>
  </si>
  <si>
    <t>Assumed tax rate</t>
  </si>
  <si>
    <t>Aston Martin - assume 60% of R&amp;D capitalized</t>
  </si>
  <si>
    <t>EBIT will have decreased as a result of the substantial depreciation adjustment</t>
  </si>
  <si>
    <t>EBITDA is before depreciation, so it would not be impacted by the additional depreciation</t>
  </si>
  <si>
    <t>Carillion - Carillion plc is a British multinational facilities management and construction services company</t>
  </si>
  <si>
    <t>Please assess your willingness to participate in new credit facilities of £140 mill.</t>
  </si>
  <si>
    <t>Financials of the company are provided and announcements of new contract wins are provided are below the financials.</t>
  </si>
  <si>
    <t>Please identify a list of questions for the company</t>
  </si>
  <si>
    <t>Carillion plc</t>
  </si>
  <si>
    <t xml:space="preserve">CLLN-GB   0736554   London    Common stock    </t>
  </si>
  <si>
    <t>All figures in millions of British Pounds except per share items.</t>
  </si>
  <si>
    <t>Fiscal Years</t>
  </si>
  <si>
    <t>Nonoperating Income - Net</t>
  </si>
  <si>
    <t>Interest Expense</t>
  </si>
  <si>
    <t>Unusual Expense - Net</t>
  </si>
  <si>
    <t>Income Taxes</t>
  </si>
  <si>
    <t>Equity in Earnings of Affiliates</t>
  </si>
  <si>
    <t>Consolidated Net Income</t>
  </si>
  <si>
    <t>Minority Interest</t>
  </si>
  <si>
    <t>Net Income</t>
  </si>
  <si>
    <t>Net Income available to Common</t>
  </si>
  <si>
    <t>EPS (recurring)</t>
  </si>
  <si>
    <t>Dividends per Share</t>
  </si>
  <si>
    <t>Rental Expense</t>
  </si>
  <si>
    <t>Stock Option Comp Exp (Net of Tax)</t>
  </si>
  <si>
    <t>Foreign Currency Translation Gains/Losses</t>
  </si>
  <si>
    <t>Tax Rate</t>
  </si>
  <si>
    <t>Balance Sheet</t>
  </si>
  <si>
    <t>Cash &amp; Short-Term Investments</t>
  </si>
  <si>
    <t>Short-Term Receivables</t>
  </si>
  <si>
    <t>Other Current Assets</t>
  </si>
  <si>
    <t>Total Current Assets</t>
  </si>
  <si>
    <t>Long Term Debt Maturities</t>
  </si>
  <si>
    <t>Depreciation, Depletion &amp; Amortization</t>
  </si>
  <si>
    <t>Other Funds</t>
  </si>
  <si>
    <t>Funds from Operations</t>
  </si>
  <si>
    <t>Changes in Working Capital</t>
  </si>
  <si>
    <t>Net Operating Cash Flow</t>
  </si>
  <si>
    <t>Capital Expenditures</t>
  </si>
  <si>
    <t>Net Assets from Acquisitions</t>
  </si>
  <si>
    <t>Sale of Fixed Assets &amp; Businesses</t>
  </si>
  <si>
    <t>Purchase/Sale of Investments</t>
  </si>
  <si>
    <t>Net Investing Cash Flow</t>
  </si>
  <si>
    <t>Cash Dividends Paid</t>
  </si>
  <si>
    <t>Change in Capital Stock</t>
  </si>
  <si>
    <t>Issuance/Reduction of Debt, Net</t>
  </si>
  <si>
    <t>Net Financing Cash Flow</t>
  </si>
  <si>
    <t>Exchange Rate Effect</t>
  </si>
  <si>
    <t>Net Change in Cash</t>
  </si>
  <si>
    <t>Free Cash Flow</t>
  </si>
  <si>
    <t>July 2017</t>
  </si>
  <si>
    <t>Announced strategic review</t>
  </si>
  <si>
    <t>Exiting a selection of construction projects</t>
  </si>
  <si>
    <t>Exit Qatar, Saudi and Egypt projects</t>
  </si>
  <si>
    <t>Cost cutting</t>
  </si>
  <si>
    <t>Suspend dividends</t>
  </si>
  <si>
    <t>Write off £845m off contracts</t>
  </si>
  <si>
    <t>HS2 contract win</t>
  </si>
  <si>
    <t>Oct 2017</t>
  </si>
  <si>
    <t>Interim results</t>
  </si>
  <si>
    <t>Raised additional £140m financing - HSBC</t>
  </si>
  <si>
    <t>Nov 2017</t>
  </si>
  <si>
    <t>More contract wins</t>
  </si>
  <si>
    <t>Update on covenant test deferral</t>
  </si>
  <si>
    <t>Agreed to April 2018</t>
  </si>
  <si>
    <t>Update - discussions with lenders ongoing</t>
  </si>
  <si>
    <t>Discussions with government &amp; lenders</t>
  </si>
  <si>
    <t>Compulsory liquidation</t>
  </si>
  <si>
    <t>Costa Coffee produces and sells coffee. Coffee is sold through a chain of coffee shops, both owned and franchised, and to wholesale customers.</t>
  </si>
  <si>
    <t>Caffe Nero Group Holdings Ltd</t>
  </si>
  <si>
    <t>Costa Limited</t>
  </si>
  <si>
    <t>New Operating Model implementation costs</t>
  </si>
  <si>
    <t>Restructuring costs</t>
  </si>
  <si>
    <t>Onerous contracts</t>
  </si>
  <si>
    <t>Business development start up costs</t>
  </si>
  <si>
    <t>Impairment of assets</t>
  </si>
  <si>
    <t>Asset / business disposals</t>
  </si>
  <si>
    <t>Airline disruption</t>
  </si>
  <si>
    <t xml:space="preserve">Pension plan amendment </t>
  </si>
  <si>
    <t>Other</t>
  </si>
  <si>
    <t>Total exceptional items</t>
  </si>
  <si>
    <t>Yes</t>
  </si>
  <si>
    <t>N/A</t>
  </si>
  <si>
    <t>Underlying EBIT</t>
  </si>
  <si>
    <t>Workouts</t>
  </si>
  <si>
    <t>Other receivables</t>
  </si>
  <si>
    <t>Amounts due on construction contracts</t>
  </si>
  <si>
    <t>Accrued income</t>
  </si>
  <si>
    <t>Prepayments</t>
  </si>
  <si>
    <t>Receivables - current</t>
  </si>
  <si>
    <t>Receivables - non current</t>
  </si>
  <si>
    <t>Change in payables</t>
  </si>
  <si>
    <t>Change in receivables</t>
  </si>
  <si>
    <t>Net change receivables &amp; payables</t>
  </si>
  <si>
    <t>Net change receivables &amp; payables/ operating cash flows</t>
  </si>
  <si>
    <t>Finance costs / financial liabilities</t>
  </si>
  <si>
    <t>Forensic Accounting</t>
  </si>
  <si>
    <t>Review the income statement and cash flow statement for Steinhoff and draw conclusions on earnings quality</t>
  </si>
  <si>
    <t>Capex - tangibles</t>
  </si>
  <si>
    <t>Capex - intangibles</t>
  </si>
  <si>
    <t>Effective tax rate</t>
  </si>
  <si>
    <t>Operating Profit</t>
  </si>
  <si>
    <t>Adjusted free cash flow</t>
  </si>
  <si>
    <t>Interest cost add back</t>
  </si>
  <si>
    <t>Kier</t>
  </si>
  <si>
    <t>Earnings quality ratio</t>
  </si>
  <si>
    <t>Non-underlying items</t>
  </si>
  <si>
    <t>Amortisation of intangible contract rights</t>
  </si>
  <si>
    <t>Mouchel Group acquisition costs</t>
  </si>
  <si>
    <t>Mouchel Group restructuring costs</t>
  </si>
  <si>
    <t>Business disposal costs</t>
  </si>
  <si>
    <t>Construction Workers Compensation Scheme</t>
  </si>
  <si>
    <t>Impairment of UK mining business</t>
  </si>
  <si>
    <t>Net gain/loss on business disposals</t>
  </si>
  <si>
    <t>Contract provisions</t>
  </si>
  <si>
    <t>Health, Safety and Environmental incidents</t>
  </si>
  <si>
    <t>Pension scheme cessation costs / gains</t>
  </si>
  <si>
    <t>Reported operating profit includes:</t>
  </si>
  <si>
    <t>JV results (post-tax)</t>
  </si>
  <si>
    <t>Profit on disposal of JVs</t>
  </si>
  <si>
    <t>Profit on disposal of subsidiaries and JVs</t>
  </si>
  <si>
    <t>Establishment of Cross Keys JV</t>
  </si>
  <si>
    <t>Non-GAAP reconciliation</t>
  </si>
  <si>
    <t>Profit before tax (inc discontinued ops)</t>
  </si>
  <si>
    <t>Net finance cost</t>
  </si>
  <si>
    <t>Share of JV result post-tax</t>
  </si>
  <si>
    <t>Pension contributions (less than) pension charge</t>
  </si>
  <si>
    <t>Equity settled share based payments</t>
  </si>
  <si>
    <t>Amortisation and impairment of intangible assets</t>
  </si>
  <si>
    <t>Other non-cash items</t>
  </si>
  <si>
    <t>Depreciation charges</t>
  </si>
  <si>
    <t>Loss/(profit) on disposal of PP&amp;E</t>
  </si>
  <si>
    <t>Special contributions to pension fund</t>
  </si>
  <si>
    <t>Increase in inventories</t>
  </si>
  <si>
    <t>Decrease/(inc) in receivables</t>
  </si>
  <si>
    <t>Increase in payables</t>
  </si>
  <si>
    <t>Decrease in provisions</t>
  </si>
  <si>
    <t>Dividends from JVs</t>
  </si>
  <si>
    <t>Interest received</t>
  </si>
  <si>
    <t>Cash outflow from non-underlying items</t>
  </si>
  <si>
    <t>Income taxes (paid)/ received</t>
  </si>
  <si>
    <t>Investing cash flows</t>
  </si>
  <si>
    <t xml:space="preserve">Operating cash flows   </t>
  </si>
  <si>
    <t>Proceeds from sale of PP&amp;E</t>
  </si>
  <si>
    <t>Proceeds from sale of JVs</t>
  </si>
  <si>
    <t>Purchase of PP&amp;E</t>
  </si>
  <si>
    <t>Purchase of intangible assets</t>
  </si>
  <si>
    <t>Divestment in assets held for sale</t>
  </si>
  <si>
    <t>Investment in JVs</t>
  </si>
  <si>
    <t>Acquisition of subsidiaries</t>
  </si>
  <si>
    <t>Cash flow statement extract</t>
  </si>
  <si>
    <t>Quality of earnings</t>
  </si>
  <si>
    <t>Quality of cash flows</t>
  </si>
  <si>
    <t xml:space="preserve">Reported operating profit  </t>
  </si>
  <si>
    <t>Operating cash flows before changes in working capital</t>
  </si>
  <si>
    <t>Operating cash flows plus proceeds from asset disposals</t>
  </si>
  <si>
    <t>Analyse the financial information below and highlight any concerns regarding non-GAAP earnings, earnings quality and cash flow quality</t>
  </si>
  <si>
    <t>Provisions note</t>
  </si>
  <si>
    <t>Opening balance</t>
  </si>
  <si>
    <t>Utilised</t>
  </si>
  <si>
    <t>Unwinding of discount</t>
  </si>
  <si>
    <t>Transfers</t>
  </si>
  <si>
    <t>Closing balance</t>
  </si>
  <si>
    <t>What concerns might you have about this trend?</t>
  </si>
  <si>
    <t>Group operating profit</t>
  </si>
  <si>
    <t>JV post-tax profits % Group profits</t>
  </si>
  <si>
    <t xml:space="preserve">JV post-tax profits  </t>
  </si>
  <si>
    <t>What proportion of the Group's operating profit's and operating cash flows are being generated by the JVs each year?</t>
  </si>
  <si>
    <t>JV dividends</t>
  </si>
  <si>
    <t>Group operating cash flow</t>
  </si>
  <si>
    <t>JV dividends % Group operating cash flow</t>
  </si>
  <si>
    <t xml:space="preserve">Income and cash flows from the JV investments are not fully controlled by Kier. </t>
  </si>
  <si>
    <t>Also, disclosure of JV financials is limited (only summary financial information needs to be disclosed) and this can restrict visibility of cash flows and leverage associated with the JV</t>
  </si>
  <si>
    <t>A further concern might be the extent to which the Group is transacting with the JVs since these are related party transactions, and could be used to distort key metrics.</t>
  </si>
  <si>
    <t>Kier announced an emergency rights issue in late 2018 due to cash concerns. The rights issue was only taken up by 38% of shareholders</t>
  </si>
  <si>
    <t>In 2019 Kier announced a major (£25m) profit warning and major restructuring, resulting in the share price falling more than 40%.</t>
  </si>
  <si>
    <t>What further information would be useful to obtain further clarification?</t>
  </si>
  <si>
    <t>Less share of JV revenue</t>
  </si>
  <si>
    <t>Group revenue</t>
  </si>
  <si>
    <t xml:space="preserve">Review the following additional information. Does this provide any clarity on any of the issues identified above? </t>
  </si>
  <si>
    <t>Payment to the Co-op Group</t>
  </si>
  <si>
    <t>Exceptional cash items</t>
  </si>
  <si>
    <t>Underlying operating cash flow</t>
  </si>
  <si>
    <t>Interest income</t>
  </si>
  <si>
    <t>GAAP operating cash flow</t>
  </si>
  <si>
    <t>GAAP operating profit</t>
  </si>
  <si>
    <t>Prior year cash exceptional paid in current year</t>
  </si>
  <si>
    <t>Total cash exceptional items</t>
  </si>
  <si>
    <t>Exceptional items</t>
  </si>
  <si>
    <t>Adjustments are an increasing % of underlying operating cash flow</t>
  </si>
  <si>
    <t>Cash from operations (before interest and tax)</t>
  </si>
  <si>
    <t>Total accrued income</t>
  </si>
  <si>
    <t>Provisions</t>
  </si>
  <si>
    <t>T/f from accruals</t>
  </si>
  <si>
    <t>Amounts provided (net)</t>
  </si>
  <si>
    <t>Acquired provision balances</t>
  </si>
  <si>
    <t>Income Statement Extract</t>
  </si>
  <si>
    <t>Administrative expenses</t>
  </si>
  <si>
    <t>Update:</t>
  </si>
  <si>
    <t>Reported operating profits wouldn't ordinarily include JV results as these are non-core</t>
  </si>
  <si>
    <t>Underlying EBIT is growing despite reported operating profits falling over the last 2 years</t>
  </si>
  <si>
    <t xml:space="preserve">Contract losses are concerning - ideally would conduct further analysis. </t>
  </si>
  <si>
    <t>Cash from operations / EBITDA</t>
  </si>
  <si>
    <t>Quality of non-GAAP earnings</t>
  </si>
  <si>
    <t>Operating profit (GAAP)</t>
  </si>
  <si>
    <t>Adjust for JV profits as these are not included in GAAP profits</t>
  </si>
  <si>
    <t>No need to adjust for JV dividends here as these are included in underlying EBIT (consistency is important)</t>
  </si>
  <si>
    <t xml:space="preserve">Underlying gross profit </t>
  </si>
  <si>
    <t>Contract losses relating to business closures</t>
  </si>
  <si>
    <t>Less: Costs associated with business closure</t>
  </si>
  <si>
    <t>Business closure costs</t>
  </si>
  <si>
    <t>Decreases in provisions are ALWAYS of interest! Ideally would conduct further analysis</t>
  </si>
  <si>
    <t xml:space="preserve">Net decrease in receivables/payables each year despite growth in revenues- use of supply chain financing? </t>
  </si>
  <si>
    <t>Primarily relate to acquisition of intangible contract rights -I suggest treating as capex</t>
  </si>
  <si>
    <t>Intangible contract rights are payments to acquire business contracts. Would suggest treating amortisation as an underlying cost</t>
  </si>
  <si>
    <t>Cash flows stabilised in FY17, but significant working capital inflows in FY15/16 despite growing revenues</t>
  </si>
  <si>
    <t>Charged/(credited) to income statement</t>
  </si>
  <si>
    <t>Acquired/(divested)</t>
  </si>
  <si>
    <t>Not clear how this ties in with the cash flow statement, which shows net provision utilisation in all 3 yrs. Further info needed.</t>
  </si>
  <si>
    <t>Provision balance is at least stable (and not supported by acquisitions) so no evidence of cookie jar utilisation</t>
  </si>
  <si>
    <t>Non-current assets</t>
  </si>
  <si>
    <t>Identify a list of questions for management regarding any issues requiring more information</t>
  </si>
  <si>
    <t>Appropriately classified as exceptional?</t>
  </si>
  <si>
    <t>Possibly - amounts have fluctuated over the years</t>
  </si>
  <si>
    <t>Unlikely - although described as 'restructuring costs', they appear to be recurring costs</t>
  </si>
  <si>
    <t>Unlikely - although onerous contracts can be exceptional, these appear to be recurring costs</t>
  </si>
  <si>
    <t>Working capital disclosure in FY17 results presentation</t>
  </si>
  <si>
    <t>Presentation confirms that they are relying on supply chain finance (as well improving working capital processes). Although financing stabilised in FY17, it provided a material benefit to cashflows</t>
  </si>
  <si>
    <t>Capita IFRS 15</t>
  </si>
  <si>
    <t>Re-state Capita's balance sheet, accounting for the changes due to IFRS 15 adoption</t>
  </si>
  <si>
    <t>In 2016 the impact of applying IFRS 15 was a reduction in revenue of 0.2bn, which is due to the reprofiling of long term contracted revenue</t>
  </si>
  <si>
    <t>The group's net assets reduce as a consequence of:</t>
  </si>
  <si>
    <t>An increase in deferred revenue of 150.0m, representing cash received for services to be delivered in future periods</t>
  </si>
  <si>
    <t>A reduction in accrued income of 50.0m as a result of the re-profiling of revenue</t>
  </si>
  <si>
    <t>Assume there is no impact on tax expense</t>
  </si>
  <si>
    <t>Adjustment</t>
  </si>
  <si>
    <t>£m</t>
  </si>
  <si>
    <t>Restructuring</t>
  </si>
  <si>
    <t>Net finance costs</t>
  </si>
  <si>
    <t>Gain/(loss) on business disposal</t>
  </si>
  <si>
    <t>Income tax expense</t>
  </si>
  <si>
    <t>Financial assets</t>
  </si>
  <si>
    <t>Deferred taxation</t>
  </si>
  <si>
    <t>Total non current assets</t>
  </si>
  <si>
    <t>Disposal group assets held for sale</t>
  </si>
  <si>
    <t>Funds assets</t>
  </si>
  <si>
    <t>Accrued revenue</t>
  </si>
  <si>
    <t>Deferred revenue</t>
  </si>
  <si>
    <t>Overdrafts</t>
  </si>
  <si>
    <t>Disposal group liabilities held for sale</t>
  </si>
  <si>
    <t>Funds liabilities</t>
  </si>
  <si>
    <t>Income tax payable</t>
  </si>
  <si>
    <t>Total current liabilities</t>
  </si>
  <si>
    <t>Employee benefits</t>
  </si>
  <si>
    <t>Total non current liabilities</t>
  </si>
  <si>
    <t>Issued share capital</t>
  </si>
  <si>
    <t>Share premium</t>
  </si>
  <si>
    <t>Employee benefit trust and treasury shares</t>
  </si>
  <si>
    <t>Capital redemption reserve</t>
  </si>
  <si>
    <t>Foreign currency translation reserve</t>
  </si>
  <si>
    <t>Cash flow hedging reserve</t>
  </si>
  <si>
    <t>—</t>
  </si>
  <si>
    <t>Equity attributable to owners of the Company</t>
  </si>
  <si>
    <t>Non-controlling interests</t>
  </si>
  <si>
    <t>Calculate 2016 EBITDA for Capita before and after the IFRS 15 adjustment</t>
  </si>
  <si>
    <t>Comment on the impact his will have on debt covenants for 2016</t>
  </si>
  <si>
    <t>Non recurring items</t>
  </si>
  <si>
    <t>Adopting IFRS 15 has resulted in Capita restating its 2016 results, reducing EBITDA</t>
  </si>
  <si>
    <t>However debt covenants do not need to be retrospectively retested for 2016</t>
  </si>
  <si>
    <t>Furthermore some adjustment has been made to the covenants for going forward from 2017</t>
  </si>
  <si>
    <t>Contingent consideration revaluation</t>
  </si>
  <si>
    <t>Complete the margin analysis for Interserve.</t>
  </si>
  <si>
    <t>In Thomas Cook's 2018 annual financial statements it reported EBIT of 250.0m, having recognised various adjustment to it's GAAP operating profit</t>
  </si>
  <si>
    <t>Is there evidence of bias in the adjusted numbers which conceals poor underlying performance?</t>
  </si>
  <si>
    <t xml:space="preserve">dumping recurring expenses in here too, it would be </t>
  </si>
  <si>
    <t>tempting for them to do so as we are told they</t>
  </si>
  <si>
    <t>are extending over a number of years</t>
  </si>
  <si>
    <t>As above the costs are fluctuating a lot, which suggests they</t>
  </si>
  <si>
    <t>MAY be non recurring</t>
  </si>
  <si>
    <t>The costs also seem VERY consistent EVERY year!</t>
  </si>
  <si>
    <t>Only occurred for two years</t>
  </si>
  <si>
    <t xml:space="preserve">The short term sub charter expense and cancellation </t>
  </si>
  <si>
    <t>compensation costs seem to be genuinely non recurring</t>
  </si>
  <si>
    <t>the Airline has already registered</t>
  </si>
  <si>
    <t>Comment on the ratio over the last 4 periods</t>
  </si>
  <si>
    <t>Comment</t>
  </si>
  <si>
    <t>GAAP operating profit / EBIT</t>
  </si>
  <si>
    <t>The fall in EBIT has been cushioned but the 'exceptional item' add backs</t>
  </si>
  <si>
    <t xml:space="preserve">GAAP operating profit has fallen by 61.8% (97.0 / 254.0 - 1.0) </t>
  </si>
  <si>
    <t>EBIT has fallen by 29.2% (250.0 / 353.0 - 1.0)</t>
  </si>
  <si>
    <t>Calculate Thomas Cook's GAAP operating profit / EBIT using the numbers in the previous workout</t>
  </si>
  <si>
    <t>Thomas Cook has identified various 'exceptional items' to arrive at EBIT, are there any items you consider to be misclassified?</t>
  </si>
  <si>
    <t xml:space="preserve">Even if individual adjustments are exceptional, the fact that 'total </t>
  </si>
  <si>
    <t xml:space="preserve">Is this really just non recurring restructuring or are management </t>
  </si>
  <si>
    <t>Specific to Expedia, Thomas Cook Money and the China JV</t>
  </si>
  <si>
    <t>This suggests evidence of bias in the adjusted numbers, concealing poor underlying performance</t>
  </si>
  <si>
    <t>Recalculate Thomas Cook's GAAP operating profit / recalculated EBIT</t>
  </si>
  <si>
    <t>is a feature of their recurring business model</t>
  </si>
  <si>
    <t>But the pattern of recurring costs suggests this</t>
  </si>
  <si>
    <t>Onerous contracts related to store closures could be exceptional items</t>
  </si>
  <si>
    <t>GAAP operating profit / recalculated EBIT</t>
  </si>
  <si>
    <t>Recalculated EBIT has fallen by 51.5% (129.0 / 266.0 - 1.0)</t>
  </si>
  <si>
    <t>This is extremely poor underlying performance</t>
  </si>
  <si>
    <t>exceptional' are consistently negative (and material) suggests 'cherry picking'</t>
  </si>
  <si>
    <t>Finance related exceptional items</t>
  </si>
  <si>
    <t>From workout 1</t>
  </si>
  <si>
    <t>n/a</t>
  </si>
  <si>
    <t>Of which will be paid in future years</t>
  </si>
  <si>
    <t>Bond refinancing costs</t>
  </si>
  <si>
    <t>Not clear what these are, presumable impairments / gain on disposal etc</t>
  </si>
  <si>
    <t>FY17 bond refinancing costs equal 10.0m</t>
  </si>
  <si>
    <t>Reconcile EBIT related exceptional items identified in the previous workouts to exceptional cash items</t>
  </si>
  <si>
    <t>Recalculate Thomas Cook's EBIT based on your analysis of the 'exceptional items' in the previous workouts</t>
  </si>
  <si>
    <t>Recalculated EBIT</t>
  </si>
  <si>
    <t>Some of the reduction in operating profit is attributable to genuinely non-recurring items</t>
  </si>
  <si>
    <t>However recalculated EBIT has still fallen by over 50.0%</t>
  </si>
  <si>
    <t>EBIT related exceptional items</t>
  </si>
  <si>
    <t>Strategic project: Refin selected financial instruments to achieve cost savings</t>
  </si>
  <si>
    <t>Non cash exceptional items</t>
  </si>
  <si>
    <t xml:space="preserve">This can be evidenced by the </t>
  </si>
  <si>
    <t>Air Operators Certificates and aircraft</t>
  </si>
  <si>
    <t>Comment on the clarity of the adjustments Thomas Cook have recognised to arrive at the exceptional cash items values</t>
  </si>
  <si>
    <t>The values provided in the annual report do not allow for a transparent reconciliation</t>
  </si>
  <si>
    <t>The lack of disclosure is a red flag here</t>
  </si>
  <si>
    <t>Use the cash flow extracts from Thomas Cook's annual report to complete the reconciliation of underlying operating cash flow to GAAP operating cash flow</t>
  </si>
  <si>
    <t>Current year cash related exceptional</t>
  </si>
  <si>
    <t>Future payments &gt; settlement of prior year exceptional</t>
  </si>
  <si>
    <t xml:space="preserve"> - reflects the growing number of exceptional each year</t>
  </si>
  <si>
    <t>No real detail on what 'cash exceptional' are. Lack of disclosure here is a red flag.</t>
  </si>
  <si>
    <t>For example it is how the exceptional have been divided between cash and non cash</t>
  </si>
  <si>
    <t>Calculate GAAP operating cash flow as a percentage of underlying operating cash flow</t>
  </si>
  <si>
    <t xml:space="preserve">GAAP operating cash flow / underlying operating cash flow </t>
  </si>
  <si>
    <t>Comment on your findings</t>
  </si>
  <si>
    <t xml:space="preserve">GAAP operating cash flow has fallen by 70.9% (139.0 / 477.0 - 1.0) </t>
  </si>
  <si>
    <t>Underlying operating cash flow has fallen by 41.5% (342.0 / 585.0 - 1.0)</t>
  </si>
  <si>
    <t>Complete the table below, calculating EBIT margin and GAAP operating profit / EBIT</t>
  </si>
  <si>
    <t xml:space="preserve">GAAP operating profit / EBIT </t>
  </si>
  <si>
    <t xml:space="preserve">GAAP operating profit has fallen by 33.9% (206.0 / 312.9 - 1.0) </t>
  </si>
  <si>
    <t>EBIT has increased by 23.6% (639.0 / 516.9 - 1.0)</t>
  </si>
  <si>
    <t>The GAAP operating profit / EBIT ratio is consistently &lt;100.0% and deteriorating</t>
  </si>
  <si>
    <t>Review Capita's 2015 annual financial statements cash flow statement extracts</t>
  </si>
  <si>
    <t>Review Capita's 2015 annual financial statements income statement extract</t>
  </si>
  <si>
    <t>Calculate cash conversion (cash from operations / EBITDA)</t>
  </si>
  <si>
    <t>Comment on your analysis</t>
  </si>
  <si>
    <t>Despite an increase in EBIT &amp; EBITDA cash conversion is deteriorating</t>
  </si>
  <si>
    <t>Trade receivables growth</t>
  </si>
  <si>
    <t>Trade receivables / revenues</t>
  </si>
  <si>
    <t>Billed receivables have actually fallen, against a back drop of revenue growth</t>
  </si>
  <si>
    <t>Accrued income is 'earned but not yet received', but how has Capita estimated how much has been earned?</t>
  </si>
  <si>
    <t>Usually based on % contract completion (costs incurred vs total contract costs)</t>
  </si>
  <si>
    <t>The lower the estimates of costs to complete the greater the proportion of revenues (and profits) that can be recognised</t>
  </si>
  <si>
    <t>Revenues are showing strong growth but it's important to understand what is driving this</t>
  </si>
  <si>
    <t xml:space="preserve">The significant increase in accrued income is driving revenue growth </t>
  </si>
  <si>
    <t>Total receivables</t>
  </si>
  <si>
    <t>Total accrued income growth</t>
  </si>
  <si>
    <t>Total accrued income / revenues</t>
  </si>
  <si>
    <t>Total accrued income / total receivables</t>
  </si>
  <si>
    <t>This is not good quality earnings growth</t>
  </si>
  <si>
    <t>Review Capita's 2015 annual financial statements contingent consideration extracts</t>
  </si>
  <si>
    <t xml:space="preserve">The investing cash flow section of the cash flow statement </t>
  </si>
  <si>
    <t>What does 'utilised' contingent consideration represent?</t>
  </si>
  <si>
    <t xml:space="preserve">The operating cash flow section of the cash flow statement </t>
  </si>
  <si>
    <t xml:space="preserve">Comment on the following statement: </t>
  </si>
  <si>
    <t>'Releases of earnout provisions are not just a low quality income item, but indicative that the acquisition has started to disappoint'</t>
  </si>
  <si>
    <t>Aggressive estimates are evident in elevated accrued income growth, accrued income / revenues and accrued income /  total receivables</t>
  </si>
  <si>
    <t>Answer the following questions</t>
  </si>
  <si>
    <t>Vendors receive payments based on post acquisition performance of acquired entities</t>
  </si>
  <si>
    <t>Where is 'utilised' contingent consideration presented in the cash flow statement?</t>
  </si>
  <si>
    <t>The decrease in the contingent consideration liability results in an increase in retained earnings (reducing admin expenses)</t>
  </si>
  <si>
    <t>Where is 'profit and loss movement - administrative expenses' presented in the cash flow statement?</t>
  </si>
  <si>
    <t>It would be reasonable to describe this increase in EBIT as low quality income</t>
  </si>
  <si>
    <t>To identify this issue focus on movements in contingent consideration presented in the operating section of the cash flow statement</t>
  </si>
  <si>
    <t>The acquired entity has failed to perform as initially estimated, which has ultimately increased EBIT</t>
  </si>
  <si>
    <t>Percentage change in provision</t>
  </si>
  <si>
    <t>Percentage of opening provision utilized</t>
  </si>
  <si>
    <t>Despite significant utilisation the provision balances have been very stable over the last 2 reporting periods</t>
  </si>
  <si>
    <t>Capita is required to review and adjust its provisions every reporting date</t>
  </si>
  <si>
    <t>Analyse Capita's provisions</t>
  </si>
  <si>
    <t>Bakers require a greater investment in training than baristas.</t>
  </si>
  <si>
    <t>Analyse Carillion's cash flow statement extracts and complete the table below</t>
  </si>
  <si>
    <t>Net cash flow from operating activities</t>
  </si>
  <si>
    <t>Carillion are offsetting this with an increase in payables, having a positive impact on cash flow</t>
  </si>
  <si>
    <t>No transparency on new provisions, which are shown net, presumably of other releases</t>
  </si>
  <si>
    <t>There is a concern about 'churn', preserving provisions so they can be used to support EBIT in the future (cookie jar provisions)</t>
  </si>
  <si>
    <t>Aggressive provision creation is usually a red flag</t>
  </si>
  <si>
    <t>Receivables are growing significantly, having a negative impact on cash flow</t>
  </si>
  <si>
    <t>The net change in receivables and payables is reducing Carillion's operating working capital needs</t>
  </si>
  <si>
    <t>Maintaining a positive operating cash flow has relied on extending payables aggressively</t>
  </si>
  <si>
    <t>Financial liabilities growth</t>
  </si>
  <si>
    <t>Analyse the Carillion's borrowing and finance expenses from the previous workout</t>
  </si>
  <si>
    <t>Analyse Capita's receivables, commenting on your observations</t>
  </si>
  <si>
    <t>New provisions are being created to offset those being utilized</t>
  </si>
  <si>
    <t>Finance costs growth</t>
  </si>
  <si>
    <t>Finance costs are growing much faster than financial liabilities</t>
  </si>
  <si>
    <t>Reflected in an increase in finance costs relative to financial liabilities</t>
  </si>
  <si>
    <t>Potential for off balance sheet financing, which should be investigated further</t>
  </si>
  <si>
    <t>In fact the were using (abusing) reverse factoring</t>
  </si>
  <si>
    <t>Coffee shop brand, also owns Harris &amp; Hoole (artisan coffee houses) and Aroma (brand of premium quality coffee)</t>
  </si>
  <si>
    <t>Cash acquired</t>
  </si>
  <si>
    <t>Total currency assets</t>
  </si>
  <si>
    <t>Calculate ROIC for Interserve</t>
  </si>
  <si>
    <t>If this includes an impairment charge then, as a non-recurring item, this would have been added back to operating profit</t>
  </si>
  <si>
    <t>Pre-tax Income</t>
  </si>
  <si>
    <t>Comment on whether there is evidence of bias in the adjusted numbers which conceals poor underlying performance?</t>
  </si>
  <si>
    <t>The change in EBIT has been cushioned by the 'exceptional item' add backs</t>
  </si>
  <si>
    <t>What does 'profit and loss movement - administrative expenses' represent?</t>
  </si>
  <si>
    <t>Post acquisition performance of acquired entities has not met expectations, the probability of contingent consideration being paid has reduced</t>
  </si>
  <si>
    <t>Orange - Ferrari</t>
  </si>
  <si>
    <t>Green - Aston Martin</t>
  </si>
  <si>
    <t>Accounts payable</t>
  </si>
  <si>
    <t>Accounts receivable</t>
  </si>
  <si>
    <t>Assess your view on Aston Martin's valuation</t>
  </si>
  <si>
    <t>Esimates</t>
  </si>
  <si>
    <t>A company enters into a 3 year contract with a customer for a fixed fee of 100.0. Management estimates that total contract costs will be 80.0.</t>
  </si>
  <si>
    <t>Calculate contract revenues and profits throughout the 3 years given the information below on actual costs incurred.</t>
  </si>
  <si>
    <t>How do revenues and profits change if there are cost overruns of 10.0 in Year 3?</t>
  </si>
  <si>
    <t>Contract revenue</t>
  </si>
  <si>
    <t>Contract costs</t>
  </si>
  <si>
    <t>Contract profit</t>
  </si>
  <si>
    <t>Yr 1</t>
  </si>
  <si>
    <t>Yr 2</t>
  </si>
  <si>
    <t>Yr 3</t>
  </si>
  <si>
    <t>A company produces 100.0 units of inventory during the year. Direct costs for the inventory production are 3.0 per unit and production overheads are 200.0.</t>
  </si>
  <si>
    <t>Calculate the cost of goods sold for the year and inventory balance at the year end if 80.0 of these units are sold?</t>
  </si>
  <si>
    <t>Overheads</t>
  </si>
  <si>
    <t>Direct costs per unit</t>
  </si>
  <si>
    <t>Units produced</t>
  </si>
  <si>
    <t>Units sold</t>
  </si>
  <si>
    <t>Overheads per unit</t>
  </si>
  <si>
    <t>Total cost per unit</t>
  </si>
  <si>
    <t>COGS</t>
  </si>
  <si>
    <t>Inventory balance</t>
  </si>
  <si>
    <t xml:space="preserve">A company has generated 100.0 of revenue and incurred 70.0 of costs in Years 1 - 3. At the end of Year 1, management decides to recognise a restructuring provision of 5.0. </t>
  </si>
  <si>
    <t>This provision is released during Year 3. Calculate the company's operating profit in Years 1-3.</t>
  </si>
  <si>
    <t>Yr 0</t>
  </si>
  <si>
    <t>Costs</t>
  </si>
  <si>
    <t>Provisions balance</t>
  </si>
  <si>
    <t xml:space="preserve">Company A acquires 100% of the equity of Company B on the last day of their financial year. The purchase consideration is 50.0 of equity and 5.0 in contingent consideration, relating to a one year earnout. </t>
  </si>
  <si>
    <t>Calculate the consolidated balance sheet at the date of acquisition and the consolidated operating profit in the year after the acquisition.</t>
  </si>
  <si>
    <t>How do these numbers change if Company B's inventory is stepped down by 5.0 at acquisition and the earnout target is missed?</t>
  </si>
  <si>
    <t>Balance sheet at acquisition</t>
  </si>
  <si>
    <t>Co. A</t>
  </si>
  <si>
    <t>Co. B</t>
  </si>
  <si>
    <t>Zero Equity</t>
  </si>
  <si>
    <t>Consideration</t>
  </si>
  <si>
    <t>Combo</t>
  </si>
  <si>
    <t>Current assets</t>
  </si>
  <si>
    <t>Non current assets</t>
  </si>
  <si>
    <t>Total liabilities and equity</t>
  </si>
  <si>
    <t>Income statement for year after acquisition</t>
  </si>
  <si>
    <t>Adjustments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</si>
</sst>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yyyy"/>
    <numFmt numFmtId="176" formatCode="#,##0.00_);\(#,##0.00\);0.00_);@_)"/>
  </numFmts>
  <fonts count="47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9"/>
      <name val="Trebuchet MS"/>
      <family val="2"/>
    </font>
    <font>
      <sz val="10"/>
      <name val="Arial"/>
      <family val="2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7"/>
      <color rgb="FF4F4F4F"/>
      <name val="Trebuchet MS"/>
      <family val="2"/>
    </font>
    <font>
      <sz val="7"/>
      <color rgb="FF00A4E2"/>
      <name val="Trebuchet MS"/>
      <family val="2"/>
    </font>
    <font>
      <sz val="11"/>
      <color rgb="FFFF0000"/>
      <name val="Calibri"/>
      <family val="2"/>
      <scheme val="minor"/>
    </font>
    <font>
      <b/>
      <sz val="11"/>
      <color rgb="FF085393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  <font>
      <b/>
      <sz val="22"/>
      <color theme="0"/>
      <name val="Calibri Light"/>
      <family val="2"/>
      <scheme val="major"/>
    </font>
    <font>
      <b/>
      <sz val="16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5" fillId="0" borderId="0"/>
    <xf numFmtId="0" fontId="36" fillId="0" borderId="0" applyNumberFormat="0" applyFill="0" applyBorder="0" applyAlignment="0" applyProtection="0"/>
  </cellStyleXfs>
  <cellXfs count="12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quotePrefix="1"/>
    <xf numFmtId="170" fontId="3" fillId="0" borderId="0" xfId="54" quotePrefix="1">
      <alignment vertical="top"/>
    </xf>
    <xf numFmtId="174" fontId="30" fillId="0" borderId="0" xfId="58" applyNumberFormat="1" applyFill="1"/>
    <xf numFmtId="171" fontId="0" fillId="0" borderId="0" xfId="56" applyFont="1"/>
    <xf numFmtId="170" fontId="3" fillId="0" borderId="0" xfId="54" applyFill="1">
      <alignment vertical="top"/>
    </xf>
    <xf numFmtId="168" fontId="0" fillId="0" borderId="0" xfId="55" applyFont="1"/>
    <xf numFmtId="174" fontId="0" fillId="0" borderId="0" xfId="0" applyBorder="1"/>
    <xf numFmtId="15" fontId="0" fillId="0" borderId="0" xfId="0" applyNumberFormat="1"/>
    <xf numFmtId="174" fontId="30" fillId="0" borderId="0" xfId="58" quotePrefix="1" applyNumberFormat="1" applyFill="1"/>
    <xf numFmtId="175" fontId="3" fillId="0" borderId="0" xfId="55" applyNumberFormat="1" applyFont="1" applyAlignment="1">
      <alignment vertical="top"/>
    </xf>
    <xf numFmtId="175" fontId="3" fillId="0" borderId="0" xfId="54" applyNumberFormat="1">
      <alignment vertical="top"/>
    </xf>
    <xf numFmtId="170" fontId="30" fillId="0" borderId="0" xfId="58" applyFill="1" applyAlignment="1">
      <alignment vertical="top"/>
    </xf>
    <xf numFmtId="174" fontId="0" fillId="0" borderId="0" xfId="0" applyBorder="1" applyAlignment="1">
      <alignment vertical="center"/>
    </xf>
    <xf numFmtId="174" fontId="29" fillId="0" borderId="0" xfId="0" applyFont="1" applyBorder="1" applyAlignment="1">
      <alignment vertical="center"/>
    </xf>
    <xf numFmtId="172" fontId="29" fillId="0" borderId="0" xfId="57" applyFont="1" applyFill="1" applyBorder="1" applyAlignment="1">
      <alignment vertical="center"/>
    </xf>
    <xf numFmtId="172" fontId="0" fillId="0" borderId="0" xfId="57" applyFont="1" applyFill="1"/>
    <xf numFmtId="174" fontId="0" fillId="0" borderId="0" xfId="57" applyNumberFormat="1" applyFont="1" applyFill="1"/>
    <xf numFmtId="168" fontId="0" fillId="0" borderId="0" xfId="55" applyFont="1" applyFill="1"/>
    <xf numFmtId="170" fontId="3" fillId="0" borderId="0" xfId="54" applyBorder="1">
      <alignment vertical="top"/>
    </xf>
    <xf numFmtId="172" fontId="30" fillId="0" borderId="0" xfId="57" applyFont="1" applyFill="1"/>
    <xf numFmtId="171" fontId="30" fillId="0" borderId="0" xfId="56" applyFont="1" applyFill="1"/>
    <xf numFmtId="174" fontId="42" fillId="0" borderId="0" xfId="0" applyFont="1"/>
    <xf numFmtId="174" fontId="25" fillId="2" borderId="0" xfId="0" applyFont="1" applyFill="1" applyAlignment="1">
      <alignment vertical="center"/>
    </xf>
    <xf numFmtId="174" fontId="25" fillId="0" borderId="0" xfId="0" applyFont="1" applyAlignment="1">
      <alignment vertical="center"/>
    </xf>
    <xf numFmtId="174" fontId="26" fillId="3" borderId="0" xfId="0" applyFont="1" applyFill="1"/>
    <xf numFmtId="174" fontId="26" fillId="0" borderId="0" xfId="0" applyFont="1"/>
    <xf numFmtId="0" fontId="0" fillId="0" borderId="0" xfId="0" applyNumberFormat="1"/>
    <xf numFmtId="2" fontId="34" fillId="0" borderId="0" xfId="0" applyNumberFormat="1" applyFont="1"/>
    <xf numFmtId="2" fontId="33" fillId="0" borderId="0" xfId="0" applyNumberFormat="1" applyFont="1"/>
    <xf numFmtId="40" fontId="30" fillId="0" borderId="0" xfId="58" applyNumberFormat="1" applyFill="1"/>
    <xf numFmtId="170" fontId="4" fillId="0" borderId="0" xfId="50" quotePrefix="1" applyNumberFormat="1">
      <alignment horizontal="left" vertical="center"/>
    </xf>
    <xf numFmtId="168" fontId="4" fillId="0" borderId="0" xfId="55" applyFont="1" applyAlignment="1">
      <alignment horizontal="left" vertical="center"/>
    </xf>
    <xf numFmtId="174" fontId="29" fillId="0" borderId="0" xfId="0" applyFont="1"/>
    <xf numFmtId="172" fontId="30" fillId="0" borderId="0" xfId="58" applyNumberFormat="1" applyFill="1"/>
    <xf numFmtId="170" fontId="43" fillId="0" borderId="0" xfId="54" applyFont="1">
      <alignment vertical="top"/>
    </xf>
    <xf numFmtId="0" fontId="30" fillId="0" borderId="0" xfId="58" applyNumberFormat="1" applyFill="1"/>
    <xf numFmtId="0" fontId="44" fillId="0" borderId="0" xfId="55" applyNumberFormat="1" applyFont="1"/>
    <xf numFmtId="175" fontId="0" fillId="0" borderId="0" xfId="0" applyNumberFormat="1"/>
    <xf numFmtId="168" fontId="3" fillId="0" borderId="0" xfId="55" applyFont="1" applyAlignment="1">
      <alignment vertical="top"/>
    </xf>
    <xf numFmtId="170" fontId="45" fillId="2" borderId="0" xfId="48" applyNumberFormat="1" applyFont="1">
      <alignment horizontal="left"/>
    </xf>
    <xf numFmtId="170" fontId="46" fillId="3" borderId="0" xfId="49" applyNumberFormat="1" applyFont="1" applyAlignment="1"/>
    <xf numFmtId="174" fontId="37" fillId="0" borderId="0" xfId="0" applyFont="1"/>
    <xf numFmtId="170" fontId="4" fillId="0" borderId="0" xfId="50" applyNumberFormat="1" applyFont="1">
      <alignment horizontal="left" vertical="center"/>
    </xf>
    <xf numFmtId="170" fontId="4" fillId="0" borderId="0" xfId="50" applyNumberFormat="1" applyFont="1" applyFill="1">
      <alignment horizontal="left" vertical="center"/>
    </xf>
    <xf numFmtId="170" fontId="3" fillId="0" borderId="0" xfId="51" applyNumberFormat="1" applyFont="1" applyFill="1">
      <alignment vertical="top"/>
    </xf>
    <xf numFmtId="174" fontId="30" fillId="0" borderId="0" xfId="58" applyNumberFormat="1" applyFill="1" applyBorder="1" applyAlignment="1">
      <alignment vertical="center"/>
    </xf>
    <xf numFmtId="176" fontId="30" fillId="0" borderId="0" xfId="58" applyNumberFormat="1" applyFill="1"/>
    <xf numFmtId="174" fontId="0" fillId="0" borderId="0" xfId="0"/>
    <xf numFmtId="170" fontId="3" fillId="0" borderId="0" xfId="54" applyFont="1">
      <alignment vertical="top"/>
    </xf>
    <xf numFmtId="174" fontId="0" fillId="0" borderId="0" xfId="0"/>
    <xf numFmtId="174" fontId="0" fillId="0" borderId="0" xfId="0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  <xf numFmtId="174" fontId="0" fillId="0" borderId="0" xfId="0"/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Hyperlink" xfId="66" builtinId="8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rmal 2" xfId="65" xr:uid="{00000000-0005-0000-0000-000042000000}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13" Type="http://schemas.openxmlformats.org/officeDocument/2006/relationships/image" Target="../media/image16.emf"/><Relationship Id="rId18" Type="http://schemas.openxmlformats.org/officeDocument/2006/relationships/image" Target="../media/image21.emf"/><Relationship Id="rId3" Type="http://schemas.openxmlformats.org/officeDocument/2006/relationships/image" Target="../media/image6.emf"/><Relationship Id="rId7" Type="http://schemas.openxmlformats.org/officeDocument/2006/relationships/image" Target="../media/image10.emf"/><Relationship Id="rId12" Type="http://schemas.openxmlformats.org/officeDocument/2006/relationships/image" Target="../media/image15.emf"/><Relationship Id="rId17" Type="http://schemas.openxmlformats.org/officeDocument/2006/relationships/image" Target="../media/image20.emf"/><Relationship Id="rId2" Type="http://schemas.openxmlformats.org/officeDocument/2006/relationships/image" Target="../media/image5.emf"/><Relationship Id="rId16" Type="http://schemas.openxmlformats.org/officeDocument/2006/relationships/image" Target="../media/image19.emf"/><Relationship Id="rId1" Type="http://schemas.openxmlformats.org/officeDocument/2006/relationships/image" Target="../media/image4.emf"/><Relationship Id="rId6" Type="http://schemas.openxmlformats.org/officeDocument/2006/relationships/image" Target="../media/image9.emf"/><Relationship Id="rId11" Type="http://schemas.openxmlformats.org/officeDocument/2006/relationships/image" Target="../media/image14.emf"/><Relationship Id="rId5" Type="http://schemas.openxmlformats.org/officeDocument/2006/relationships/image" Target="../media/image8.emf"/><Relationship Id="rId15" Type="http://schemas.openxmlformats.org/officeDocument/2006/relationships/image" Target="../media/image18.emf"/><Relationship Id="rId10" Type="http://schemas.openxmlformats.org/officeDocument/2006/relationships/image" Target="../media/image13.emf"/><Relationship Id="rId19" Type="http://schemas.openxmlformats.org/officeDocument/2006/relationships/image" Target="../media/image22.emf"/><Relationship Id="rId4" Type="http://schemas.openxmlformats.org/officeDocument/2006/relationships/image" Target="../media/image7.emf"/><Relationship Id="rId9" Type="http://schemas.openxmlformats.org/officeDocument/2006/relationships/image" Target="../media/image12.emf"/><Relationship Id="rId14" Type="http://schemas.openxmlformats.org/officeDocument/2006/relationships/image" Target="../media/image17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5.png"/><Relationship Id="rId2" Type="http://schemas.openxmlformats.org/officeDocument/2006/relationships/image" Target="../media/image24.png"/><Relationship Id="rId1" Type="http://schemas.openxmlformats.org/officeDocument/2006/relationships/image" Target="../media/image23.png"/><Relationship Id="rId4" Type="http://schemas.openxmlformats.org/officeDocument/2006/relationships/image" Target="../media/image26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9.emf"/><Relationship Id="rId2" Type="http://schemas.openxmlformats.org/officeDocument/2006/relationships/image" Target="../media/image28.emf"/><Relationship Id="rId1" Type="http://schemas.openxmlformats.org/officeDocument/2006/relationships/image" Target="../media/image27.emf"/><Relationship Id="rId4" Type="http://schemas.openxmlformats.org/officeDocument/2006/relationships/image" Target="../media/image30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2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5.emf"/><Relationship Id="rId2" Type="http://schemas.openxmlformats.org/officeDocument/2006/relationships/image" Target="../media/image34.emf"/><Relationship Id="rId1" Type="http://schemas.openxmlformats.org/officeDocument/2006/relationships/image" Target="../media/image33.emf"/><Relationship Id="rId6" Type="http://schemas.openxmlformats.org/officeDocument/2006/relationships/image" Target="../media/image38.emf"/><Relationship Id="rId5" Type="http://schemas.openxmlformats.org/officeDocument/2006/relationships/image" Target="../media/image37.emf"/><Relationship Id="rId4" Type="http://schemas.openxmlformats.org/officeDocument/2006/relationships/image" Target="../media/image36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9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41.png"/><Relationship Id="rId1" Type="http://schemas.openxmlformats.org/officeDocument/2006/relationships/image" Target="../media/image40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4.png"/><Relationship Id="rId2" Type="http://schemas.openxmlformats.org/officeDocument/2006/relationships/image" Target="../media/image43.png"/><Relationship Id="rId1" Type="http://schemas.openxmlformats.org/officeDocument/2006/relationships/image" Target="../media/image42.png"/><Relationship Id="rId5" Type="http://schemas.openxmlformats.org/officeDocument/2006/relationships/image" Target="../media/image46.png"/><Relationship Id="rId4" Type="http://schemas.openxmlformats.org/officeDocument/2006/relationships/image" Target="../media/image45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114299</xdr:colOff>
      <xdr:row>33</xdr:row>
      <xdr:rowOff>0</xdr:rowOff>
    </xdr:from>
    <xdr:to>
      <xdr:col>9</xdr:col>
      <xdr:colOff>1190</xdr:colOff>
      <xdr:row>40</xdr:row>
      <xdr:rowOff>134338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331B0DFF-2189-4734-8820-821546C27C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7096125"/>
          <a:ext cx="7700963" cy="1400175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114299</xdr:colOff>
      <xdr:row>23</xdr:row>
      <xdr:rowOff>171450</xdr:rowOff>
    </xdr:from>
    <xdr:to>
      <xdr:col>9</xdr:col>
      <xdr:colOff>1190</xdr:colOff>
      <xdr:row>32</xdr:row>
      <xdr:rowOff>172650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6B80396E-31EB-4420-97B1-A067C906F0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5267325"/>
          <a:ext cx="7700963" cy="1628775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</xdr:row>
      <xdr:rowOff>0</xdr:rowOff>
    </xdr:from>
    <xdr:to>
      <xdr:col>9</xdr:col>
      <xdr:colOff>0</xdr:colOff>
      <xdr:row>48</xdr:row>
      <xdr:rowOff>136520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55216E27-4166-4F6B-A22F-D139F054D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696325"/>
          <a:ext cx="7700963" cy="1400175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23814</xdr:colOff>
      <xdr:row>49</xdr:row>
      <xdr:rowOff>0</xdr:rowOff>
    </xdr:from>
    <xdr:to>
      <xdr:col>9</xdr:col>
      <xdr:colOff>1</xdr:colOff>
      <xdr:row>53</xdr:row>
      <xdr:rowOff>77187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E6B9433D-A5E7-4E05-9D79-000344C57E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14" y="10296525"/>
          <a:ext cx="7677150" cy="800100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114299</xdr:colOff>
      <xdr:row>54</xdr:row>
      <xdr:rowOff>0</xdr:rowOff>
    </xdr:from>
    <xdr:to>
      <xdr:col>9</xdr:col>
      <xdr:colOff>1190</xdr:colOff>
      <xdr:row>64</xdr:row>
      <xdr:rowOff>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172D1D54-4D47-4316-A13C-9B03E6906C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11296650"/>
          <a:ext cx="7700963" cy="1809750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114299</xdr:colOff>
      <xdr:row>107</xdr:row>
      <xdr:rowOff>1</xdr:rowOff>
    </xdr:from>
    <xdr:to>
      <xdr:col>5</xdr:col>
      <xdr:colOff>1189</xdr:colOff>
      <xdr:row>113</xdr:row>
      <xdr:rowOff>114301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355D7919-CF61-440D-BD73-4A00CD2E5E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21897976"/>
          <a:ext cx="4957763" cy="1200150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114299</xdr:colOff>
      <xdr:row>113</xdr:row>
      <xdr:rowOff>200024</xdr:rowOff>
    </xdr:from>
    <xdr:to>
      <xdr:col>5</xdr:col>
      <xdr:colOff>1189</xdr:colOff>
      <xdr:row>143</xdr:row>
      <xdr:rowOff>155119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1B3F7D25-B759-40FF-BA26-F068A88587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23298149"/>
          <a:ext cx="4957763" cy="5400675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142</xdr:row>
      <xdr:rowOff>0</xdr:rowOff>
    </xdr:from>
    <xdr:to>
      <xdr:col>5</xdr:col>
      <xdr:colOff>2550</xdr:colOff>
      <xdr:row>154</xdr:row>
      <xdr:rowOff>28575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A9410C-606E-4ACE-AE90-37A7789149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28898850"/>
          <a:ext cx="4957763" cy="2200275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201</xdr:row>
      <xdr:rowOff>0</xdr:rowOff>
    </xdr:from>
    <xdr:to>
      <xdr:col>12</xdr:col>
      <xdr:colOff>2551</xdr:colOff>
      <xdr:row>227</xdr:row>
      <xdr:rowOff>96451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7EA6C70A-30C4-4F9D-9630-CBA38E1564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661" y="40372393"/>
          <a:ext cx="9769929" cy="4735286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181</xdr:row>
      <xdr:rowOff>-1</xdr:rowOff>
    </xdr:from>
    <xdr:to>
      <xdr:col>5</xdr:col>
      <xdr:colOff>2550</xdr:colOff>
      <xdr:row>199</xdr:row>
      <xdr:rowOff>142875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9A77ADE3-AF19-4524-A064-3200665288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661" y="36820928"/>
          <a:ext cx="4959803" cy="3354161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114299</xdr:colOff>
      <xdr:row>253</xdr:row>
      <xdr:rowOff>0</xdr:rowOff>
    </xdr:from>
    <xdr:to>
      <xdr:col>7</xdr:col>
      <xdr:colOff>583</xdr:colOff>
      <xdr:row>264</xdr:row>
      <xdr:rowOff>9525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BC36231E-4572-4FB9-BA76-389D36B1E9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49901475"/>
          <a:ext cx="6329363" cy="2000250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114299</xdr:colOff>
      <xdr:row>283</xdr:row>
      <xdr:rowOff>0</xdr:rowOff>
    </xdr:from>
    <xdr:to>
      <xdr:col>7</xdr:col>
      <xdr:colOff>583</xdr:colOff>
      <xdr:row>302</xdr:row>
      <xdr:rowOff>161925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AF90772A-D2A8-4CD4-8BD2-9137936824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56102250"/>
          <a:ext cx="6329363" cy="3600450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114299</xdr:colOff>
      <xdr:row>302</xdr:row>
      <xdr:rowOff>0</xdr:rowOff>
    </xdr:from>
    <xdr:to>
      <xdr:col>7</xdr:col>
      <xdr:colOff>583</xdr:colOff>
      <xdr:row>307</xdr:row>
      <xdr:rowOff>95250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604869E2-AC40-421E-9173-C4B21A364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59902725"/>
          <a:ext cx="6329363" cy="1000125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325</xdr:row>
      <xdr:rowOff>0</xdr:rowOff>
    </xdr:from>
    <xdr:to>
      <xdr:col>7</xdr:col>
      <xdr:colOff>0</xdr:colOff>
      <xdr:row>337</xdr:row>
      <xdr:rowOff>28575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9B86C6A2-CD99-4E62-A0AC-1BFD23B8D6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4703325"/>
          <a:ext cx="6329363" cy="2200275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114299</xdr:colOff>
      <xdr:row>378</xdr:row>
      <xdr:rowOff>138112</xdr:rowOff>
    </xdr:from>
    <xdr:to>
      <xdr:col>7</xdr:col>
      <xdr:colOff>583</xdr:colOff>
      <xdr:row>383</xdr:row>
      <xdr:rowOff>95250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259F09F2-C45B-4443-AAA8-427E16F759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75642787"/>
          <a:ext cx="6329363" cy="862013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387</xdr:row>
      <xdr:rowOff>0</xdr:rowOff>
    </xdr:from>
    <xdr:to>
      <xdr:col>4</xdr:col>
      <xdr:colOff>0</xdr:colOff>
      <xdr:row>394</xdr:row>
      <xdr:rowOff>133350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7BD170F6-82E4-408B-8541-FEB2D46A2F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76704825"/>
          <a:ext cx="4271963" cy="1400175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114299</xdr:colOff>
      <xdr:row>384</xdr:row>
      <xdr:rowOff>0</xdr:rowOff>
    </xdr:from>
    <xdr:to>
      <xdr:col>7</xdr:col>
      <xdr:colOff>583</xdr:colOff>
      <xdr:row>386</xdr:row>
      <xdr:rowOff>38100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C02690E9-0A8E-4F3B-8B62-E3A9C41BBF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299" y="76304775"/>
          <a:ext cx="6329363" cy="400050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443</xdr:row>
      <xdr:rowOff>0</xdr:rowOff>
    </xdr:from>
    <xdr:to>
      <xdr:col>9</xdr:col>
      <xdr:colOff>0</xdr:colOff>
      <xdr:row>464</xdr:row>
      <xdr:rowOff>0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40DFA156-F951-4D93-BBAD-895A9BD870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633" y="87766071"/>
          <a:ext cx="7697755" cy="3785702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484</xdr:row>
      <xdr:rowOff>0</xdr:rowOff>
    </xdr:from>
    <xdr:to>
      <xdr:col>9</xdr:col>
      <xdr:colOff>0</xdr:colOff>
      <xdr:row>499</xdr:row>
      <xdr:rowOff>85725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3F65E291-E613-4471-8C4E-25D10137EB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633" y="95337474"/>
          <a:ext cx="7697755" cy="2789465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6351</xdr:colOff>
      <xdr:row>67</xdr:row>
      <xdr:rowOff>69335</xdr:rowOff>
    </xdr:from>
    <xdr:to>
      <xdr:col>5</xdr:col>
      <xdr:colOff>234951</xdr:colOff>
      <xdr:row>78</xdr:row>
      <xdr:rowOff>25043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07404E-6490-4472-9812-84262699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1126" y="13404335"/>
          <a:ext cx="6186488" cy="2051208"/>
        </a:xfrm>
        <a:prstGeom prst="rect">
          <a:avLst/>
        </a:prstGeom>
      </xdr:spPr>
    </xdr:pic>
    <xdr:clientData/>
  </xdr:twoCellAnchor>
  <xdr:twoCellAnchor editAs="oneCell">
    <xdr:from>
      <xdr:col>1</xdr:col>
      <xdr:colOff>12701</xdr:colOff>
      <xdr:row>80</xdr:row>
      <xdr:rowOff>139700</xdr:rowOff>
    </xdr:from>
    <xdr:to>
      <xdr:col>5</xdr:col>
      <xdr:colOff>367417</xdr:colOff>
      <xdr:row>104</xdr:row>
      <xdr:rowOff>142083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66E6715-62D8-4ED4-ACCA-CA2A76B4F8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7476" y="15951200"/>
          <a:ext cx="6312604" cy="457438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115</xdr:row>
      <xdr:rowOff>31750</xdr:rowOff>
    </xdr:from>
    <xdr:to>
      <xdr:col>5</xdr:col>
      <xdr:colOff>714073</xdr:colOff>
      <xdr:row>126</xdr:row>
      <xdr:rowOff>75852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E51A991-E993-4AD7-AAB1-0074919D4B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4775" y="22510750"/>
          <a:ext cx="6671961" cy="213960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128</xdr:row>
      <xdr:rowOff>158750</xdr:rowOff>
    </xdr:from>
    <xdr:to>
      <xdr:col>5</xdr:col>
      <xdr:colOff>700581</xdr:colOff>
      <xdr:row>156</xdr:row>
      <xdr:rowOff>53143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52C721D-51AD-4B64-A5C3-42B50ACEFC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4775" y="25114250"/>
          <a:ext cx="6658469" cy="522839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5</xdr:col>
      <xdr:colOff>267495</xdr:colOff>
      <xdr:row>38</xdr:row>
      <xdr:rowOff>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1A724CDA-396E-4B05-B8C1-A170FB2D0AFF}"/>
            </a:ext>
          </a:extLst>
        </xdr:cNvPr>
        <xdr:cNvGrpSpPr/>
      </xdr:nvGrpSpPr>
      <xdr:grpSpPr>
        <a:xfrm>
          <a:off x="104775" y="1714500"/>
          <a:ext cx="6230145" cy="6096000"/>
          <a:chOff x="105833" y="1708452"/>
          <a:chExt cx="6224400" cy="6047619"/>
        </a:xfrm>
      </xdr:grpSpPr>
      <xdr:pic>
        <xdr:nvPicPr>
          <xdr:cNvPr id="3" name="Picture 2">
            <a:extLst>
              <a:ext uri="{FF2B5EF4-FFF2-40B4-BE49-F238E27FC236}">
                <a16:creationId xmlns:a16="http://schemas.microsoft.com/office/drawing/2014/main" id="{E87F750D-66A9-49C8-A008-C6D602F9C9F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833" y="1708452"/>
            <a:ext cx="6223605" cy="316668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4" name="Picture 3">
            <a:extLst>
              <a:ext uri="{FF2B5EF4-FFF2-40B4-BE49-F238E27FC236}">
                <a16:creationId xmlns:a16="http://schemas.microsoft.com/office/drawing/2014/main" id="{3C54364F-81E8-41B3-878E-28F5EC9FE18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833" y="4921251"/>
            <a:ext cx="6223605" cy="1688118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5" name="Picture 4">
            <a:extLst>
              <a:ext uri="{FF2B5EF4-FFF2-40B4-BE49-F238E27FC236}">
                <a16:creationId xmlns:a16="http://schemas.microsoft.com/office/drawing/2014/main" id="{F9712320-6E55-4481-989F-7A68B6DCF41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833" y="6622143"/>
            <a:ext cx="6224400" cy="829406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6" name="Picture 5">
            <a:extLst>
              <a:ext uri="{FF2B5EF4-FFF2-40B4-BE49-F238E27FC236}">
                <a16:creationId xmlns:a16="http://schemas.microsoft.com/office/drawing/2014/main" id="{00EFAFC8-EBDC-40DB-8A90-ACFB7B0F8FE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833" y="7363807"/>
            <a:ext cx="6223605" cy="392264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107829</xdr:colOff>
      <xdr:row>55</xdr:row>
      <xdr:rowOff>0</xdr:rowOff>
    </xdr:from>
    <xdr:to>
      <xdr:col>7</xdr:col>
      <xdr:colOff>0</xdr:colOff>
      <xdr:row>89</xdr:row>
      <xdr:rowOff>8219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888684-82C8-40D5-8B83-110004C1A5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066" y="11049000"/>
          <a:ext cx="6902571" cy="64852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71</xdr:row>
      <xdr:rowOff>1</xdr:rowOff>
    </xdr:from>
    <xdr:to>
      <xdr:col>7</xdr:col>
      <xdr:colOff>0</xdr:colOff>
      <xdr:row>84</xdr:row>
      <xdr:rowOff>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A361B2-95E8-4E4D-9EEB-5E98E3B48D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14097001"/>
          <a:ext cx="6819900" cy="24765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</xdr:row>
      <xdr:rowOff>79208</xdr:rowOff>
    </xdr:from>
    <xdr:to>
      <xdr:col>6</xdr:col>
      <xdr:colOff>190500</xdr:colOff>
      <xdr:row>48</xdr:row>
      <xdr:rowOff>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78D2FE4A-F7E4-47D7-A1CE-18041318ED1A}"/>
            </a:ext>
          </a:extLst>
        </xdr:cNvPr>
        <xdr:cNvGrpSpPr/>
      </xdr:nvGrpSpPr>
      <xdr:grpSpPr>
        <a:xfrm>
          <a:off x="104775" y="1984208"/>
          <a:ext cx="6191250" cy="7731292"/>
          <a:chOff x="105277" y="4079708"/>
          <a:chExt cx="6191249" cy="7731292"/>
        </a:xfrm>
      </xdr:grpSpPr>
      <xdr:pic>
        <xdr:nvPicPr>
          <xdr:cNvPr id="3" name="Picture 2">
            <a:extLst>
              <a:ext uri="{FF2B5EF4-FFF2-40B4-BE49-F238E27FC236}">
                <a16:creationId xmlns:a16="http://schemas.microsoft.com/office/drawing/2014/main" id="{15A648EF-32C2-4E37-820A-2BBEE40F933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277" y="4079708"/>
            <a:ext cx="6191249" cy="388620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4" name="Picture 3">
            <a:extLst>
              <a:ext uri="{FF2B5EF4-FFF2-40B4-BE49-F238E27FC236}">
                <a16:creationId xmlns:a16="http://schemas.microsoft.com/office/drawing/2014/main" id="{91D8A4CF-1FBC-4282-B0FD-59BB1E14695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277" y="7934325"/>
            <a:ext cx="6172199" cy="387667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>
    <xdr:from>
      <xdr:col>0</xdr:col>
      <xdr:colOff>0</xdr:colOff>
      <xdr:row>69</xdr:row>
      <xdr:rowOff>0</xdr:rowOff>
    </xdr:from>
    <xdr:to>
      <xdr:col>6</xdr:col>
      <xdr:colOff>209550</xdr:colOff>
      <xdr:row>96</xdr:row>
      <xdr:rowOff>185487</xdr:rowOff>
    </xdr:to>
    <xdr:grpSp>
      <xdr:nvGrpSpPr>
        <xdr:cNvPr id="5" name="Group 4">
          <a:extLst>
            <a:ext uri="{FF2B5EF4-FFF2-40B4-BE49-F238E27FC236}">
              <a16:creationId xmlns:a16="http://schemas.microsoft.com/office/drawing/2014/main" id="{8A89E5CC-CDC1-4E4C-9C9F-675C48ADF4E4}"/>
            </a:ext>
          </a:extLst>
        </xdr:cNvPr>
        <xdr:cNvGrpSpPr/>
      </xdr:nvGrpSpPr>
      <xdr:grpSpPr>
        <a:xfrm>
          <a:off x="0" y="13716000"/>
          <a:ext cx="6315075" cy="5328987"/>
          <a:chOff x="0" y="14668500"/>
          <a:chExt cx="6315576" cy="5328987"/>
        </a:xfrm>
      </xdr:grpSpPr>
      <xdr:grpSp>
        <xdr:nvGrpSpPr>
          <xdr:cNvPr id="6" name="Group 5">
            <a:extLst>
              <a:ext uri="{FF2B5EF4-FFF2-40B4-BE49-F238E27FC236}">
                <a16:creationId xmlns:a16="http://schemas.microsoft.com/office/drawing/2014/main" id="{9E99F06A-B1E8-49EA-A624-991175880947}"/>
              </a:ext>
            </a:extLst>
          </xdr:cNvPr>
          <xdr:cNvGrpSpPr/>
        </xdr:nvGrpSpPr>
        <xdr:grpSpPr>
          <a:xfrm>
            <a:off x="105277" y="14668500"/>
            <a:ext cx="6210299" cy="4486275"/>
            <a:chOff x="105277" y="14668500"/>
            <a:chExt cx="6210299" cy="4486275"/>
          </a:xfrm>
        </xdr:grpSpPr>
        <xdr:pic>
          <xdr:nvPicPr>
            <xdr:cNvPr id="8" name="Picture 7">
              <a:extLst>
                <a:ext uri="{FF2B5EF4-FFF2-40B4-BE49-F238E27FC236}">
                  <a16:creationId xmlns:a16="http://schemas.microsoft.com/office/drawing/2014/main" id="{0E8D0E3B-F837-473E-95AE-0282F0DF05CC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05277" y="17145000"/>
              <a:ext cx="6183981" cy="200977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pic>
          <xdr:nvPicPr>
            <xdr:cNvPr id="9" name="Picture 8">
              <a:extLst>
                <a:ext uri="{FF2B5EF4-FFF2-40B4-BE49-F238E27FC236}">
                  <a16:creationId xmlns:a16="http://schemas.microsoft.com/office/drawing/2014/main" id="{7042D4EF-43CD-4691-AF41-C423EB434BFD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05277" y="14668500"/>
              <a:ext cx="6210299" cy="2543175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</xdr:grpSp>
      <xdr:pic>
        <xdr:nvPicPr>
          <xdr:cNvPr id="7" name="Picture 6">
            <a:extLst>
              <a:ext uri="{FF2B5EF4-FFF2-40B4-BE49-F238E27FC236}">
                <a16:creationId xmlns:a16="http://schemas.microsoft.com/office/drawing/2014/main" id="{2D933282-A9EB-4187-8BE4-DEB847B2FB2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0" y="19144999"/>
            <a:ext cx="6198519" cy="852488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 editAs="oneCell">
    <xdr:from>
      <xdr:col>1</xdr:col>
      <xdr:colOff>0</xdr:colOff>
      <xdr:row>116</xdr:row>
      <xdr:rowOff>0</xdr:rowOff>
    </xdr:from>
    <xdr:to>
      <xdr:col>4</xdr:col>
      <xdr:colOff>423863</xdr:colOff>
      <xdr:row>134</xdr:row>
      <xdr:rowOff>176213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FCE8F0F2-F00E-49EF-8E59-5CFB0AB737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1526500"/>
          <a:ext cx="4967288" cy="36052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27577</xdr:colOff>
      <xdr:row>97</xdr:row>
      <xdr:rowOff>138931</xdr:rowOff>
    </xdr:from>
    <xdr:to>
      <xdr:col>5</xdr:col>
      <xdr:colOff>438150</xdr:colOff>
      <xdr:row>117</xdr:row>
      <xdr:rowOff>84299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1E340F5-B377-4E04-83D3-D92508DB77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577" y="10559281"/>
          <a:ext cx="5435011" cy="356486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35</xdr:row>
      <xdr:rowOff>0</xdr:rowOff>
    </xdr:from>
    <xdr:to>
      <xdr:col>6</xdr:col>
      <xdr:colOff>5903</xdr:colOff>
      <xdr:row>61</xdr:row>
      <xdr:rowOff>69857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D96018-7C1F-44B7-9655-81DE56339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7239000"/>
          <a:ext cx="6111428" cy="5022857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66</xdr:row>
      <xdr:rowOff>107950</xdr:rowOff>
    </xdr:from>
    <xdr:to>
      <xdr:col>8</xdr:col>
      <xdr:colOff>85971</xdr:colOff>
      <xdr:row>83</xdr:row>
      <xdr:rowOff>113643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36468A0-4004-4BF0-AE49-6DF0C3831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8750" y="13442950"/>
          <a:ext cx="7534521" cy="324419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105</xdr:row>
      <xdr:rowOff>0</xdr:rowOff>
    </xdr:from>
    <xdr:to>
      <xdr:col>4</xdr:col>
      <xdr:colOff>366150</xdr:colOff>
      <xdr:row>123</xdr:row>
      <xdr:rowOff>137288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D24B16-00A5-47D1-B128-14F2C17156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600" y="22288500"/>
          <a:ext cx="4804800" cy="3566288"/>
        </a:xfrm>
        <a:prstGeom prst="rect">
          <a:avLst/>
        </a:prstGeom>
        <a:ln>
          <a:solidFill>
            <a:schemeClr val="accent1"/>
          </a:solidFill>
        </a:ln>
      </xdr:spPr>
    </xdr:pic>
    <xdr:clientData/>
  </xdr:twoCellAnchor>
  <xdr:twoCellAnchor editAs="oneCell">
    <xdr:from>
      <xdr:col>4</xdr:col>
      <xdr:colOff>462122</xdr:colOff>
      <xdr:row>107</xdr:row>
      <xdr:rowOff>152416</xdr:rowOff>
    </xdr:from>
    <xdr:to>
      <xdr:col>11</xdr:col>
      <xdr:colOff>559471</xdr:colOff>
      <xdr:row>117</xdr:row>
      <xdr:rowOff>14304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34A53E3-8E18-458D-8F0E-1DF979C815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002372" y="22821916"/>
          <a:ext cx="4713799" cy="1766888"/>
        </a:xfrm>
        <a:prstGeom prst="rect">
          <a:avLst/>
        </a:prstGeom>
        <a:ln>
          <a:solidFill>
            <a:schemeClr val="accent1"/>
          </a:solidFill>
        </a:ln>
      </xdr:spPr>
    </xdr:pic>
    <xdr:clientData/>
  </xdr:twoCellAnchor>
  <xdr:twoCellAnchor editAs="oneCell">
    <xdr:from>
      <xdr:col>1</xdr:col>
      <xdr:colOff>14287</xdr:colOff>
      <xdr:row>125</xdr:row>
      <xdr:rowOff>18557</xdr:rowOff>
    </xdr:from>
    <xdr:to>
      <xdr:col>5</xdr:col>
      <xdr:colOff>64460</xdr:colOff>
      <xdr:row>145</xdr:row>
      <xdr:rowOff>185753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EDE514B-4029-4D0A-895E-106EBA714D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5887" y="26117057"/>
          <a:ext cx="5257173" cy="3977196"/>
        </a:xfrm>
        <a:prstGeom prst="rect">
          <a:avLst/>
        </a:prstGeom>
        <a:ln>
          <a:solidFill>
            <a:schemeClr val="accent1"/>
          </a:solidFill>
        </a:ln>
      </xdr:spPr>
    </xdr:pic>
    <xdr:clientData/>
  </xdr:twoCellAnchor>
  <xdr:twoCellAnchor editAs="oneCell">
    <xdr:from>
      <xdr:col>1</xdr:col>
      <xdr:colOff>12700</xdr:colOff>
      <xdr:row>146</xdr:row>
      <xdr:rowOff>146050</xdr:rowOff>
    </xdr:from>
    <xdr:to>
      <xdr:col>8</xdr:col>
      <xdr:colOff>281529</xdr:colOff>
      <xdr:row>166</xdr:row>
      <xdr:rowOff>132124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33B0729-4853-4D71-9B56-0E0B9AFD23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4300" y="30245050"/>
          <a:ext cx="7418929" cy="3796074"/>
        </a:xfrm>
        <a:prstGeom prst="rect">
          <a:avLst/>
        </a:prstGeom>
      </xdr:spPr>
    </xdr:pic>
    <xdr:clientData/>
  </xdr:twoCellAnchor>
  <xdr:twoCellAnchor editAs="oneCell">
    <xdr:from>
      <xdr:col>1</xdr:col>
      <xdr:colOff>82111</xdr:colOff>
      <xdr:row>167</xdr:row>
      <xdr:rowOff>101600</xdr:rowOff>
    </xdr:from>
    <xdr:to>
      <xdr:col>8</xdr:col>
      <xdr:colOff>207205</xdr:colOff>
      <xdr:row>189</xdr:row>
      <xdr:rowOff>20900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CDCD92C-3360-4E14-9816-51FF178D4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83711" y="34201100"/>
          <a:ext cx="7275194" cy="41103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eborah%20Taylor\AppData\Local\Packages\Microsoft.Office.Desktop_8wekyb3d8bbwe\LocalCache\Roaming\Microsoft\AddIns\FE%20Training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all"/>
      <sheetName val="Shortcuts"/>
      <sheetName val="Constants"/>
    </sheetNames>
    <definedNames>
      <definedName name="FR"/>
    </defined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3.bin"/><Relationship Id="rId4" Type="http://schemas.openxmlformats.org/officeDocument/2006/relationships/comments" Target="../comments2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796875" style="32" customWidth="1"/>
    <col min="2" max="13" width="9.33203125" style="32" customWidth="1"/>
    <col min="14" max="14" width="9.79687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116"/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</row>
    <row r="2" spans="1:14" s="22" customFormat="1" ht="75" customHeight="1" x14ac:dyDescent="0.45">
      <c r="A2" s="119" t="s">
        <v>615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118"/>
      <c r="D4" s="118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120" t="s">
        <v>12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</row>
    <row r="6" spans="1:14" s="23" customFormat="1" ht="15" customHeight="1" x14ac:dyDescent="0.45">
      <c r="A6" s="120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</row>
    <row r="7" spans="1:14" s="23" customFormat="1" ht="15" customHeight="1" x14ac:dyDescent="0.45">
      <c r="A7" s="120" t="str">
        <f ca="1">"© "&amp;YEAR(TODAY())&amp;" Financial Edge Training"</f>
        <v>© 2021 Financial Edge Training</v>
      </c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0"/>
      <c r="M7" s="120"/>
      <c r="N7" s="120"/>
    </row>
    <row r="8" spans="1:14" s="23" customFormat="1" ht="15" customHeight="1" thickBot="1" x14ac:dyDescent="0.5">
      <c r="A8" s="47"/>
      <c r="B8" s="48"/>
      <c r="C8" s="47"/>
      <c r="D8" s="47"/>
      <c r="E8" s="49"/>
      <c r="F8" s="50"/>
      <c r="G8" s="50"/>
      <c r="H8" s="50"/>
      <c r="I8" s="50"/>
      <c r="J8" s="50"/>
      <c r="K8" s="50"/>
      <c r="L8" s="49"/>
      <c r="M8" s="49"/>
      <c r="N8" s="49"/>
    </row>
    <row r="9" spans="1:14" s="23" customFormat="1" ht="15" customHeight="1" x14ac:dyDescent="0.45">
      <c r="F9" s="28"/>
      <c r="G9" s="121"/>
      <c r="H9" s="121"/>
      <c r="I9" s="121"/>
      <c r="J9" s="121"/>
      <c r="K9" s="28"/>
    </row>
    <row r="10" spans="1:14" s="23" customFormat="1" ht="15" customHeight="1" x14ac:dyDescent="0.45">
      <c r="B10" s="24"/>
      <c r="C10" s="24"/>
      <c r="F10" s="28"/>
      <c r="G10" s="121"/>
      <c r="H10" s="121"/>
      <c r="I10" s="121"/>
      <c r="J10" s="121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117"/>
      <c r="H12" s="117"/>
      <c r="I12" s="117"/>
      <c r="J12" s="117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117"/>
      <c r="H13" s="117"/>
      <c r="I13" s="117"/>
      <c r="J13" s="117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117"/>
      <c r="H14" s="117"/>
      <c r="I14" s="117"/>
      <c r="J14" s="117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117"/>
      <c r="H16" s="117"/>
      <c r="I16" s="117"/>
      <c r="J16" s="117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scale="99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796875" customWidth="1"/>
    <col min="3" max="3" width="13.33203125" customWidth="1"/>
    <col min="4" max="4" width="2.796875" customWidth="1"/>
    <col min="5" max="7" width="1.46484375" customWidth="1"/>
    <col min="8" max="8" width="2.796875" customWidth="1"/>
    <col min="9" max="9" width="42.53125" customWidth="1"/>
    <col min="10" max="11" width="1.46484375" customWidth="1"/>
    <col min="12" max="12" width="15.53125" customWidth="1"/>
    <col min="13" max="14" width="1.46484375" customWidth="1"/>
    <col min="15" max="15" width="2.796875" customWidth="1"/>
    <col min="16" max="16" width="32.53125" customWidth="1"/>
    <col min="17" max="17" width="2.796875" customWidth="1"/>
    <col min="18" max="18" width="1.46484375" customWidth="1"/>
    <col min="23" max="23" width="17.53125" bestFit="1" customWidth="1"/>
  </cols>
  <sheetData>
    <row r="1" spans="1:18" s="36" customFormat="1" ht="45" customHeight="1" x14ac:dyDescent="0.85">
      <c r="A1" s="13" t="str">
        <f>Welcome!A2</f>
        <v>Forensic Accounting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122" t="s">
        <v>0</v>
      </c>
      <c r="C4" s="122"/>
      <c r="D4" s="122"/>
      <c r="E4" s="122"/>
      <c r="F4" s="122"/>
      <c r="G4" s="122"/>
      <c r="H4" s="122"/>
      <c r="I4" s="122"/>
      <c r="K4" s="1"/>
      <c r="L4" s="122" t="s">
        <v>1</v>
      </c>
      <c r="M4" s="122"/>
      <c r="N4" s="122"/>
      <c r="O4" s="122"/>
      <c r="P4" s="122"/>
      <c r="Q4" s="46"/>
      <c r="R4" s="46"/>
    </row>
    <row r="5" spans="1:18" s="2" customFormat="1" ht="15" customHeight="1" x14ac:dyDescent="0.45">
      <c r="A5" s="17"/>
      <c r="B5" s="8"/>
      <c r="C5" s="60"/>
      <c r="D5" s="18"/>
      <c r="E5" s="18"/>
      <c r="F5" s="18"/>
      <c r="G5" s="18"/>
      <c r="H5" s="18"/>
      <c r="I5" s="18"/>
      <c r="K5" s="1"/>
      <c r="L5" s="9" t="s">
        <v>2</v>
      </c>
      <c r="M5" s="9"/>
      <c r="N5" s="125" t="s">
        <v>8</v>
      </c>
      <c r="O5" s="125"/>
      <c r="P5" s="125"/>
      <c r="Q5" s="125"/>
      <c r="R5" s="46"/>
    </row>
    <row r="6" spans="1:18" s="2" customFormat="1" ht="15" customHeight="1" x14ac:dyDescent="0.4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126">
        <v>42369</v>
      </c>
      <c r="O6" s="126"/>
      <c r="P6" s="126"/>
      <c r="Q6" s="126"/>
      <c r="R6" s="46"/>
    </row>
    <row r="7" spans="1:18" s="2" customFormat="1" ht="15" customHeight="1" x14ac:dyDescent="0.4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125" t="s">
        <v>9</v>
      </c>
      <c r="O7" s="125"/>
      <c r="P7" s="125"/>
      <c r="Q7" s="125"/>
      <c r="R7" s="46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125" t="s">
        <v>10</v>
      </c>
      <c r="O8" s="125"/>
      <c r="P8" s="125"/>
      <c r="Q8" s="125"/>
      <c r="R8" s="46"/>
    </row>
    <row r="9" spans="1:18" s="2" customFormat="1" ht="15" customHeight="1" x14ac:dyDescent="0.45">
      <c r="A9" s="43"/>
      <c r="B9" s="44"/>
      <c r="C9" s="43"/>
      <c r="D9" s="43"/>
      <c r="E9" s="43"/>
      <c r="F9" s="43"/>
      <c r="G9" s="43"/>
      <c r="H9" s="43"/>
      <c r="I9" s="43"/>
      <c r="K9" s="18"/>
      <c r="L9" s="9" t="s">
        <v>6</v>
      </c>
      <c r="M9" s="9"/>
      <c r="N9" s="125" t="s">
        <v>11</v>
      </c>
      <c r="O9" s="125"/>
      <c r="P9" s="125"/>
      <c r="Q9" s="125"/>
      <c r="R9" s="46"/>
    </row>
    <row r="10" spans="1:18" s="2" customFormat="1" ht="15" customHeight="1" x14ac:dyDescent="0.45">
      <c r="A10" s="45"/>
      <c r="B10" s="45"/>
      <c r="C10" s="45"/>
      <c r="D10" s="45"/>
      <c r="E10" s="45"/>
      <c r="F10" s="45"/>
      <c r="G10" s="45"/>
      <c r="H10" s="45"/>
      <c r="I10" s="45"/>
      <c r="K10" s="18"/>
      <c r="L10" s="9" t="s">
        <v>7</v>
      </c>
      <c r="M10" s="9"/>
      <c r="N10" s="127">
        <v>0</v>
      </c>
      <c r="O10" s="127"/>
      <c r="P10" s="127"/>
      <c r="Q10" s="127"/>
      <c r="R10" s="52"/>
    </row>
    <row r="11" spans="1:18" s="2" customFormat="1" ht="15" customHeight="1" thickBot="1" x14ac:dyDescent="0.5">
      <c r="A11" s="49"/>
      <c r="B11" s="49"/>
      <c r="C11" s="49"/>
      <c r="D11" s="49"/>
      <c r="E11" s="49"/>
      <c r="F11" s="49"/>
      <c r="G11" s="49"/>
      <c r="H11" s="49"/>
      <c r="I11" s="49"/>
      <c r="K11" s="4"/>
      <c r="L11" s="64"/>
      <c r="M11" s="64"/>
      <c r="N11" s="53"/>
      <c r="O11" s="54"/>
      <c r="P11" s="54"/>
      <c r="Q11" s="55"/>
      <c r="R11" s="56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60"/>
      <c r="B13" s="123" t="s">
        <v>18</v>
      </c>
      <c r="C13" s="123"/>
      <c r="D13" s="123"/>
      <c r="E13" s="123"/>
      <c r="F13" s="123"/>
      <c r="G13" s="123"/>
      <c r="H13" s="123"/>
      <c r="I13" s="123"/>
      <c r="J13" s="123"/>
      <c r="K13" s="123"/>
      <c r="L13" s="123"/>
      <c r="N13" s="1"/>
      <c r="O13" s="122" t="s">
        <v>13</v>
      </c>
      <c r="P13" s="122"/>
      <c r="Q13" s="122"/>
      <c r="R13" s="63"/>
    </row>
    <row r="14" spans="1:18" s="2" customFormat="1" ht="15" customHeight="1" x14ac:dyDescent="0.45">
      <c r="A14" s="61"/>
      <c r="B14" s="124" t="s">
        <v>19</v>
      </c>
      <c r="C14" s="124"/>
      <c r="D14" s="124" t="s">
        <v>20</v>
      </c>
      <c r="E14" s="124"/>
      <c r="F14" s="124"/>
      <c r="G14" s="124"/>
      <c r="H14" s="124"/>
      <c r="I14" s="124"/>
      <c r="J14" s="124"/>
      <c r="K14" s="124"/>
      <c r="L14" s="124"/>
      <c r="N14" s="17"/>
      <c r="O14" s="27"/>
      <c r="P14" s="22"/>
      <c r="Q14" s="22"/>
      <c r="R14" s="61"/>
    </row>
    <row r="15" spans="1:18" s="2" customFormat="1" ht="15" customHeight="1" x14ac:dyDescent="0.45">
      <c r="A15" s="61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  <c r="N15" s="3"/>
      <c r="O15" s="27"/>
      <c r="P15" s="57" t="s">
        <v>14</v>
      </c>
      <c r="Q15" s="22"/>
      <c r="R15" s="61"/>
    </row>
    <row r="16" spans="1:18" s="2" customFormat="1" ht="15" customHeight="1" x14ac:dyDescent="0.45">
      <c r="A16" s="61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N16" s="18"/>
      <c r="O16" s="27"/>
      <c r="P16" s="38" t="s">
        <v>15</v>
      </c>
      <c r="Q16" s="22"/>
      <c r="R16" s="61"/>
    </row>
    <row r="17" spans="1:18" s="2" customFormat="1" ht="15" customHeight="1" x14ac:dyDescent="0.45">
      <c r="A17" s="61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N17" s="18"/>
      <c r="O17" s="27"/>
      <c r="P17" t="s">
        <v>16</v>
      </c>
      <c r="Q17" s="22"/>
      <c r="R17" s="61"/>
    </row>
    <row r="18" spans="1:18" s="2" customFormat="1" ht="15" customHeight="1" x14ac:dyDescent="0.45">
      <c r="A18" s="45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N18" s="45"/>
      <c r="O18" s="58"/>
      <c r="P18" s="58"/>
      <c r="Q18" s="58"/>
      <c r="R18" s="45"/>
    </row>
    <row r="19" spans="1:18" ht="14.65" thickBot="1" x14ac:dyDescent="0.5">
      <c r="A19" s="49"/>
      <c r="B19" s="49"/>
      <c r="C19" s="49"/>
      <c r="D19" s="62"/>
      <c r="E19" s="62"/>
      <c r="F19" s="62"/>
      <c r="G19" s="62"/>
      <c r="H19" s="62"/>
      <c r="I19" s="62"/>
      <c r="J19" s="62"/>
      <c r="K19" s="62"/>
      <c r="L19" s="62"/>
      <c r="N19" s="49"/>
      <c r="O19" s="49"/>
      <c r="P19" s="49"/>
      <c r="Q19" s="49"/>
      <c r="R19" s="49"/>
    </row>
    <row r="20" spans="1:18" x14ac:dyDescent="0.45">
      <c r="Q20" s="59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B66BA-2D31-4320-AAFD-78B206A078AC}">
  <sheetPr>
    <pageSetUpPr fitToPage="1"/>
  </sheetPr>
  <dimension ref="A1:Q515"/>
  <sheetViews>
    <sheetView zoomScaleNormal="100" workbookViewId="0"/>
  </sheetViews>
  <sheetFormatPr defaultRowHeight="14.25" x14ac:dyDescent="0.45"/>
  <cols>
    <col min="1" max="1" width="1.59765625" style="106" customWidth="1"/>
    <col min="2" max="2" width="40.59765625" customWidth="1"/>
    <col min="3" max="14" width="9.59765625" customWidth="1"/>
  </cols>
  <sheetData>
    <row r="1" spans="1:17" s="51" customFormat="1" ht="45" customHeight="1" x14ac:dyDescent="0.85">
      <c r="A1" s="104" t="str">
        <f>Welcome!A2</f>
        <v>Forensic Accounting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7" s="37" customFormat="1" ht="30" customHeight="1" x14ac:dyDescent="0.65">
      <c r="A2" s="105" t="s">
        <v>603</v>
      </c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7" ht="15" customHeight="1" x14ac:dyDescent="0.45">
      <c r="A3"/>
    </row>
    <row r="4" spans="1:17" ht="15" customHeight="1" x14ac:dyDescent="0.45">
      <c r="A4" s="107" t="s">
        <v>66</v>
      </c>
    </row>
    <row r="5" spans="1:17" ht="15" customHeight="1" x14ac:dyDescent="0.45">
      <c r="A5"/>
      <c r="B5" s="16" t="s">
        <v>791</v>
      </c>
    </row>
    <row r="6" spans="1:17" ht="15" customHeight="1" x14ac:dyDescent="0.45">
      <c r="A6"/>
      <c r="B6" s="16" t="s">
        <v>810</v>
      </c>
    </row>
    <row r="7" spans="1:17" ht="15" customHeight="1" x14ac:dyDescent="0.45">
      <c r="A7"/>
      <c r="B7" s="16" t="s">
        <v>792</v>
      </c>
    </row>
    <row r="8" spans="1:17" ht="15" customHeight="1" x14ac:dyDescent="0.45">
      <c r="A8"/>
    </row>
    <row r="9" spans="1:17" s="97" customFormat="1" x14ac:dyDescent="0.45">
      <c r="A9"/>
      <c r="B9" s="99" t="s">
        <v>707</v>
      </c>
      <c r="C9" s="103">
        <v>42277</v>
      </c>
      <c r="D9" s="103">
        <v>42643</v>
      </c>
      <c r="E9" s="103">
        <v>43008</v>
      </c>
      <c r="F9" s="103">
        <v>43373</v>
      </c>
      <c r="G9" s="16" t="s">
        <v>741</v>
      </c>
      <c r="H9"/>
      <c r="I9"/>
      <c r="J9"/>
      <c r="K9"/>
      <c r="L9"/>
      <c r="M9"/>
      <c r="N9"/>
      <c r="O9"/>
      <c r="P9"/>
      <c r="Q9"/>
    </row>
    <row r="10" spans="1:17" s="97" customFormat="1" x14ac:dyDescent="0.45">
      <c r="A10"/>
      <c r="B10" s="16" t="s">
        <v>590</v>
      </c>
      <c r="C10" s="67">
        <v>-25</v>
      </c>
      <c r="D10" s="67">
        <v>-50</v>
      </c>
      <c r="E10" s="67">
        <v>-42</v>
      </c>
      <c r="F10" s="67">
        <v>-57</v>
      </c>
      <c r="G10" t="s">
        <v>742</v>
      </c>
      <c r="H10"/>
      <c r="I10"/>
      <c r="J10"/>
      <c r="K10"/>
      <c r="L10"/>
      <c r="M10"/>
      <c r="N10"/>
      <c r="O10"/>
      <c r="P10"/>
      <c r="Q10"/>
    </row>
    <row r="11" spans="1:17" s="97" customFormat="1" x14ac:dyDescent="0.45">
      <c r="A11"/>
      <c r="B11" s="16" t="s">
        <v>591</v>
      </c>
      <c r="C11" s="67">
        <v>-27</v>
      </c>
      <c r="D11" s="67">
        <v>-20</v>
      </c>
      <c r="E11" s="67">
        <v>-12</v>
      </c>
      <c r="F11" s="67">
        <v>-24</v>
      </c>
      <c r="G11" t="s">
        <v>743</v>
      </c>
      <c r="H11"/>
      <c r="I11"/>
      <c r="J11"/>
      <c r="K11"/>
      <c r="L11"/>
      <c r="M11"/>
      <c r="N11"/>
      <c r="O11"/>
      <c r="P11"/>
      <c r="Q11"/>
    </row>
    <row r="12" spans="1:17" s="97" customFormat="1" x14ac:dyDescent="0.45">
      <c r="A12"/>
      <c r="B12" s="16" t="s">
        <v>592</v>
      </c>
      <c r="C12" s="67">
        <v>-35</v>
      </c>
      <c r="D12" s="67">
        <v>-21</v>
      </c>
      <c r="E12" s="67">
        <v>-30</v>
      </c>
      <c r="F12" s="67">
        <v>-40</v>
      </c>
      <c r="G12" t="s">
        <v>744</v>
      </c>
      <c r="H12"/>
      <c r="I12"/>
      <c r="J12"/>
      <c r="K12"/>
      <c r="L12"/>
      <c r="M12"/>
      <c r="N12"/>
      <c r="O12"/>
      <c r="P12"/>
      <c r="Q12"/>
    </row>
    <row r="13" spans="1:17" s="97" customFormat="1" x14ac:dyDescent="0.45">
      <c r="A13"/>
      <c r="B13" s="16" t="s">
        <v>593</v>
      </c>
      <c r="C13" s="67">
        <v>0</v>
      </c>
      <c r="D13" s="67">
        <v>0</v>
      </c>
      <c r="E13" s="67">
        <v>-16</v>
      </c>
      <c r="F13" s="67">
        <v>-24</v>
      </c>
      <c r="G13" t="s">
        <v>600</v>
      </c>
      <c r="H13"/>
      <c r="I13"/>
      <c r="J13"/>
      <c r="K13"/>
      <c r="L13"/>
      <c r="M13"/>
      <c r="N13"/>
      <c r="O13"/>
      <c r="P13"/>
      <c r="Q13"/>
    </row>
    <row r="14" spans="1:17" s="97" customFormat="1" x14ac:dyDescent="0.45">
      <c r="A14"/>
      <c r="B14" s="16" t="s">
        <v>789</v>
      </c>
      <c r="C14" s="67">
        <v>0</v>
      </c>
      <c r="D14" s="67">
        <v>0</v>
      </c>
      <c r="E14" s="67">
        <v>32</v>
      </c>
      <c r="F14" s="67">
        <v>0</v>
      </c>
      <c r="G14" t="s">
        <v>600</v>
      </c>
      <c r="H14"/>
      <c r="I14"/>
      <c r="J14"/>
      <c r="K14"/>
      <c r="L14"/>
      <c r="M14"/>
      <c r="N14"/>
      <c r="O14"/>
      <c r="P14"/>
      <c r="Q14"/>
    </row>
    <row r="15" spans="1:17" s="97" customFormat="1" x14ac:dyDescent="0.45">
      <c r="A15"/>
      <c r="B15" s="16" t="s">
        <v>594</v>
      </c>
      <c r="C15" s="67">
        <v>0</v>
      </c>
      <c r="D15" s="67">
        <v>0</v>
      </c>
      <c r="E15" s="67">
        <v>-6</v>
      </c>
      <c r="F15" s="67">
        <v>0</v>
      </c>
      <c r="G15" t="s">
        <v>600</v>
      </c>
      <c r="H15"/>
      <c r="I15"/>
      <c r="J15"/>
      <c r="K15"/>
      <c r="L15"/>
      <c r="M15"/>
      <c r="N15"/>
      <c r="O15"/>
      <c r="P15"/>
      <c r="Q15"/>
    </row>
    <row r="16" spans="1:17" s="97" customFormat="1" x14ac:dyDescent="0.45">
      <c r="A16"/>
      <c r="B16" s="16" t="s">
        <v>595</v>
      </c>
      <c r="C16" s="67">
        <v>0</v>
      </c>
      <c r="D16" s="67">
        <v>0</v>
      </c>
      <c r="E16" s="67">
        <f>1-10</f>
        <v>-9</v>
      </c>
      <c r="F16" s="67">
        <v>0</v>
      </c>
      <c r="G16" t="s">
        <v>600</v>
      </c>
      <c r="H16"/>
      <c r="I16"/>
      <c r="J16"/>
      <c r="K16"/>
      <c r="L16"/>
      <c r="M16"/>
      <c r="N16"/>
      <c r="O16"/>
      <c r="P16"/>
      <c r="Q16"/>
    </row>
    <row r="17" spans="1:17" s="97" customFormat="1" x14ac:dyDescent="0.45">
      <c r="A17"/>
      <c r="B17" s="16" t="s">
        <v>596</v>
      </c>
      <c r="C17" s="67">
        <v>0</v>
      </c>
      <c r="D17" s="67">
        <v>0</v>
      </c>
      <c r="E17" s="67">
        <v>0</v>
      </c>
      <c r="F17" s="67">
        <v>-16</v>
      </c>
      <c r="G17" t="s">
        <v>600</v>
      </c>
      <c r="H17"/>
      <c r="I17"/>
      <c r="J17"/>
      <c r="K17"/>
      <c r="L17"/>
      <c r="M17"/>
      <c r="N17"/>
      <c r="O17"/>
      <c r="P17"/>
      <c r="Q17"/>
    </row>
    <row r="18" spans="1:17" s="97" customFormat="1" x14ac:dyDescent="0.45">
      <c r="A18"/>
      <c r="B18" s="16" t="s">
        <v>597</v>
      </c>
      <c r="C18" s="67">
        <v>0</v>
      </c>
      <c r="D18" s="67">
        <v>0</v>
      </c>
      <c r="E18" s="67">
        <v>0</v>
      </c>
      <c r="F18" s="67">
        <v>14</v>
      </c>
      <c r="G18" t="s">
        <v>600</v>
      </c>
      <c r="H18"/>
      <c r="I18"/>
      <c r="J18"/>
      <c r="K18"/>
      <c r="L18"/>
      <c r="M18"/>
      <c r="N18"/>
      <c r="O18"/>
      <c r="P18"/>
      <c r="Q18"/>
    </row>
    <row r="19" spans="1:17" s="97" customFormat="1" x14ac:dyDescent="0.45">
      <c r="A19"/>
      <c r="B19" s="16" t="s">
        <v>598</v>
      </c>
      <c r="C19" s="67">
        <v>-12</v>
      </c>
      <c r="D19" s="67">
        <v>-12</v>
      </c>
      <c r="E19" s="67">
        <v>-16</v>
      </c>
      <c r="F19" s="67">
        <v>-6</v>
      </c>
      <c r="G19" t="s">
        <v>601</v>
      </c>
      <c r="H19"/>
      <c r="I19"/>
      <c r="J19"/>
      <c r="K19"/>
      <c r="L19"/>
      <c r="M19"/>
      <c r="N19"/>
      <c r="O19"/>
      <c r="P19"/>
      <c r="Q19"/>
    </row>
    <row r="20" spans="1:17" s="97" customFormat="1" x14ac:dyDescent="0.45">
      <c r="A20"/>
      <c r="B20" s="16" t="s">
        <v>599</v>
      </c>
      <c r="C20">
        <f>SUM(C10:C19)</f>
        <v>-99</v>
      </c>
      <c r="D20">
        <f>SUM(D10:D19)</f>
        <v>-103</v>
      </c>
      <c r="E20">
        <f>SUM(E10:E19)</f>
        <v>-99</v>
      </c>
      <c r="F20">
        <f>SUM(F10:F19)</f>
        <v>-153</v>
      </c>
      <c r="G20" t="s">
        <v>811</v>
      </c>
      <c r="H20"/>
      <c r="I20"/>
      <c r="J20"/>
      <c r="K20"/>
      <c r="L20"/>
      <c r="M20"/>
      <c r="N20"/>
      <c r="O20"/>
      <c r="P20"/>
      <c r="Q20"/>
    </row>
    <row r="21" spans="1:17" s="97" customFormat="1" x14ac:dyDescent="0.45">
      <c r="A21"/>
      <c r="B21"/>
      <c r="C21"/>
      <c r="D21"/>
      <c r="E21"/>
      <c r="F21"/>
      <c r="G21" t="s">
        <v>822</v>
      </c>
      <c r="H21"/>
      <c r="I21"/>
      <c r="J21"/>
      <c r="K21"/>
      <c r="L21"/>
      <c r="M21"/>
      <c r="N21"/>
      <c r="O21"/>
      <c r="P21"/>
      <c r="Q21"/>
    </row>
    <row r="22" spans="1:17" x14ac:dyDescent="0.45">
      <c r="A22"/>
      <c r="B22" s="16" t="s">
        <v>602</v>
      </c>
      <c r="C22" s="67">
        <v>353</v>
      </c>
      <c r="D22" s="67">
        <v>294</v>
      </c>
      <c r="E22" s="67">
        <v>326</v>
      </c>
      <c r="F22" s="67">
        <v>250</v>
      </c>
    </row>
    <row r="23" spans="1:17" x14ac:dyDescent="0.45">
      <c r="A23"/>
    </row>
    <row r="24" spans="1:17" x14ac:dyDescent="0.45">
      <c r="A24"/>
    </row>
    <row r="25" spans="1:17" x14ac:dyDescent="0.45">
      <c r="A25"/>
      <c r="J25" t="s">
        <v>812</v>
      </c>
    </row>
    <row r="26" spans="1:17" x14ac:dyDescent="0.45">
      <c r="A26"/>
      <c r="J26" t="s">
        <v>793</v>
      </c>
    </row>
    <row r="27" spans="1:17" x14ac:dyDescent="0.45">
      <c r="A27"/>
      <c r="J27" t="s">
        <v>794</v>
      </c>
    </row>
    <row r="28" spans="1:17" x14ac:dyDescent="0.45">
      <c r="A28"/>
      <c r="J28" t="s">
        <v>795</v>
      </c>
    </row>
    <row r="29" spans="1:17" x14ac:dyDescent="0.45">
      <c r="A29"/>
      <c r="J29" t="s">
        <v>798</v>
      </c>
    </row>
    <row r="30" spans="1:17" x14ac:dyDescent="0.45">
      <c r="A30"/>
    </row>
    <row r="31" spans="1:17" x14ac:dyDescent="0.45">
      <c r="A31"/>
    </row>
    <row r="32" spans="1:17" x14ac:dyDescent="0.45">
      <c r="A32"/>
    </row>
    <row r="33" spans="1:10" x14ac:dyDescent="0.45">
      <c r="A33"/>
    </row>
    <row r="34" spans="1:10" x14ac:dyDescent="0.45">
      <c r="A34"/>
      <c r="J34" t="s">
        <v>796</v>
      </c>
    </row>
    <row r="35" spans="1:10" x14ac:dyDescent="0.45">
      <c r="A35"/>
      <c r="J35" t="s">
        <v>797</v>
      </c>
    </row>
    <row r="36" spans="1:10" x14ac:dyDescent="0.45">
      <c r="A36"/>
    </row>
    <row r="37" spans="1:10" x14ac:dyDescent="0.45">
      <c r="A37"/>
    </row>
    <row r="38" spans="1:10" x14ac:dyDescent="0.45">
      <c r="A38"/>
    </row>
    <row r="39" spans="1:10" x14ac:dyDescent="0.45">
      <c r="A39"/>
    </row>
    <row r="40" spans="1:10" x14ac:dyDescent="0.45">
      <c r="A40"/>
    </row>
    <row r="41" spans="1:10" x14ac:dyDescent="0.45">
      <c r="A41"/>
    </row>
    <row r="42" spans="1:10" x14ac:dyDescent="0.45">
      <c r="A42"/>
      <c r="J42" t="s">
        <v>818</v>
      </c>
    </row>
    <row r="43" spans="1:10" x14ac:dyDescent="0.45">
      <c r="A43"/>
      <c r="J43" t="s">
        <v>817</v>
      </c>
    </row>
    <row r="44" spans="1:10" x14ac:dyDescent="0.45">
      <c r="A44"/>
      <c r="J44" t="s">
        <v>816</v>
      </c>
    </row>
    <row r="45" spans="1:10" x14ac:dyDescent="0.45">
      <c r="A45"/>
    </row>
    <row r="46" spans="1:10" x14ac:dyDescent="0.45">
      <c r="A46"/>
    </row>
    <row r="47" spans="1:10" x14ac:dyDescent="0.45">
      <c r="A47"/>
    </row>
    <row r="48" spans="1:10" x14ac:dyDescent="0.45">
      <c r="A48"/>
    </row>
    <row r="49" spans="1:10" x14ac:dyDescent="0.45">
      <c r="A49"/>
    </row>
    <row r="50" spans="1:10" x14ac:dyDescent="0.45">
      <c r="A50"/>
      <c r="J50" t="s">
        <v>799</v>
      </c>
    </row>
    <row r="51" spans="1:10" x14ac:dyDescent="0.45">
      <c r="A51"/>
      <c r="J51" t="s">
        <v>813</v>
      </c>
    </row>
    <row r="52" spans="1:10" x14ac:dyDescent="0.45">
      <c r="A52"/>
    </row>
    <row r="53" spans="1:10" x14ac:dyDescent="0.45">
      <c r="A53"/>
    </row>
    <row r="54" spans="1:10" x14ac:dyDescent="0.45">
      <c r="A54"/>
    </row>
    <row r="55" spans="1:10" x14ac:dyDescent="0.45">
      <c r="A55"/>
      <c r="J55" t="s">
        <v>800</v>
      </c>
    </row>
    <row r="56" spans="1:10" x14ac:dyDescent="0.45">
      <c r="A56"/>
      <c r="J56" t="s">
        <v>801</v>
      </c>
    </row>
    <row r="57" spans="1:10" x14ac:dyDescent="0.45">
      <c r="A57"/>
      <c r="J57" t="s">
        <v>838</v>
      </c>
    </row>
    <row r="58" spans="1:10" x14ac:dyDescent="0.45">
      <c r="A58"/>
      <c r="J58" t="s">
        <v>839</v>
      </c>
    </row>
    <row r="59" spans="1:10" x14ac:dyDescent="0.45">
      <c r="A59"/>
      <c r="J59" t="s">
        <v>802</v>
      </c>
    </row>
    <row r="60" spans="1:10" x14ac:dyDescent="0.45">
      <c r="A60"/>
    </row>
    <row r="61" spans="1:10" x14ac:dyDescent="0.45">
      <c r="A61"/>
    </row>
    <row r="62" spans="1:10" x14ac:dyDescent="0.45">
      <c r="A62"/>
    </row>
    <row r="63" spans="1:10" x14ac:dyDescent="0.45">
      <c r="A63"/>
    </row>
    <row r="64" spans="1:10" x14ac:dyDescent="0.45">
      <c r="A64"/>
    </row>
    <row r="65" spans="1:7" ht="15.75" x14ac:dyDescent="0.45">
      <c r="A65" s="107" t="s">
        <v>72</v>
      </c>
    </row>
    <row r="66" spans="1:7" x14ac:dyDescent="0.45">
      <c r="A66"/>
      <c r="B66" s="16" t="s">
        <v>809</v>
      </c>
    </row>
    <row r="67" spans="1:7" x14ac:dyDescent="0.45">
      <c r="A67"/>
      <c r="B67" s="16" t="s">
        <v>803</v>
      </c>
    </row>
    <row r="68" spans="1:7" x14ac:dyDescent="0.45">
      <c r="A68"/>
      <c r="C68" s="103">
        <v>42277</v>
      </c>
      <c r="D68" s="103">
        <v>42643</v>
      </c>
      <c r="E68" s="103">
        <v>43008</v>
      </c>
      <c r="F68" s="103">
        <v>43373</v>
      </c>
    </row>
    <row r="69" spans="1:7" x14ac:dyDescent="0.45">
      <c r="A69"/>
      <c r="B69" s="16" t="s">
        <v>97</v>
      </c>
      <c r="C69">
        <f>C22</f>
        <v>353</v>
      </c>
      <c r="D69">
        <f t="shared" ref="D69:F69" si="0">D22</f>
        <v>294</v>
      </c>
      <c r="E69">
        <f t="shared" si="0"/>
        <v>326</v>
      </c>
      <c r="F69">
        <f t="shared" si="0"/>
        <v>250</v>
      </c>
      <c r="G69" t="str">
        <f ca="1">_xlfn.FORMULATEXT(F69)</f>
        <v>=F22</v>
      </c>
    </row>
    <row r="70" spans="1:7" x14ac:dyDescent="0.45">
      <c r="A70"/>
      <c r="B70" s="16" t="s">
        <v>707</v>
      </c>
      <c r="C70">
        <f>C20</f>
        <v>-99</v>
      </c>
      <c r="D70">
        <f>D20</f>
        <v>-103</v>
      </c>
      <c r="E70">
        <f>E20</f>
        <v>-99</v>
      </c>
      <c r="F70">
        <f>F20</f>
        <v>-153</v>
      </c>
      <c r="G70" t="str">
        <f t="shared" ref="G70:G72" ca="1" si="1">_xlfn.FORMULATEXT(F70)</f>
        <v>=F20</v>
      </c>
    </row>
    <row r="71" spans="1:7" x14ac:dyDescent="0.45">
      <c r="A71"/>
      <c r="B71" s="16" t="s">
        <v>704</v>
      </c>
      <c r="C71">
        <f>SUM(C69:C70)</f>
        <v>254</v>
      </c>
      <c r="D71">
        <f t="shared" ref="D71:F71" si="2">SUM(D69:D70)</f>
        <v>191</v>
      </c>
      <c r="E71">
        <f t="shared" si="2"/>
        <v>227</v>
      </c>
      <c r="F71">
        <f t="shared" si="2"/>
        <v>97</v>
      </c>
      <c r="G71" t="str">
        <f t="shared" ca="1" si="1"/>
        <v>=SUM(F69:F70)</v>
      </c>
    </row>
    <row r="72" spans="1:7" x14ac:dyDescent="0.45">
      <c r="A72"/>
      <c r="B72" s="16" t="s">
        <v>805</v>
      </c>
      <c r="C72" s="80">
        <f>C71/C69</f>
        <v>0.71954674220963177</v>
      </c>
      <c r="D72" s="80">
        <f t="shared" ref="D72:F72" si="3">D71/D69</f>
        <v>0.64965986394557829</v>
      </c>
      <c r="E72" s="80">
        <f t="shared" si="3"/>
        <v>0.69631901840490795</v>
      </c>
      <c r="F72" s="80">
        <f t="shared" si="3"/>
        <v>0.38800000000000001</v>
      </c>
      <c r="G72" t="str">
        <f t="shared" ca="1" si="1"/>
        <v>=F71/F69</v>
      </c>
    </row>
    <row r="73" spans="1:7" x14ac:dyDescent="0.45">
      <c r="A73"/>
    </row>
    <row r="74" spans="1:7" x14ac:dyDescent="0.45">
      <c r="A74"/>
      <c r="B74" s="16" t="s">
        <v>804</v>
      </c>
    </row>
    <row r="75" spans="1:7" x14ac:dyDescent="0.45">
      <c r="A75"/>
      <c r="B75" t="s">
        <v>807</v>
      </c>
    </row>
    <row r="76" spans="1:7" x14ac:dyDescent="0.45">
      <c r="A76"/>
      <c r="B76" t="s">
        <v>808</v>
      </c>
    </row>
    <row r="77" spans="1:7" x14ac:dyDescent="0.45">
      <c r="A77"/>
      <c r="B77" t="s">
        <v>806</v>
      </c>
    </row>
    <row r="78" spans="1:7" x14ac:dyDescent="0.45">
      <c r="A78"/>
      <c r="B78" t="s">
        <v>858</v>
      </c>
    </row>
    <row r="79" spans="1:7" x14ac:dyDescent="0.45">
      <c r="A79"/>
      <c r="B79" t="s">
        <v>814</v>
      </c>
    </row>
    <row r="80" spans="1:7" x14ac:dyDescent="0.45">
      <c r="A80"/>
    </row>
    <row r="81" spans="1:7" ht="15.75" x14ac:dyDescent="0.45">
      <c r="A81" s="107" t="s">
        <v>76</v>
      </c>
    </row>
    <row r="82" spans="1:7" x14ac:dyDescent="0.45">
      <c r="A82"/>
      <c r="B82" s="16" t="s">
        <v>831</v>
      </c>
    </row>
    <row r="83" spans="1:7" x14ac:dyDescent="0.45">
      <c r="A83"/>
      <c r="B83" s="16" t="s">
        <v>815</v>
      </c>
    </row>
    <row r="84" spans="1:7" x14ac:dyDescent="0.45">
      <c r="A84"/>
      <c r="B84" s="16" t="s">
        <v>803</v>
      </c>
    </row>
    <row r="85" spans="1:7" x14ac:dyDescent="0.45">
      <c r="A85"/>
    </row>
    <row r="86" spans="1:7" x14ac:dyDescent="0.45">
      <c r="A86"/>
      <c r="C86" s="103">
        <v>42277</v>
      </c>
      <c r="D86" s="103">
        <v>42643</v>
      </c>
      <c r="E86" s="103">
        <v>43008</v>
      </c>
      <c r="F86" s="103">
        <v>43373</v>
      </c>
    </row>
    <row r="87" spans="1:7" x14ac:dyDescent="0.45">
      <c r="A87"/>
      <c r="B87" s="16" t="s">
        <v>704</v>
      </c>
      <c r="C87">
        <f>C71</f>
        <v>254</v>
      </c>
      <c r="D87">
        <f t="shared" ref="D87:F87" si="4">D71</f>
        <v>191</v>
      </c>
      <c r="E87">
        <f t="shared" si="4"/>
        <v>227</v>
      </c>
      <c r="F87">
        <f t="shared" si="4"/>
        <v>97</v>
      </c>
      <c r="G87" t="str">
        <f ca="1">_xlfn.FORMULATEXT(F87)</f>
        <v>=F71</v>
      </c>
    </row>
    <row r="88" spans="1:7" x14ac:dyDescent="0.45">
      <c r="A88"/>
      <c r="B88" s="16" t="s">
        <v>593</v>
      </c>
      <c r="C88">
        <f>-C13</f>
        <v>0</v>
      </c>
      <c r="D88">
        <f t="shared" ref="D88:F88" si="5">-D13</f>
        <v>0</v>
      </c>
      <c r="E88">
        <f t="shared" si="5"/>
        <v>16</v>
      </c>
      <c r="F88">
        <f t="shared" si="5"/>
        <v>24</v>
      </c>
      <c r="G88" t="str">
        <f t="shared" ref="G88:G96" ca="1" si="6">_xlfn.FORMULATEXT(F88)</f>
        <v>=-F13</v>
      </c>
    </row>
    <row r="89" spans="1:7" x14ac:dyDescent="0.45">
      <c r="A89"/>
      <c r="B89" s="16" t="s">
        <v>789</v>
      </c>
      <c r="C89">
        <f t="shared" ref="C89:F89" si="7">-C14</f>
        <v>0</v>
      </c>
      <c r="D89">
        <f t="shared" si="7"/>
        <v>0</v>
      </c>
      <c r="E89">
        <f t="shared" si="7"/>
        <v>-32</v>
      </c>
      <c r="F89">
        <f t="shared" si="7"/>
        <v>0</v>
      </c>
      <c r="G89" t="str">
        <f t="shared" ca="1" si="6"/>
        <v>=-F14</v>
      </c>
    </row>
    <row r="90" spans="1:7" x14ac:dyDescent="0.45">
      <c r="A90"/>
      <c r="B90" s="16" t="s">
        <v>594</v>
      </c>
      <c r="C90">
        <f t="shared" ref="C90:F90" si="8">-C15</f>
        <v>0</v>
      </c>
      <c r="D90">
        <f t="shared" si="8"/>
        <v>0</v>
      </c>
      <c r="E90">
        <f t="shared" si="8"/>
        <v>6</v>
      </c>
      <c r="F90">
        <f t="shared" si="8"/>
        <v>0</v>
      </c>
      <c r="G90" t="str">
        <f t="shared" ca="1" si="6"/>
        <v>=-F15</v>
      </c>
    </row>
    <row r="91" spans="1:7" x14ac:dyDescent="0.45">
      <c r="A91"/>
      <c r="B91" s="16" t="s">
        <v>595</v>
      </c>
      <c r="C91">
        <f t="shared" ref="C91:F91" si="9">-C16</f>
        <v>0</v>
      </c>
      <c r="D91">
        <f t="shared" si="9"/>
        <v>0</v>
      </c>
      <c r="E91">
        <f t="shared" si="9"/>
        <v>9</v>
      </c>
      <c r="F91">
        <f t="shared" si="9"/>
        <v>0</v>
      </c>
      <c r="G91" t="str">
        <f t="shared" ca="1" si="6"/>
        <v>=-F16</v>
      </c>
    </row>
    <row r="92" spans="1:7" x14ac:dyDescent="0.45">
      <c r="A92"/>
      <c r="B92" s="16" t="s">
        <v>596</v>
      </c>
      <c r="C92">
        <f t="shared" ref="C92:F92" si="10">-C17</f>
        <v>0</v>
      </c>
      <c r="D92">
        <f t="shared" si="10"/>
        <v>0</v>
      </c>
      <c r="E92">
        <f t="shared" si="10"/>
        <v>0</v>
      </c>
      <c r="F92">
        <f t="shared" si="10"/>
        <v>16</v>
      </c>
      <c r="G92" t="str">
        <f t="shared" ca="1" si="6"/>
        <v>=-F17</v>
      </c>
    </row>
    <row r="93" spans="1:7" x14ac:dyDescent="0.45">
      <c r="A93"/>
      <c r="B93" s="16" t="s">
        <v>597</v>
      </c>
      <c r="C93">
        <f t="shared" ref="C93:F93" si="11">-C18</f>
        <v>0</v>
      </c>
      <c r="D93">
        <f t="shared" si="11"/>
        <v>0</v>
      </c>
      <c r="E93">
        <f t="shared" si="11"/>
        <v>0</v>
      </c>
      <c r="F93">
        <f t="shared" si="11"/>
        <v>-14</v>
      </c>
      <c r="G93" t="str">
        <f t="shared" ca="1" si="6"/>
        <v>=-F18</v>
      </c>
    </row>
    <row r="94" spans="1:7" x14ac:dyDescent="0.45">
      <c r="A94"/>
      <c r="B94" s="16" t="s">
        <v>598</v>
      </c>
      <c r="C94">
        <f t="shared" ref="C94:F94" si="12">-C19</f>
        <v>12</v>
      </c>
      <c r="D94">
        <f t="shared" si="12"/>
        <v>12</v>
      </c>
      <c r="E94">
        <f t="shared" si="12"/>
        <v>16</v>
      </c>
      <c r="F94">
        <f t="shared" si="12"/>
        <v>6</v>
      </c>
      <c r="G94" t="str">
        <f t="shared" ca="1" si="6"/>
        <v>=-F19</v>
      </c>
    </row>
    <row r="95" spans="1:7" x14ac:dyDescent="0.45">
      <c r="A95"/>
      <c r="B95" s="16" t="s">
        <v>832</v>
      </c>
      <c r="C95">
        <f>SUM(C87:C94)</f>
        <v>266</v>
      </c>
      <c r="D95">
        <f t="shared" ref="D95:F95" si="13">SUM(D87:D94)</f>
        <v>203</v>
      </c>
      <c r="E95">
        <f t="shared" si="13"/>
        <v>242</v>
      </c>
      <c r="F95">
        <f t="shared" si="13"/>
        <v>129</v>
      </c>
      <c r="G95" t="str">
        <f t="shared" ca="1" si="6"/>
        <v>=SUM(F87:F94)</v>
      </c>
    </row>
    <row r="96" spans="1:7" x14ac:dyDescent="0.45">
      <c r="A96"/>
      <c r="B96" s="16" t="s">
        <v>819</v>
      </c>
      <c r="C96" s="80">
        <f>C87/C95</f>
        <v>0.95488721804511278</v>
      </c>
      <c r="D96" s="80">
        <f t="shared" ref="D96:F96" si="14">D87/D95</f>
        <v>0.94088669950738912</v>
      </c>
      <c r="E96" s="80">
        <f t="shared" si="14"/>
        <v>0.93801652892561982</v>
      </c>
      <c r="F96" s="80">
        <f t="shared" si="14"/>
        <v>0.75193798449612403</v>
      </c>
      <c r="G96" t="str">
        <f t="shared" ca="1" si="6"/>
        <v>=F87/F95</v>
      </c>
    </row>
    <row r="97" spans="1:2" x14ac:dyDescent="0.45">
      <c r="A97"/>
    </row>
    <row r="98" spans="1:2" x14ac:dyDescent="0.45">
      <c r="A98"/>
      <c r="B98" s="16" t="s">
        <v>804</v>
      </c>
    </row>
    <row r="99" spans="1:2" x14ac:dyDescent="0.45">
      <c r="A99"/>
      <c r="B99" t="s">
        <v>807</v>
      </c>
    </row>
    <row r="100" spans="1:2" x14ac:dyDescent="0.45">
      <c r="A100"/>
      <c r="B100" t="s">
        <v>820</v>
      </c>
    </row>
    <row r="101" spans="1:2" x14ac:dyDescent="0.45">
      <c r="A101"/>
      <c r="B101" t="s">
        <v>833</v>
      </c>
    </row>
    <row r="102" spans="1:2" x14ac:dyDescent="0.45">
      <c r="A102"/>
      <c r="B102" t="s">
        <v>834</v>
      </c>
    </row>
    <row r="103" spans="1:2" x14ac:dyDescent="0.45">
      <c r="A103"/>
      <c r="B103" t="s">
        <v>821</v>
      </c>
    </row>
    <row r="104" spans="1:2" x14ac:dyDescent="0.45">
      <c r="A104"/>
    </row>
    <row r="105" spans="1:2" ht="15.75" x14ac:dyDescent="0.45">
      <c r="A105" s="107" t="s">
        <v>79</v>
      </c>
    </row>
    <row r="106" spans="1:2" x14ac:dyDescent="0.45">
      <c r="A106"/>
      <c r="B106" s="16" t="s">
        <v>830</v>
      </c>
    </row>
    <row r="107" spans="1:2" x14ac:dyDescent="0.45">
      <c r="A107"/>
    </row>
    <row r="108" spans="1:2" x14ac:dyDescent="0.45">
      <c r="A108"/>
    </row>
    <row r="109" spans="1:2" x14ac:dyDescent="0.45">
      <c r="A109"/>
    </row>
    <row r="110" spans="1:2" x14ac:dyDescent="0.45">
      <c r="A110"/>
    </row>
    <row r="111" spans="1:2" x14ac:dyDescent="0.45">
      <c r="A111"/>
    </row>
    <row r="112" spans="1:2" x14ac:dyDescent="0.45">
      <c r="A112"/>
    </row>
    <row r="113" spans="1:1" x14ac:dyDescent="0.45">
      <c r="A113"/>
    </row>
    <row r="114" spans="1:1" x14ac:dyDescent="0.45">
      <c r="A114"/>
    </row>
    <row r="115" spans="1:1" x14ac:dyDescent="0.45">
      <c r="A115"/>
    </row>
    <row r="116" spans="1:1" x14ac:dyDescent="0.45">
      <c r="A116"/>
    </row>
    <row r="117" spans="1:1" x14ac:dyDescent="0.45">
      <c r="A117"/>
    </row>
    <row r="118" spans="1:1" x14ac:dyDescent="0.45">
      <c r="A118"/>
    </row>
    <row r="119" spans="1:1" x14ac:dyDescent="0.45">
      <c r="A119"/>
    </row>
    <row r="120" spans="1:1" x14ac:dyDescent="0.45">
      <c r="A120"/>
    </row>
    <row r="121" spans="1:1" x14ac:dyDescent="0.45">
      <c r="A121"/>
    </row>
    <row r="122" spans="1:1" x14ac:dyDescent="0.45">
      <c r="A122"/>
    </row>
    <row r="123" spans="1:1" x14ac:dyDescent="0.45">
      <c r="A123"/>
    </row>
    <row r="124" spans="1:1" x14ac:dyDescent="0.45">
      <c r="A124"/>
    </row>
    <row r="125" spans="1:1" x14ac:dyDescent="0.45">
      <c r="A125"/>
    </row>
    <row r="126" spans="1:1" x14ac:dyDescent="0.45">
      <c r="A126"/>
    </row>
    <row r="127" spans="1:1" x14ac:dyDescent="0.45">
      <c r="A127"/>
    </row>
    <row r="128" spans="1:1" x14ac:dyDescent="0.45">
      <c r="A128"/>
    </row>
    <row r="129" spans="1:1" x14ac:dyDescent="0.45">
      <c r="A129"/>
    </row>
    <row r="130" spans="1:1" x14ac:dyDescent="0.45">
      <c r="A130"/>
    </row>
    <row r="131" spans="1:1" x14ac:dyDescent="0.45">
      <c r="A131"/>
    </row>
    <row r="132" spans="1:1" x14ac:dyDescent="0.45">
      <c r="A132"/>
    </row>
    <row r="133" spans="1:1" x14ac:dyDescent="0.45">
      <c r="A133"/>
    </row>
    <row r="134" spans="1:1" x14ac:dyDescent="0.45">
      <c r="A134"/>
    </row>
    <row r="135" spans="1:1" x14ac:dyDescent="0.45">
      <c r="A135"/>
    </row>
    <row r="136" spans="1:1" x14ac:dyDescent="0.45">
      <c r="A136"/>
    </row>
    <row r="137" spans="1:1" x14ac:dyDescent="0.45">
      <c r="A137"/>
    </row>
    <row r="138" spans="1:1" x14ac:dyDescent="0.45">
      <c r="A138"/>
    </row>
    <row r="139" spans="1:1" x14ac:dyDescent="0.45">
      <c r="A139"/>
    </row>
    <row r="140" spans="1:1" x14ac:dyDescent="0.45">
      <c r="A140"/>
    </row>
    <row r="141" spans="1:1" x14ac:dyDescent="0.45">
      <c r="A141"/>
    </row>
    <row r="142" spans="1:1" x14ac:dyDescent="0.45">
      <c r="A142"/>
    </row>
    <row r="143" spans="1:1" x14ac:dyDescent="0.45">
      <c r="A143"/>
    </row>
    <row r="144" spans="1:1" x14ac:dyDescent="0.45">
      <c r="A144"/>
    </row>
    <row r="145" spans="1:8" x14ac:dyDescent="0.45">
      <c r="A145"/>
    </row>
    <row r="146" spans="1:8" x14ac:dyDescent="0.45">
      <c r="A146"/>
    </row>
    <row r="147" spans="1:8" x14ac:dyDescent="0.45">
      <c r="A147"/>
    </row>
    <row r="148" spans="1:8" x14ac:dyDescent="0.45">
      <c r="A148"/>
    </row>
    <row r="149" spans="1:8" x14ac:dyDescent="0.45">
      <c r="A149"/>
    </row>
    <row r="150" spans="1:8" x14ac:dyDescent="0.45">
      <c r="A150"/>
    </row>
    <row r="151" spans="1:8" x14ac:dyDescent="0.45">
      <c r="A151"/>
    </row>
    <row r="152" spans="1:8" x14ac:dyDescent="0.45">
      <c r="A152"/>
    </row>
    <row r="153" spans="1:8" x14ac:dyDescent="0.45">
      <c r="A153"/>
    </row>
    <row r="154" spans="1:8" x14ac:dyDescent="0.45">
      <c r="A154"/>
    </row>
    <row r="155" spans="1:8" x14ac:dyDescent="0.45">
      <c r="A155"/>
      <c r="B155" s="16" t="s">
        <v>829</v>
      </c>
    </row>
    <row r="156" spans="1:8" x14ac:dyDescent="0.45">
      <c r="A156"/>
    </row>
    <row r="157" spans="1:8" x14ac:dyDescent="0.45">
      <c r="A157"/>
      <c r="C157" s="103">
        <v>42277</v>
      </c>
      <c r="D157" s="103">
        <v>42643</v>
      </c>
      <c r="E157" s="103">
        <v>43008</v>
      </c>
      <c r="F157" s="103">
        <v>43373</v>
      </c>
    </row>
    <row r="158" spans="1:8" x14ac:dyDescent="0.45">
      <c r="A158"/>
      <c r="B158" s="16" t="s">
        <v>835</v>
      </c>
      <c r="C158" s="67" t="s">
        <v>825</v>
      </c>
      <c r="D158" s="67" t="s">
        <v>825</v>
      </c>
      <c r="E158">
        <f>E20</f>
        <v>-99</v>
      </c>
      <c r="F158">
        <f>F20</f>
        <v>-153</v>
      </c>
      <c r="G158" t="str">
        <f t="shared" ref="G158:G165" ca="1" si="15">_xlfn.FORMULATEXT(F158)</f>
        <v>=F20</v>
      </c>
      <c r="H158" t="s">
        <v>824</v>
      </c>
    </row>
    <row r="159" spans="1:8" x14ac:dyDescent="0.45">
      <c r="A159"/>
      <c r="B159" s="16" t="s">
        <v>823</v>
      </c>
      <c r="C159" s="67" t="s">
        <v>825</v>
      </c>
      <c r="D159" s="67" t="s">
        <v>825</v>
      </c>
      <c r="E159">
        <f>-41</f>
        <v>-41</v>
      </c>
      <c r="F159">
        <f>-26</f>
        <v>-26</v>
      </c>
      <c r="G159" t="str">
        <f t="shared" ca="1" si="15"/>
        <v>=-26</v>
      </c>
      <c r="H159" t="s">
        <v>836</v>
      </c>
    </row>
    <row r="160" spans="1:8" x14ac:dyDescent="0.45">
      <c r="A160"/>
      <c r="B160" s="16" t="s">
        <v>599</v>
      </c>
      <c r="C160" s="67" t="s">
        <v>825</v>
      </c>
      <c r="D160" s="67" t="s">
        <v>825</v>
      </c>
      <c r="E160">
        <f>SUM(E158:E159)</f>
        <v>-140</v>
      </c>
      <c r="F160">
        <f>SUM(F158:F159)</f>
        <v>-179</v>
      </c>
      <c r="G160" t="str">
        <f t="shared" ca="1" si="15"/>
        <v>=SUM(F158:F159)</v>
      </c>
    </row>
    <row r="161" spans="1:8" x14ac:dyDescent="0.45">
      <c r="A161"/>
      <c r="B161" s="16" t="s">
        <v>837</v>
      </c>
      <c r="C161" s="67" t="s">
        <v>825</v>
      </c>
      <c r="D161" s="67" t="s">
        <v>825</v>
      </c>
      <c r="E161">
        <f>15</f>
        <v>15</v>
      </c>
      <c r="F161">
        <f>-5</f>
        <v>-5</v>
      </c>
      <c r="G161" t="str">
        <f t="shared" ca="1" si="15"/>
        <v>=-5</v>
      </c>
      <c r="H161" t="s">
        <v>828</v>
      </c>
    </row>
    <row r="162" spans="1:8" x14ac:dyDescent="0.45">
      <c r="A162"/>
      <c r="B162" s="16" t="s">
        <v>844</v>
      </c>
      <c r="C162" s="67" t="s">
        <v>825</v>
      </c>
      <c r="D162" s="67" t="s">
        <v>825</v>
      </c>
      <c r="E162">
        <f>SUM(E160:E161)</f>
        <v>-125</v>
      </c>
      <c r="F162">
        <f>SUM(F160:F161)</f>
        <v>-184</v>
      </c>
      <c r="G162" t="str">
        <f t="shared" ca="1" si="15"/>
        <v>=SUM(F160:F161)</v>
      </c>
    </row>
    <row r="163" spans="1:8" x14ac:dyDescent="0.45">
      <c r="A163"/>
      <c r="B163" s="16" t="s">
        <v>826</v>
      </c>
      <c r="C163" s="67" t="s">
        <v>825</v>
      </c>
      <c r="D163" s="67" t="s">
        <v>825</v>
      </c>
      <c r="E163">
        <f>26</f>
        <v>26</v>
      </c>
      <c r="F163">
        <f>46</f>
        <v>46</v>
      </c>
      <c r="G163" t="str">
        <f t="shared" ca="1" si="15"/>
        <v>=46</v>
      </c>
      <c r="H163" t="s">
        <v>845</v>
      </c>
    </row>
    <row r="164" spans="1:8" x14ac:dyDescent="0.45">
      <c r="A164"/>
      <c r="B164" s="16" t="s">
        <v>705</v>
      </c>
      <c r="C164" s="67" t="s">
        <v>825</v>
      </c>
      <c r="D164" s="67" t="s">
        <v>825</v>
      </c>
      <c r="E164">
        <f>-16</f>
        <v>-16</v>
      </c>
      <c r="F164">
        <f>-24</f>
        <v>-24</v>
      </c>
      <c r="G164" t="str">
        <f t="shared" ca="1" si="15"/>
        <v>=-24</v>
      </c>
      <c r="H164" t="s">
        <v>846</v>
      </c>
    </row>
    <row r="165" spans="1:8" x14ac:dyDescent="0.45">
      <c r="A165"/>
      <c r="B165" s="16" t="s">
        <v>706</v>
      </c>
      <c r="C165" s="67" t="s">
        <v>825</v>
      </c>
      <c r="D165" s="67" t="s">
        <v>825</v>
      </c>
      <c r="E165">
        <f>SUM(E162:E164)</f>
        <v>-115</v>
      </c>
      <c r="F165">
        <f>SUM(F162:F164)</f>
        <v>-162</v>
      </c>
      <c r="G165" t="str">
        <f t="shared" ca="1" si="15"/>
        <v>=SUM(F162:F164)</v>
      </c>
    </row>
    <row r="166" spans="1:8" x14ac:dyDescent="0.45">
      <c r="A166"/>
      <c r="B166" s="16" t="s">
        <v>827</v>
      </c>
      <c r="C166" s="67" t="s">
        <v>825</v>
      </c>
      <c r="D166" s="67" t="s">
        <v>825</v>
      </c>
      <c r="E166">
        <f>10</f>
        <v>10</v>
      </c>
      <c r="F166">
        <f>12</f>
        <v>12</v>
      </c>
      <c r="G166" t="str">
        <f t="shared" ref="G166:G167" ca="1" si="16">_xlfn.FORMULATEXT(F166)</f>
        <v>=12</v>
      </c>
    </row>
    <row r="167" spans="1:8" x14ac:dyDescent="0.45">
      <c r="A167"/>
      <c r="B167" s="16" t="s">
        <v>700</v>
      </c>
      <c r="C167" s="67" t="s">
        <v>825</v>
      </c>
      <c r="D167" s="67" t="s">
        <v>825</v>
      </c>
      <c r="E167">
        <f>SUM(E165:E166)</f>
        <v>-105</v>
      </c>
      <c r="F167">
        <f>SUM(F165:F166)</f>
        <v>-150</v>
      </c>
      <c r="G167" t="str">
        <f t="shared" ca="1" si="16"/>
        <v>=SUM(F165:F166)</v>
      </c>
      <c r="H167" t="s">
        <v>847</v>
      </c>
    </row>
    <row r="168" spans="1:8" x14ac:dyDescent="0.45">
      <c r="A168"/>
    </row>
    <row r="169" spans="1:8" ht="15.75" x14ac:dyDescent="0.45">
      <c r="A169" s="107" t="s">
        <v>84</v>
      </c>
    </row>
    <row r="170" spans="1:8" x14ac:dyDescent="0.45">
      <c r="A170"/>
      <c r="B170" s="16" t="s">
        <v>840</v>
      </c>
    </row>
    <row r="171" spans="1:8" x14ac:dyDescent="0.45">
      <c r="A171"/>
    </row>
    <row r="172" spans="1:8" x14ac:dyDescent="0.45">
      <c r="A172"/>
      <c r="B172" s="16" t="s">
        <v>804</v>
      </c>
    </row>
    <row r="173" spans="1:8" x14ac:dyDescent="0.45">
      <c r="A173"/>
      <c r="B173" t="s">
        <v>841</v>
      </c>
    </row>
    <row r="174" spans="1:8" x14ac:dyDescent="0.45">
      <c r="A174"/>
      <c r="B174" t="s">
        <v>848</v>
      </c>
    </row>
    <row r="175" spans="1:8" x14ac:dyDescent="0.45">
      <c r="A175"/>
      <c r="B175" t="s">
        <v>842</v>
      </c>
    </row>
    <row r="176" spans="1:8" x14ac:dyDescent="0.45">
      <c r="A176"/>
    </row>
    <row r="177" spans="1:2" x14ac:dyDescent="0.45">
      <c r="A177"/>
    </row>
    <row r="178" spans="1:2" x14ac:dyDescent="0.45">
      <c r="A178"/>
    </row>
    <row r="179" spans="1:2" ht="15.75" x14ac:dyDescent="0.45">
      <c r="A179" s="107" t="s">
        <v>85</v>
      </c>
    </row>
    <row r="180" spans="1:2" x14ac:dyDescent="0.45">
      <c r="A180"/>
      <c r="B180" s="16" t="s">
        <v>843</v>
      </c>
    </row>
    <row r="181" spans="1:2" x14ac:dyDescent="0.45">
      <c r="A181"/>
    </row>
    <row r="182" spans="1:2" x14ac:dyDescent="0.45">
      <c r="A182"/>
    </row>
    <row r="183" spans="1:2" x14ac:dyDescent="0.45">
      <c r="A183"/>
    </row>
    <row r="184" spans="1:2" x14ac:dyDescent="0.45">
      <c r="A184"/>
    </row>
    <row r="185" spans="1:2" x14ac:dyDescent="0.45">
      <c r="A185"/>
    </row>
    <row r="186" spans="1:2" x14ac:dyDescent="0.45">
      <c r="A186"/>
    </row>
    <row r="187" spans="1:2" x14ac:dyDescent="0.45">
      <c r="A187"/>
    </row>
    <row r="188" spans="1:2" x14ac:dyDescent="0.45">
      <c r="A188"/>
    </row>
    <row r="189" spans="1:2" x14ac:dyDescent="0.45">
      <c r="A189"/>
    </row>
    <row r="190" spans="1:2" x14ac:dyDescent="0.45">
      <c r="A190"/>
    </row>
    <row r="191" spans="1:2" x14ac:dyDescent="0.45">
      <c r="A191"/>
    </row>
    <row r="192" spans="1:2" x14ac:dyDescent="0.45">
      <c r="A192"/>
    </row>
    <row r="193" spans="1:1" x14ac:dyDescent="0.45">
      <c r="A193"/>
    </row>
    <row r="194" spans="1:1" x14ac:dyDescent="0.45">
      <c r="A194"/>
    </row>
    <row r="195" spans="1:1" x14ac:dyDescent="0.45">
      <c r="A195"/>
    </row>
    <row r="196" spans="1:1" x14ac:dyDescent="0.45">
      <c r="A196"/>
    </row>
    <row r="197" spans="1:1" s="112" customFormat="1" x14ac:dyDescent="0.45"/>
    <row r="198" spans="1:1" s="112" customFormat="1" x14ac:dyDescent="0.45"/>
    <row r="199" spans="1:1" x14ac:dyDescent="0.45">
      <c r="A199"/>
    </row>
    <row r="200" spans="1:1" x14ac:dyDescent="0.45">
      <c r="A200"/>
    </row>
    <row r="201" spans="1:1" x14ac:dyDescent="0.45">
      <c r="A201"/>
    </row>
    <row r="202" spans="1:1" x14ac:dyDescent="0.45">
      <c r="A202"/>
    </row>
    <row r="203" spans="1:1" x14ac:dyDescent="0.45">
      <c r="A203"/>
    </row>
    <row r="204" spans="1:1" x14ac:dyDescent="0.45">
      <c r="A204"/>
    </row>
    <row r="205" spans="1:1" x14ac:dyDescent="0.45">
      <c r="A205"/>
    </row>
    <row r="206" spans="1:1" x14ac:dyDescent="0.45">
      <c r="A206"/>
    </row>
    <row r="207" spans="1:1" x14ac:dyDescent="0.45">
      <c r="A207"/>
    </row>
    <row r="208" spans="1:1" x14ac:dyDescent="0.45">
      <c r="A208"/>
    </row>
    <row r="209" spans="1:1" x14ac:dyDescent="0.45">
      <c r="A209"/>
    </row>
    <row r="210" spans="1:1" x14ac:dyDescent="0.45">
      <c r="A210"/>
    </row>
    <row r="211" spans="1:1" x14ac:dyDescent="0.45">
      <c r="A211"/>
    </row>
    <row r="212" spans="1:1" x14ac:dyDescent="0.45">
      <c r="A212"/>
    </row>
    <row r="213" spans="1:1" x14ac:dyDescent="0.45">
      <c r="A213"/>
    </row>
    <row r="214" spans="1:1" x14ac:dyDescent="0.45">
      <c r="A214"/>
    </row>
    <row r="215" spans="1:1" x14ac:dyDescent="0.45">
      <c r="A215"/>
    </row>
    <row r="216" spans="1:1" x14ac:dyDescent="0.45">
      <c r="A216"/>
    </row>
    <row r="217" spans="1:1" x14ac:dyDescent="0.45">
      <c r="A217"/>
    </row>
    <row r="218" spans="1:1" x14ac:dyDescent="0.45">
      <c r="A218"/>
    </row>
    <row r="219" spans="1:1" x14ac:dyDescent="0.45">
      <c r="A219"/>
    </row>
    <row r="220" spans="1:1" x14ac:dyDescent="0.45">
      <c r="A220"/>
    </row>
    <row r="221" spans="1:1" x14ac:dyDescent="0.45">
      <c r="A221"/>
    </row>
    <row r="222" spans="1:1" x14ac:dyDescent="0.45">
      <c r="A222"/>
    </row>
    <row r="223" spans="1:1" x14ac:dyDescent="0.45">
      <c r="A223"/>
    </row>
    <row r="224" spans="1:1" s="112" customFormat="1" x14ac:dyDescent="0.45"/>
    <row r="225" spans="1:7" s="112" customFormat="1" x14ac:dyDescent="0.45"/>
    <row r="226" spans="1:7" x14ac:dyDescent="0.45">
      <c r="A226"/>
    </row>
    <row r="227" spans="1:7" x14ac:dyDescent="0.45">
      <c r="A227"/>
    </row>
    <row r="228" spans="1:7" x14ac:dyDescent="0.45">
      <c r="A228"/>
    </row>
    <row r="229" spans="1:7" x14ac:dyDescent="0.45">
      <c r="A229"/>
      <c r="C229" s="103">
        <v>42277</v>
      </c>
      <c r="D229" s="103">
        <v>42643</v>
      </c>
      <c r="E229" s="103">
        <v>43008</v>
      </c>
      <c r="F229" s="103">
        <v>43373</v>
      </c>
    </row>
    <row r="230" spans="1:7" x14ac:dyDescent="0.45">
      <c r="A230"/>
      <c r="B230" s="16" t="s">
        <v>701</v>
      </c>
      <c r="C230" s="67">
        <v>585</v>
      </c>
      <c r="D230" s="67">
        <v>480</v>
      </c>
      <c r="E230">
        <f>596</f>
        <v>596</v>
      </c>
      <c r="F230">
        <f>342</f>
        <v>342</v>
      </c>
      <c r="G230" t="str">
        <f ca="1">_xlfn.FORMULATEXT(F230)</f>
        <v>=342</v>
      </c>
    </row>
    <row r="231" spans="1:7" x14ac:dyDescent="0.45">
      <c r="A231"/>
      <c r="B231" s="16" t="s">
        <v>699</v>
      </c>
      <c r="C231" s="67">
        <v>0</v>
      </c>
      <c r="D231" s="67">
        <v>0</v>
      </c>
      <c r="E231">
        <f>0</f>
        <v>0</v>
      </c>
      <c r="F231">
        <f>-58</f>
        <v>-58</v>
      </c>
      <c r="G231" t="str">
        <f t="shared" ref="G231:G234" ca="1" si="17">_xlfn.FORMULATEXT(F231)</f>
        <v>=-58</v>
      </c>
    </row>
    <row r="232" spans="1:7" x14ac:dyDescent="0.45">
      <c r="A232"/>
      <c r="B232" s="16" t="s">
        <v>700</v>
      </c>
      <c r="C232" s="67">
        <v>-118</v>
      </c>
      <c r="D232" s="67">
        <v>-95</v>
      </c>
      <c r="E232">
        <f>E167</f>
        <v>-105</v>
      </c>
      <c r="F232">
        <f>F167</f>
        <v>-150</v>
      </c>
      <c r="G232" t="str">
        <f t="shared" ca="1" si="17"/>
        <v>=F167</v>
      </c>
    </row>
    <row r="233" spans="1:7" x14ac:dyDescent="0.45">
      <c r="A233"/>
      <c r="B233" s="16" t="s">
        <v>702</v>
      </c>
      <c r="C233" s="67">
        <v>10</v>
      </c>
      <c r="D233" s="67">
        <v>6</v>
      </c>
      <c r="E233">
        <f>4</f>
        <v>4</v>
      </c>
      <c r="F233">
        <f>5</f>
        <v>5</v>
      </c>
      <c r="G233" t="str">
        <f t="shared" ca="1" si="17"/>
        <v>=5</v>
      </c>
    </row>
    <row r="234" spans="1:7" x14ac:dyDescent="0.45">
      <c r="A234"/>
      <c r="B234" s="16" t="s">
        <v>703</v>
      </c>
      <c r="C234">
        <f>SUM(C230:C233)</f>
        <v>477</v>
      </c>
      <c r="D234">
        <f>SUM(D230:D233)</f>
        <v>391</v>
      </c>
      <c r="E234">
        <f>SUM(E230:E233)</f>
        <v>495</v>
      </c>
      <c r="F234">
        <f>SUM(F230:F233)</f>
        <v>139</v>
      </c>
      <c r="G234" t="str">
        <f t="shared" ca="1" si="17"/>
        <v>=SUM(F230:F233)</v>
      </c>
    </row>
    <row r="235" spans="1:7" x14ac:dyDescent="0.45">
      <c r="A235"/>
    </row>
    <row r="236" spans="1:7" ht="15.75" x14ac:dyDescent="0.45">
      <c r="A236" s="107" t="s">
        <v>86</v>
      </c>
    </row>
    <row r="237" spans="1:7" x14ac:dyDescent="0.45">
      <c r="A237"/>
      <c r="B237" s="16" t="s">
        <v>849</v>
      </c>
    </row>
    <row r="238" spans="1:7" x14ac:dyDescent="0.45">
      <c r="A238"/>
      <c r="B238" s="16" t="s">
        <v>851</v>
      </c>
    </row>
    <row r="239" spans="1:7" x14ac:dyDescent="0.45">
      <c r="A239"/>
      <c r="C239" s="103">
        <v>42277</v>
      </c>
      <c r="D239" s="103">
        <v>42643</v>
      </c>
      <c r="E239" s="103">
        <v>43008</v>
      </c>
      <c r="F239" s="103">
        <v>43373</v>
      </c>
    </row>
    <row r="240" spans="1:7" x14ac:dyDescent="0.45">
      <c r="A240"/>
      <c r="B240" s="16" t="s">
        <v>850</v>
      </c>
      <c r="C240" s="80">
        <f>C234/C230</f>
        <v>0.81538461538461537</v>
      </c>
      <c r="D240" s="80">
        <f t="shared" ref="D240:F240" si="18">D234/D230</f>
        <v>0.81458333333333333</v>
      </c>
      <c r="E240" s="80">
        <f t="shared" si="18"/>
        <v>0.83053691275167785</v>
      </c>
      <c r="F240" s="80">
        <f t="shared" si="18"/>
        <v>0.4064327485380117</v>
      </c>
      <c r="G240" s="80" t="str">
        <f ca="1">_xlfn.FORMULATEXT(F240)</f>
        <v>=F234/F230</v>
      </c>
    </row>
    <row r="241" spans="1:17" x14ac:dyDescent="0.45">
      <c r="A241"/>
    </row>
    <row r="242" spans="1:17" x14ac:dyDescent="0.45">
      <c r="A242"/>
      <c r="B242" s="16" t="s">
        <v>804</v>
      </c>
    </row>
    <row r="243" spans="1:17" x14ac:dyDescent="0.45">
      <c r="A243"/>
      <c r="B243" t="s">
        <v>852</v>
      </c>
    </row>
    <row r="244" spans="1:17" x14ac:dyDescent="0.45">
      <c r="A244"/>
      <c r="B244" t="s">
        <v>853</v>
      </c>
    </row>
    <row r="245" spans="1:17" x14ac:dyDescent="0.45">
      <c r="A245"/>
      <c r="B245" t="s">
        <v>708</v>
      </c>
    </row>
    <row r="246" spans="1:17" x14ac:dyDescent="0.45">
      <c r="A246"/>
    </row>
    <row r="247" spans="1:17" x14ac:dyDescent="0.45">
      <c r="A247"/>
    </row>
    <row r="248" spans="1:17" x14ac:dyDescent="0.45">
      <c r="A248"/>
    </row>
    <row r="249" spans="1:17" s="32" customFormat="1" ht="15.75" x14ac:dyDescent="0.45">
      <c r="A249" s="108" t="s">
        <v>91</v>
      </c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</row>
    <row r="250" spans="1:17" s="32" customFormat="1" x14ac:dyDescent="0.45">
      <c r="A250"/>
      <c r="B250" s="16" t="s">
        <v>860</v>
      </c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</row>
    <row r="251" spans="1:17" s="32" customFormat="1" x14ac:dyDescent="0.45">
      <c r="A251"/>
      <c r="B251" s="16" t="s">
        <v>854</v>
      </c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</row>
    <row r="252" spans="1:17" s="32" customFormat="1" x14ac:dyDescent="0.45">
      <c r="A252"/>
      <c r="B252" s="16" t="s">
        <v>922</v>
      </c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</row>
    <row r="253" spans="1:17" s="32" customFormat="1" x14ac:dyDescent="0.45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</row>
    <row r="254" spans="1:17" s="32" customFormat="1" x14ac:dyDescent="0.45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</row>
    <row r="255" spans="1:17" s="32" customFormat="1" x14ac:dyDescent="0.45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</row>
    <row r="256" spans="1:17" s="32" customFormat="1" x14ac:dyDescent="0.45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</row>
    <row r="257" spans="1:17" s="32" customFormat="1" x14ac:dyDescent="0.45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</row>
    <row r="258" spans="1:17" s="32" customFormat="1" x14ac:dyDescent="0.45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</row>
    <row r="259" spans="1:17" s="32" customFormat="1" x14ac:dyDescent="0.45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</row>
    <row r="260" spans="1:17" s="32" customFormat="1" x14ac:dyDescent="0.45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</row>
    <row r="261" spans="1:17" s="32" customFormat="1" x14ac:dyDescent="0.45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</row>
    <row r="262" spans="1:17" s="32" customFormat="1" x14ac:dyDescent="0.45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</row>
    <row r="263" spans="1:17" s="32" customFormat="1" x14ac:dyDescent="0.45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</row>
    <row r="264" spans="1:17" s="32" customFormat="1" x14ac:dyDescent="0.45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</row>
    <row r="265" spans="1:17" x14ac:dyDescent="0.45">
      <c r="A265"/>
      <c r="C265" s="103">
        <v>41639</v>
      </c>
      <c r="D265" s="103">
        <v>42004</v>
      </c>
      <c r="E265" s="103">
        <v>42369</v>
      </c>
    </row>
    <row r="266" spans="1:17" x14ac:dyDescent="0.45">
      <c r="A266"/>
      <c r="B266" s="16" t="s">
        <v>211</v>
      </c>
      <c r="C266" s="67">
        <v>3850.9</v>
      </c>
      <c r="D266">
        <f>4372.3</f>
        <v>4372.3</v>
      </c>
      <c r="E266">
        <f>4674.3</f>
        <v>4674.3</v>
      </c>
    </row>
    <row r="267" spans="1:17" x14ac:dyDescent="0.45">
      <c r="A267"/>
      <c r="B267" s="16" t="s">
        <v>97</v>
      </c>
      <c r="C267" s="67">
        <v>516.9</v>
      </c>
      <c r="D267">
        <f>576.3</f>
        <v>576.29999999999995</v>
      </c>
      <c r="E267">
        <f>639</f>
        <v>639</v>
      </c>
    </row>
    <row r="268" spans="1:17" x14ac:dyDescent="0.45">
      <c r="A268"/>
      <c r="B268" s="16" t="s">
        <v>296</v>
      </c>
      <c r="C268" s="80">
        <f>C267/C266</f>
        <v>0.13422836220104389</v>
      </c>
      <c r="D268" s="80">
        <f>D267/D266</f>
        <v>0.13180705807012327</v>
      </c>
      <c r="E268" s="80">
        <f>E267/E266</f>
        <v>0.13670496117065656</v>
      </c>
      <c r="F268" t="str">
        <f ca="1">_xlfn.FORMULATEXT(E268)</f>
        <v>=E267/E266</v>
      </c>
    </row>
    <row r="269" spans="1:17" x14ac:dyDescent="0.45">
      <c r="A269"/>
      <c r="B269" s="16" t="s">
        <v>704</v>
      </c>
      <c r="C269" s="67">
        <v>312.39999999999998</v>
      </c>
      <c r="D269">
        <f>388.9</f>
        <v>388.9</v>
      </c>
      <c r="E269">
        <f>206.6</f>
        <v>206.6</v>
      </c>
    </row>
    <row r="270" spans="1:17" s="32" customFormat="1" x14ac:dyDescent="0.45">
      <c r="A270"/>
      <c r="B270" s="69" t="s">
        <v>855</v>
      </c>
      <c r="C270" s="80">
        <f>C269/C267</f>
        <v>0.60437221899787186</v>
      </c>
      <c r="D270" s="80">
        <f t="shared" ref="D270:E270" si="19">D269/D267</f>
        <v>0.67482214124587891</v>
      </c>
      <c r="E270" s="80">
        <f t="shared" si="19"/>
        <v>0.32331768388106413</v>
      </c>
      <c r="F270" s="32" t="str">
        <f ca="1">_xlfn.FORMULATEXT(E270)</f>
        <v>=E269/E267</v>
      </c>
      <c r="G270"/>
      <c r="H270"/>
      <c r="I270"/>
      <c r="J270"/>
      <c r="K270"/>
      <c r="L270"/>
      <c r="M270"/>
      <c r="N270"/>
      <c r="O270"/>
      <c r="P270"/>
      <c r="Q270"/>
    </row>
    <row r="271" spans="1:17" s="32" customFormat="1" x14ac:dyDescent="0.45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</row>
    <row r="272" spans="1:17" s="32" customFormat="1" x14ac:dyDescent="0.45">
      <c r="A272"/>
      <c r="B272" s="69" t="s">
        <v>804</v>
      </c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</row>
    <row r="273" spans="1:17" x14ac:dyDescent="0.45">
      <c r="A273"/>
      <c r="B273" t="s">
        <v>856</v>
      </c>
    </row>
    <row r="274" spans="1:17" x14ac:dyDescent="0.45">
      <c r="A274"/>
      <c r="B274" t="s">
        <v>857</v>
      </c>
    </row>
    <row r="275" spans="1:17" x14ac:dyDescent="0.45">
      <c r="A275"/>
      <c r="B275" t="s">
        <v>923</v>
      </c>
    </row>
    <row r="276" spans="1:17" x14ac:dyDescent="0.45">
      <c r="A276"/>
      <c r="B276" t="s">
        <v>858</v>
      </c>
    </row>
    <row r="277" spans="1:17" x14ac:dyDescent="0.45">
      <c r="A277"/>
      <c r="B277" t="s">
        <v>814</v>
      </c>
    </row>
    <row r="278" spans="1:17" s="32" customFormat="1" x14ac:dyDescent="0.45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</row>
    <row r="279" spans="1:17" s="32" customFormat="1" ht="15.75" x14ac:dyDescent="0.45">
      <c r="A279" s="108" t="s">
        <v>93</v>
      </c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</row>
    <row r="280" spans="1:17" s="32" customFormat="1" x14ac:dyDescent="0.45">
      <c r="A280"/>
      <c r="B280" s="16" t="s">
        <v>859</v>
      </c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</row>
    <row r="281" spans="1:17" s="32" customFormat="1" x14ac:dyDescent="0.45">
      <c r="A281"/>
      <c r="B281" s="16" t="s">
        <v>861</v>
      </c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</row>
    <row r="282" spans="1:17" s="32" customFormat="1" x14ac:dyDescent="0.45">
      <c r="A282"/>
      <c r="B282" s="16" t="s">
        <v>862</v>
      </c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</row>
    <row r="283" spans="1:17" s="32" customFormat="1" x14ac:dyDescent="0.45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</row>
    <row r="284" spans="1:17" s="32" customFormat="1" x14ac:dyDescent="0.45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</row>
    <row r="285" spans="1:17" s="32" customFormat="1" x14ac:dyDescent="0.45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</row>
    <row r="286" spans="1:17" s="32" customFormat="1" x14ac:dyDescent="0.45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</row>
    <row r="287" spans="1:17" s="32" customFormat="1" x14ac:dyDescent="0.45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</row>
    <row r="288" spans="1:17" s="32" customFormat="1" x14ac:dyDescent="0.45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</row>
    <row r="289" spans="1:17" s="32" customFormat="1" x14ac:dyDescent="0.45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</row>
    <row r="290" spans="1:17" s="32" customFormat="1" x14ac:dyDescent="0.45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</row>
    <row r="291" spans="1:17" s="32" customFormat="1" x14ac:dyDescent="0.45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</row>
    <row r="292" spans="1:17" s="32" customFormat="1" x14ac:dyDescent="0.45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</row>
    <row r="293" spans="1:17" s="32" customFormat="1" x14ac:dyDescent="0.45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</row>
    <row r="294" spans="1:17" s="32" customFormat="1" x14ac:dyDescent="0.45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</row>
    <row r="295" spans="1:17" s="32" customFormat="1" x14ac:dyDescent="0.45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</row>
    <row r="296" spans="1:17" s="32" customFormat="1" x14ac:dyDescent="0.45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</row>
    <row r="297" spans="1:17" s="32" customFormat="1" x14ac:dyDescent="0.45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</row>
    <row r="298" spans="1:17" s="32" customFormat="1" x14ac:dyDescent="0.45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</row>
    <row r="299" spans="1:17" s="32" customFormat="1" x14ac:dyDescent="0.45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</row>
    <row r="300" spans="1:17" s="32" customFormat="1" x14ac:dyDescent="0.45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</row>
    <row r="301" spans="1:17" s="32" customFormat="1" x14ac:dyDescent="0.45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</row>
    <row r="302" spans="1:17" s="32" customFormat="1" x14ac:dyDescent="0.45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</row>
    <row r="303" spans="1:17" s="32" customFormat="1" x14ac:dyDescent="0.45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</row>
    <row r="304" spans="1:17" s="32" customFormat="1" x14ac:dyDescent="0.45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</row>
    <row r="305" spans="1:17" s="32" customFormat="1" x14ac:dyDescent="0.45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</row>
    <row r="306" spans="1:17" s="32" customFormat="1" x14ac:dyDescent="0.45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</row>
    <row r="307" spans="1:17" s="32" customFormat="1" x14ac:dyDescent="0.45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</row>
    <row r="308" spans="1:17" s="32" customFormat="1" x14ac:dyDescent="0.45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</row>
    <row r="309" spans="1:17" x14ac:dyDescent="0.45">
      <c r="A309"/>
      <c r="C309" s="103">
        <v>41639</v>
      </c>
      <c r="D309" s="103">
        <v>42004</v>
      </c>
      <c r="E309" s="103">
        <v>42369</v>
      </c>
    </row>
    <row r="310" spans="1:17" s="32" customFormat="1" x14ac:dyDescent="0.45">
      <c r="A310"/>
      <c r="B310" s="16" t="s">
        <v>97</v>
      </c>
      <c r="C310" s="32">
        <f>C267</f>
        <v>516.9</v>
      </c>
      <c r="D310" s="32">
        <f t="shared" ref="D310:E310" si="20">D267</f>
        <v>576.29999999999995</v>
      </c>
      <c r="E310" s="32">
        <f t="shared" si="20"/>
        <v>639</v>
      </c>
      <c r="F310" s="32" t="str">
        <f ca="1">_xlfn.FORMULATEXT(E310)</f>
        <v>=E267</v>
      </c>
      <c r="G310"/>
      <c r="H310"/>
      <c r="I310"/>
      <c r="J310"/>
      <c r="K310"/>
      <c r="L310"/>
      <c r="M310"/>
      <c r="N310"/>
      <c r="O310"/>
      <c r="P310"/>
      <c r="Q310"/>
    </row>
    <row r="311" spans="1:17" s="32" customFormat="1" x14ac:dyDescent="0.45">
      <c r="A311"/>
      <c r="B311" s="16" t="s">
        <v>40</v>
      </c>
      <c r="C311" s="67">
        <f>74.1+3.3</f>
        <v>77.399999999999991</v>
      </c>
      <c r="D311" s="32">
        <f>77.8+9.1</f>
        <v>86.899999999999991</v>
      </c>
      <c r="E311" s="32">
        <f>82.1+13.2</f>
        <v>95.3</v>
      </c>
      <c r="F311" s="32" t="str">
        <f ca="1">_xlfn.FORMULATEXT(E311)</f>
        <v>=82.1+13.2</v>
      </c>
      <c r="G311"/>
      <c r="H311"/>
      <c r="I311"/>
      <c r="J311"/>
      <c r="K311"/>
      <c r="L311"/>
      <c r="M311"/>
      <c r="N311"/>
      <c r="O311"/>
      <c r="P311"/>
      <c r="Q311"/>
    </row>
    <row r="312" spans="1:17" s="32" customFormat="1" x14ac:dyDescent="0.45">
      <c r="A312"/>
      <c r="B312" s="16" t="s">
        <v>98</v>
      </c>
      <c r="C312" s="32">
        <f>SUM(C310:C311)</f>
        <v>594.29999999999995</v>
      </c>
      <c r="D312" s="32">
        <f t="shared" ref="D312:E312" si="21">SUM(D310:D311)</f>
        <v>663.19999999999993</v>
      </c>
      <c r="E312" s="32">
        <f t="shared" si="21"/>
        <v>734.3</v>
      </c>
      <c r="F312" s="32" t="str">
        <f ca="1">_xlfn.FORMULATEXT(E312)</f>
        <v>=SUM(E310:E311)</v>
      </c>
      <c r="G312"/>
      <c r="H312"/>
      <c r="I312"/>
      <c r="J312"/>
      <c r="K312"/>
      <c r="L312"/>
      <c r="M312"/>
      <c r="N312"/>
      <c r="O312"/>
      <c r="P312"/>
      <c r="Q312"/>
    </row>
    <row r="313" spans="1:17" s="32" customFormat="1" x14ac:dyDescent="0.45">
      <c r="A313"/>
      <c r="B313" s="16" t="s">
        <v>709</v>
      </c>
      <c r="C313" s="67">
        <v>537.1</v>
      </c>
      <c r="D313" s="32">
        <f>618.1</f>
        <v>618.1</v>
      </c>
      <c r="E313" s="32">
        <f>642.5</f>
        <v>642.5</v>
      </c>
      <c r="F313" s="32" t="str">
        <f ca="1">_xlfn.FORMULATEXT(E313)</f>
        <v>=642.5</v>
      </c>
      <c r="G313"/>
      <c r="H313"/>
      <c r="I313"/>
      <c r="J313"/>
      <c r="K313"/>
      <c r="L313"/>
      <c r="M313"/>
      <c r="N313"/>
      <c r="O313"/>
      <c r="P313"/>
      <c r="Q313"/>
    </row>
    <row r="314" spans="1:17" x14ac:dyDescent="0.45">
      <c r="A314"/>
      <c r="B314" s="16" t="s">
        <v>721</v>
      </c>
      <c r="C314" s="80">
        <f>C313/C312</f>
        <v>0.9037523136463067</v>
      </c>
      <c r="D314" s="80">
        <f>D313/D312</f>
        <v>0.93199638118214734</v>
      </c>
      <c r="E314" s="80">
        <f>E313/E312</f>
        <v>0.87498297698488359</v>
      </c>
      <c r="F314" s="32" t="str">
        <f ca="1">_xlfn.FORMULATEXT(E314)</f>
        <v>=E313/E312</v>
      </c>
    </row>
    <row r="315" spans="1:17" s="32" customFormat="1" x14ac:dyDescent="0.45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</row>
    <row r="316" spans="1:17" s="32" customFormat="1" x14ac:dyDescent="0.45">
      <c r="A316"/>
      <c r="B316" s="69" t="s">
        <v>804</v>
      </c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</row>
    <row r="317" spans="1:17" x14ac:dyDescent="0.45">
      <c r="A317"/>
      <c r="B317" t="s">
        <v>863</v>
      </c>
    </row>
    <row r="318" spans="1:17" x14ac:dyDescent="0.45">
      <c r="A318"/>
    </row>
    <row r="319" spans="1:17" x14ac:dyDescent="0.45">
      <c r="A319"/>
    </row>
    <row r="320" spans="1:17" x14ac:dyDescent="0.45">
      <c r="A320"/>
    </row>
    <row r="321" spans="1:17" x14ac:dyDescent="0.45">
      <c r="A321"/>
    </row>
    <row r="322" spans="1:17" s="32" customFormat="1" x14ac:dyDescent="0.45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</row>
    <row r="323" spans="1:17" s="32" customFormat="1" ht="15.75" x14ac:dyDescent="0.45">
      <c r="A323" s="108" t="s">
        <v>101</v>
      </c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</row>
    <row r="324" spans="1:17" s="32" customFormat="1" x14ac:dyDescent="0.45">
      <c r="A324"/>
      <c r="B324" s="16" t="s">
        <v>909</v>
      </c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</row>
    <row r="325" spans="1:17" s="32" customFormat="1" x14ac:dyDescent="0.45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</row>
    <row r="326" spans="1:17" s="32" customFormat="1" x14ac:dyDescent="0.45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</row>
    <row r="327" spans="1:17" s="32" customFormat="1" x14ac:dyDescent="0.45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</row>
    <row r="328" spans="1:17" s="32" customFormat="1" x14ac:dyDescent="0.45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</row>
    <row r="329" spans="1:17" s="32" customFormat="1" x14ac:dyDescent="0.45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</row>
    <row r="330" spans="1:17" s="32" customFormat="1" x14ac:dyDescent="0.45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</row>
    <row r="331" spans="1:17" s="32" customFormat="1" x14ac:dyDescent="0.45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</row>
    <row r="332" spans="1:17" s="32" customFormat="1" x14ac:dyDescent="0.45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</row>
    <row r="333" spans="1:17" s="32" customFormat="1" x14ac:dyDescent="0.45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</row>
    <row r="334" spans="1:17" s="32" customFormat="1" x14ac:dyDescent="0.45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</row>
    <row r="335" spans="1:17" s="32" customFormat="1" x14ac:dyDescent="0.45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</row>
    <row r="336" spans="1:17" s="32" customFormat="1" x14ac:dyDescent="0.45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</row>
    <row r="337" spans="1:17" s="32" customFormat="1" x14ac:dyDescent="0.45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</row>
    <row r="338" spans="1:17" s="32" customFormat="1" x14ac:dyDescent="0.45">
      <c r="A338" s="112"/>
      <c r="B338" s="112"/>
      <c r="C338" s="112"/>
      <c r="D338" s="112"/>
      <c r="E338" s="112"/>
      <c r="F338" s="112"/>
      <c r="G338" s="112"/>
      <c r="H338" s="112"/>
      <c r="I338" s="112"/>
      <c r="J338" s="112"/>
      <c r="K338" s="112"/>
      <c r="L338" s="112"/>
      <c r="M338" s="112"/>
      <c r="N338" s="112"/>
      <c r="O338" s="112"/>
      <c r="P338" s="112"/>
      <c r="Q338" s="112"/>
    </row>
    <row r="339" spans="1:17" s="32" customFormat="1" x14ac:dyDescent="0.45">
      <c r="A339"/>
      <c r="B339"/>
      <c r="C339" s="103">
        <v>41639</v>
      </c>
      <c r="D339" s="103">
        <v>42004</v>
      </c>
      <c r="E339" s="103">
        <v>42369</v>
      </c>
      <c r="F339"/>
      <c r="G339"/>
      <c r="H339"/>
      <c r="I339"/>
      <c r="J339"/>
      <c r="K339"/>
      <c r="L339"/>
      <c r="M339"/>
      <c r="N339"/>
      <c r="O339"/>
      <c r="P339"/>
      <c r="Q339"/>
    </row>
    <row r="340" spans="1:17" s="32" customFormat="1" x14ac:dyDescent="0.45">
      <c r="A340"/>
      <c r="B340" s="16" t="s">
        <v>211</v>
      </c>
      <c r="C340" s="67">
        <v>3850.9</v>
      </c>
      <c r="D340" s="67">
        <f>4372.3</f>
        <v>4372.3</v>
      </c>
      <c r="E340" s="67">
        <f>4674.3</f>
        <v>4674.3</v>
      </c>
      <c r="F340"/>
      <c r="G340"/>
      <c r="H340"/>
      <c r="I340"/>
      <c r="J340"/>
      <c r="K340"/>
      <c r="L340"/>
      <c r="M340"/>
      <c r="N340"/>
      <c r="O340"/>
      <c r="P340"/>
      <c r="Q340"/>
    </row>
    <row r="341" spans="1:17" s="32" customFormat="1" x14ac:dyDescent="0.45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</row>
    <row r="342" spans="1:17" x14ac:dyDescent="0.45">
      <c r="A342"/>
      <c r="B342" s="99" t="s">
        <v>608</v>
      </c>
    </row>
    <row r="343" spans="1:17" x14ac:dyDescent="0.45">
      <c r="A343"/>
      <c r="B343" s="16" t="s">
        <v>145</v>
      </c>
      <c r="C343" s="67">
        <v>449.6</v>
      </c>
      <c r="D343">
        <f>449.5</f>
        <v>449.5</v>
      </c>
      <c r="E343">
        <f>412.4</f>
        <v>412.4</v>
      </c>
      <c r="F343" t="str">
        <f ca="1">_xlfn.FORMULATEXT(E343)</f>
        <v>=412.4</v>
      </c>
    </row>
    <row r="344" spans="1:17" x14ac:dyDescent="0.45">
      <c r="A344"/>
      <c r="B344" s="16" t="s">
        <v>604</v>
      </c>
      <c r="C344" s="67">
        <v>37.200000000000003</v>
      </c>
      <c r="D344">
        <f>22</f>
        <v>22</v>
      </c>
      <c r="E344">
        <f>21.3</f>
        <v>21.3</v>
      </c>
      <c r="F344" t="str">
        <f t="shared" ref="F344:F348" ca="1" si="22">_xlfn.FORMULATEXT(E344)</f>
        <v>=21.3</v>
      </c>
    </row>
    <row r="345" spans="1:17" x14ac:dyDescent="0.45">
      <c r="A345"/>
      <c r="B345" s="16" t="s">
        <v>605</v>
      </c>
      <c r="C345" s="67">
        <v>61.5</v>
      </c>
      <c r="D345">
        <f>48.2</f>
        <v>48.2</v>
      </c>
      <c r="E345">
        <f>39.3</f>
        <v>39.299999999999997</v>
      </c>
      <c r="F345" t="str">
        <f t="shared" ca="1" si="22"/>
        <v>=39.3</v>
      </c>
    </row>
    <row r="346" spans="1:17" x14ac:dyDescent="0.45">
      <c r="A346"/>
      <c r="B346" s="16" t="s">
        <v>606</v>
      </c>
      <c r="C346" s="67">
        <v>257</v>
      </c>
      <c r="D346">
        <f>361.7</f>
        <v>361.7</v>
      </c>
      <c r="E346">
        <f>411.5</f>
        <v>411.5</v>
      </c>
      <c r="F346" t="str">
        <f t="shared" ca="1" si="22"/>
        <v>=411.5</v>
      </c>
    </row>
    <row r="347" spans="1:17" x14ac:dyDescent="0.45">
      <c r="A347"/>
      <c r="B347" s="16" t="s">
        <v>607</v>
      </c>
      <c r="C347" s="67">
        <v>87.6</v>
      </c>
      <c r="D347">
        <f>106.7</f>
        <v>106.7</v>
      </c>
      <c r="E347">
        <f>127.4</f>
        <v>127.4</v>
      </c>
      <c r="F347" t="str">
        <f t="shared" ca="1" si="22"/>
        <v>=127.4</v>
      </c>
    </row>
    <row r="348" spans="1:17" x14ac:dyDescent="0.45">
      <c r="A348"/>
      <c r="C348">
        <f>SUM(C343:C347)</f>
        <v>892.9</v>
      </c>
      <c r="D348">
        <f>SUM(D343:D347)</f>
        <v>988.10000000000014</v>
      </c>
      <c r="E348">
        <f>SUM(E343:E347)</f>
        <v>1011.9</v>
      </c>
      <c r="F348" t="str">
        <f t="shared" ca="1" si="22"/>
        <v>=SUM(E343:E347)</v>
      </c>
    </row>
    <row r="349" spans="1:17" x14ac:dyDescent="0.45">
      <c r="A349"/>
      <c r="B349" s="99" t="s">
        <v>609</v>
      </c>
    </row>
    <row r="350" spans="1:17" x14ac:dyDescent="0.45">
      <c r="A350"/>
      <c r="B350" s="16" t="s">
        <v>604</v>
      </c>
      <c r="C350" s="67">
        <v>2.5</v>
      </c>
      <c r="D350">
        <f>8</f>
        <v>8</v>
      </c>
      <c r="E350">
        <f>13</f>
        <v>13</v>
      </c>
      <c r="F350" t="str">
        <f ca="1">_xlfn.FORMULATEXT(E350)</f>
        <v>=13</v>
      </c>
    </row>
    <row r="351" spans="1:17" x14ac:dyDescent="0.45">
      <c r="A351"/>
      <c r="B351" s="16" t="s">
        <v>606</v>
      </c>
      <c r="C351" s="67">
        <v>57.7</v>
      </c>
      <c r="D351">
        <f>44.4</f>
        <v>44.4</v>
      </c>
      <c r="E351">
        <f>41.7</f>
        <v>41.7</v>
      </c>
      <c r="F351" t="str">
        <f t="shared" ref="F351:F353" ca="1" si="23">_xlfn.FORMULATEXT(E351)</f>
        <v>=41.7</v>
      </c>
    </row>
    <row r="352" spans="1:17" x14ac:dyDescent="0.45">
      <c r="A352"/>
      <c r="B352" s="16" t="s">
        <v>607</v>
      </c>
      <c r="C352" s="67">
        <v>17.399999999999999</v>
      </c>
      <c r="D352">
        <f>21.2</f>
        <v>21.2</v>
      </c>
      <c r="E352">
        <f>31.4</f>
        <v>31.4</v>
      </c>
      <c r="F352" t="str">
        <f t="shared" ca="1" si="23"/>
        <v>=31.4</v>
      </c>
    </row>
    <row r="353" spans="1:17" x14ac:dyDescent="0.45">
      <c r="A353"/>
      <c r="C353">
        <f>SUM(C350:C352)</f>
        <v>77.599999999999994</v>
      </c>
      <c r="D353">
        <f>SUM(D350:D352)</f>
        <v>73.599999999999994</v>
      </c>
      <c r="E353">
        <f>SUM(E350:E352)</f>
        <v>86.1</v>
      </c>
      <c r="F353" t="str">
        <f t="shared" ca="1" si="23"/>
        <v>=SUM(E350:E352)</v>
      </c>
    </row>
    <row r="354" spans="1:17" x14ac:dyDescent="0.45">
      <c r="A354"/>
    </row>
    <row r="355" spans="1:17" x14ac:dyDescent="0.45">
      <c r="A355"/>
      <c r="B355" s="69" t="s">
        <v>710</v>
      </c>
      <c r="C355">
        <f>SUM(C346,C351)</f>
        <v>314.7</v>
      </c>
      <c r="D355">
        <f t="shared" ref="D355:E355" si="24">SUM(D346,D351)</f>
        <v>406.09999999999997</v>
      </c>
      <c r="E355">
        <f t="shared" si="24"/>
        <v>453.2</v>
      </c>
      <c r="F355" s="32" t="str">
        <f ca="1">_xlfn.FORMULATEXT(E355)</f>
        <v>=SUM(E346,E351)</v>
      </c>
    </row>
    <row r="356" spans="1:17" s="32" customFormat="1" x14ac:dyDescent="0.45">
      <c r="A356"/>
      <c r="B356" s="16" t="s">
        <v>872</v>
      </c>
      <c r="C356" s="32">
        <f>SUM(C348,C353)</f>
        <v>970.5</v>
      </c>
      <c r="D356" s="32">
        <f t="shared" ref="D356:E356" si="25">SUM(D348,D353)</f>
        <v>1061.7</v>
      </c>
      <c r="E356" s="32">
        <f t="shared" si="25"/>
        <v>1098</v>
      </c>
      <c r="F356" s="32" t="str">
        <f ca="1">_xlfn.FORMULATEXT(E356)</f>
        <v>=SUM(E348,E353)</v>
      </c>
      <c r="G356"/>
      <c r="H356"/>
      <c r="I356"/>
      <c r="J356"/>
      <c r="K356"/>
      <c r="L356"/>
      <c r="M356"/>
      <c r="N356"/>
      <c r="O356"/>
      <c r="P356"/>
      <c r="Q356"/>
    </row>
    <row r="357" spans="1:17" s="32" customFormat="1" x14ac:dyDescent="0.45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</row>
    <row r="358" spans="1:17" s="32" customFormat="1" x14ac:dyDescent="0.45">
      <c r="A358"/>
      <c r="B358" s="16" t="s">
        <v>387</v>
      </c>
      <c r="C358"/>
      <c r="D358" s="80">
        <f>D340/C340-1</f>
        <v>0.13539692020047256</v>
      </c>
      <c r="E358" s="80">
        <f>E340/D340-1</f>
        <v>6.9071198225190367E-2</v>
      </c>
      <c r="F358" s="32" t="str">
        <f ca="1">_xlfn.FORMULATEXT(E358)</f>
        <v>=E340/D340-1</v>
      </c>
      <c r="G358"/>
      <c r="H358"/>
      <c r="I358"/>
      <c r="J358"/>
      <c r="K358"/>
      <c r="L358"/>
      <c r="M358"/>
      <c r="N358"/>
      <c r="O358"/>
      <c r="P358"/>
      <c r="Q358"/>
    </row>
    <row r="359" spans="1:17" s="32" customFormat="1" x14ac:dyDescent="0.45">
      <c r="A359"/>
      <c r="B359" s="16" t="s">
        <v>864</v>
      </c>
      <c r="C359"/>
      <c r="D359" s="80">
        <f>D343/C343-1</f>
        <v>-2.2241992882565675E-4</v>
      </c>
      <c r="E359" s="80">
        <f>E343/D343-1</f>
        <v>-8.253615127919911E-2</v>
      </c>
      <c r="F359" s="32" t="str">
        <f ca="1">_xlfn.FORMULATEXT(E359)</f>
        <v>=E343/D343-1</v>
      </c>
      <c r="G359"/>
      <c r="H359"/>
      <c r="I359"/>
      <c r="J359"/>
      <c r="K359"/>
      <c r="L359"/>
      <c r="M359"/>
      <c r="N359"/>
      <c r="O359"/>
      <c r="P359"/>
      <c r="Q359"/>
    </row>
    <row r="360" spans="1:17" s="32" customFormat="1" x14ac:dyDescent="0.45">
      <c r="A360"/>
      <c r="B360" s="16" t="s">
        <v>865</v>
      </c>
      <c r="C360" s="80">
        <f>C343/C340</f>
        <v>0.11675192812069907</v>
      </c>
      <c r="D360" s="80">
        <f t="shared" ref="D360:E360" si="26">D343/D340</f>
        <v>0.10280630331861948</v>
      </c>
      <c r="E360" s="80">
        <f t="shared" si="26"/>
        <v>8.8227114220311056E-2</v>
      </c>
      <c r="F360" s="32" t="str">
        <f ca="1">_xlfn.FORMULATEXT(E360)</f>
        <v>=E343/E340</v>
      </c>
      <c r="G360"/>
      <c r="H360"/>
      <c r="I360"/>
      <c r="J360"/>
      <c r="K360"/>
      <c r="L360"/>
      <c r="M360"/>
      <c r="N360"/>
      <c r="O360"/>
      <c r="P360"/>
      <c r="Q360"/>
    </row>
    <row r="361" spans="1:17" s="32" customFormat="1" x14ac:dyDescent="0.45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</row>
    <row r="362" spans="1:17" s="32" customFormat="1" x14ac:dyDescent="0.45">
      <c r="A362"/>
      <c r="B362" s="16" t="s">
        <v>873</v>
      </c>
      <c r="C362"/>
      <c r="D362" s="80">
        <f>D355/C355-1</f>
        <v>0.29043533523991094</v>
      </c>
      <c r="E362" s="80">
        <f>E355/D355-1</f>
        <v>0.11598128539768537</v>
      </c>
      <c r="F362" s="32" t="str">
        <f ca="1">_xlfn.FORMULATEXT(E362)</f>
        <v>=E355/D355-1</v>
      </c>
      <c r="G362"/>
      <c r="H362"/>
      <c r="I362"/>
      <c r="J362"/>
      <c r="K362"/>
      <c r="L362"/>
      <c r="M362"/>
      <c r="N362"/>
      <c r="O362"/>
      <c r="P362"/>
      <c r="Q362"/>
    </row>
    <row r="363" spans="1:17" s="32" customFormat="1" x14ac:dyDescent="0.45">
      <c r="A363"/>
      <c r="B363" s="16" t="s">
        <v>874</v>
      </c>
      <c r="C363" s="80">
        <f>C355/C340</f>
        <v>8.1721156093380765E-2</v>
      </c>
      <c r="D363" s="80">
        <f>D355/D340</f>
        <v>9.2880177480959669E-2</v>
      </c>
      <c r="E363" s="80">
        <f>E355/E340</f>
        <v>9.6955693900691003E-2</v>
      </c>
      <c r="F363" s="32" t="str">
        <f ca="1">_xlfn.FORMULATEXT(E363)</f>
        <v>=E355/E340</v>
      </c>
      <c r="G363"/>
      <c r="H363"/>
      <c r="I363"/>
      <c r="J363"/>
      <c r="K363"/>
      <c r="L363"/>
      <c r="M363"/>
      <c r="N363"/>
      <c r="O363"/>
      <c r="P363"/>
      <c r="Q363"/>
    </row>
    <row r="364" spans="1:17" s="32" customFormat="1" x14ac:dyDescent="0.45">
      <c r="A364"/>
      <c r="B364" s="16" t="s">
        <v>875</v>
      </c>
      <c r="C364" s="80">
        <f>C355/C356</f>
        <v>0.32426584234930445</v>
      </c>
      <c r="D364" s="80">
        <f t="shared" ref="D364:E364" si="27">D355/D356</f>
        <v>0.38249976452858619</v>
      </c>
      <c r="E364" s="80">
        <f t="shared" si="27"/>
        <v>0.41275045537340616</v>
      </c>
      <c r="F364" s="32" t="str">
        <f ca="1">_xlfn.FORMULATEXT(E364)</f>
        <v>=E355/E356</v>
      </c>
      <c r="G364"/>
      <c r="H364"/>
      <c r="I364"/>
      <c r="J364"/>
      <c r="K364"/>
      <c r="L364"/>
      <c r="M364"/>
      <c r="N364"/>
      <c r="O364"/>
      <c r="P364"/>
      <c r="Q364"/>
    </row>
    <row r="365" spans="1:17" s="32" customFormat="1" x14ac:dyDescent="0.45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</row>
    <row r="366" spans="1:17" s="32" customFormat="1" x14ac:dyDescent="0.45">
      <c r="A366"/>
      <c r="B366" s="69" t="s">
        <v>804</v>
      </c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</row>
    <row r="367" spans="1:17" x14ac:dyDescent="0.45">
      <c r="A367"/>
      <c r="B367" t="s">
        <v>870</v>
      </c>
    </row>
    <row r="368" spans="1:17" x14ac:dyDescent="0.45">
      <c r="A368"/>
      <c r="B368" t="s">
        <v>866</v>
      </c>
    </row>
    <row r="369" spans="1:17" x14ac:dyDescent="0.45">
      <c r="A369"/>
      <c r="B369" t="s">
        <v>871</v>
      </c>
    </row>
    <row r="370" spans="1:17" x14ac:dyDescent="0.45">
      <c r="A370"/>
      <c r="B370" t="s">
        <v>867</v>
      </c>
    </row>
    <row r="371" spans="1:17" x14ac:dyDescent="0.45">
      <c r="A371"/>
      <c r="B371" t="s">
        <v>868</v>
      </c>
    </row>
    <row r="372" spans="1:17" x14ac:dyDescent="0.45">
      <c r="A372"/>
      <c r="B372" t="s">
        <v>869</v>
      </c>
    </row>
    <row r="373" spans="1:17" x14ac:dyDescent="0.45">
      <c r="A373"/>
      <c r="B373" t="s">
        <v>883</v>
      </c>
    </row>
    <row r="374" spans="1:17" x14ac:dyDescent="0.45">
      <c r="A374"/>
      <c r="B374" t="s">
        <v>876</v>
      </c>
    </row>
    <row r="375" spans="1:17" s="32" customFormat="1" x14ac:dyDescent="0.45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</row>
    <row r="376" spans="1:17" s="32" customFormat="1" ht="15.75" x14ac:dyDescent="0.45">
      <c r="A376" s="108" t="s">
        <v>103</v>
      </c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</row>
    <row r="377" spans="1:17" s="32" customFormat="1" x14ac:dyDescent="0.45">
      <c r="A377"/>
      <c r="B377" s="69" t="s">
        <v>877</v>
      </c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</row>
    <row r="378" spans="1:17" s="32" customFormat="1" x14ac:dyDescent="0.45">
      <c r="A378"/>
      <c r="B378" s="16" t="s">
        <v>884</v>
      </c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</row>
    <row r="379" spans="1:17" s="32" customFormat="1" x14ac:dyDescent="0.45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</row>
    <row r="380" spans="1:17" s="32" customFormat="1" x14ac:dyDescent="0.45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</row>
    <row r="381" spans="1:17" s="32" customFormat="1" x14ac:dyDescent="0.45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</row>
    <row r="382" spans="1:17" s="32" customFormat="1" x14ac:dyDescent="0.45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</row>
    <row r="383" spans="1:17" s="32" customFormat="1" x14ac:dyDescent="0.45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</row>
    <row r="384" spans="1:17" s="32" customFormat="1" x14ac:dyDescent="0.45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</row>
    <row r="385" spans="1:17" s="32" customFormat="1" x14ac:dyDescent="0.45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</row>
    <row r="386" spans="1:17" s="32" customFormat="1" x14ac:dyDescent="0.45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</row>
    <row r="387" spans="1:17" s="32" customFormat="1" x14ac:dyDescent="0.45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</row>
    <row r="388" spans="1:17" s="32" customFormat="1" x14ac:dyDescent="0.45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</row>
    <row r="389" spans="1:17" s="32" customFormat="1" x14ac:dyDescent="0.45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</row>
    <row r="390" spans="1:17" s="32" customFormat="1" x14ac:dyDescent="0.45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</row>
    <row r="391" spans="1:17" s="32" customFormat="1" x14ac:dyDescent="0.45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</row>
    <row r="392" spans="1:17" s="32" customFormat="1" x14ac:dyDescent="0.45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</row>
    <row r="393" spans="1:17" s="32" customFormat="1" x14ac:dyDescent="0.45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</row>
    <row r="394" spans="1:17" s="32" customFormat="1" x14ac:dyDescent="0.45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</row>
    <row r="395" spans="1:17" s="32" customFormat="1" x14ac:dyDescent="0.45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</row>
    <row r="396" spans="1:17" s="32" customFormat="1" x14ac:dyDescent="0.45">
      <c r="A396"/>
      <c r="B396" s="16" t="s">
        <v>879</v>
      </c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</row>
    <row r="397" spans="1:17" s="32" customFormat="1" x14ac:dyDescent="0.45">
      <c r="A397"/>
      <c r="B397" s="60" t="s">
        <v>885</v>
      </c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</row>
    <row r="398" spans="1:17" s="32" customFormat="1" x14ac:dyDescent="0.45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</row>
    <row r="399" spans="1:17" s="32" customFormat="1" x14ac:dyDescent="0.45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</row>
    <row r="400" spans="1:17" s="32" customFormat="1" x14ac:dyDescent="0.45">
      <c r="A400"/>
      <c r="B400" s="16" t="s">
        <v>886</v>
      </c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</row>
    <row r="401" spans="1:17" x14ac:dyDescent="0.45">
      <c r="A401"/>
      <c r="B401" t="s">
        <v>878</v>
      </c>
    </row>
    <row r="402" spans="1:17" x14ac:dyDescent="0.45">
      <c r="A402"/>
    </row>
    <row r="403" spans="1:17" s="32" customFormat="1" x14ac:dyDescent="0.45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</row>
    <row r="404" spans="1:17" s="32" customFormat="1" x14ac:dyDescent="0.45">
      <c r="A404"/>
      <c r="B404" s="16" t="s">
        <v>924</v>
      </c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</row>
    <row r="405" spans="1:17" x14ac:dyDescent="0.45">
      <c r="A405"/>
      <c r="B405" t="s">
        <v>925</v>
      </c>
    </row>
    <row r="406" spans="1:17" x14ac:dyDescent="0.45">
      <c r="A406"/>
      <c r="B406" t="s">
        <v>887</v>
      </c>
    </row>
    <row r="407" spans="1:17" s="32" customFormat="1" x14ac:dyDescent="0.45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</row>
    <row r="408" spans="1:17" s="32" customFormat="1" x14ac:dyDescent="0.45">
      <c r="A408"/>
      <c r="B408" s="16" t="s">
        <v>888</v>
      </c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</row>
    <row r="409" spans="1:17" x14ac:dyDescent="0.45">
      <c r="A409"/>
      <c r="B409" t="s">
        <v>880</v>
      </c>
    </row>
    <row r="410" spans="1:17" x14ac:dyDescent="0.45">
      <c r="A410"/>
    </row>
    <row r="411" spans="1:17" s="32" customFormat="1" x14ac:dyDescent="0.45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</row>
    <row r="412" spans="1:17" s="32" customFormat="1" x14ac:dyDescent="0.45">
      <c r="A412"/>
      <c r="B412" s="16" t="s">
        <v>881</v>
      </c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</row>
    <row r="413" spans="1:17" s="32" customFormat="1" x14ac:dyDescent="0.45">
      <c r="A413"/>
      <c r="B413" s="16" t="s">
        <v>882</v>
      </c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</row>
    <row r="414" spans="1:17" x14ac:dyDescent="0.45">
      <c r="A414"/>
      <c r="B414" t="s">
        <v>891</v>
      </c>
    </row>
    <row r="415" spans="1:17" x14ac:dyDescent="0.45">
      <c r="A415"/>
      <c r="B415" t="s">
        <v>889</v>
      </c>
    </row>
    <row r="416" spans="1:17" x14ac:dyDescent="0.45">
      <c r="A416"/>
      <c r="B416" t="s">
        <v>890</v>
      </c>
    </row>
    <row r="417" spans="1:17" s="32" customFormat="1" x14ac:dyDescent="0.45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</row>
    <row r="418" spans="1:17" s="32" customFormat="1" ht="15.75" x14ac:dyDescent="0.45">
      <c r="A418" s="108" t="s">
        <v>109</v>
      </c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</row>
    <row r="419" spans="1:17" s="32" customFormat="1" x14ac:dyDescent="0.45">
      <c r="A419"/>
      <c r="B419" s="32" t="s">
        <v>896</v>
      </c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</row>
    <row r="420" spans="1:17" s="32" customFormat="1" x14ac:dyDescent="0.45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</row>
    <row r="421" spans="1:17" x14ac:dyDescent="0.45">
      <c r="A421"/>
      <c r="B421" s="99" t="s">
        <v>711</v>
      </c>
      <c r="C421" s="103">
        <v>41639</v>
      </c>
      <c r="D421" s="103">
        <v>42004</v>
      </c>
      <c r="E421" s="103">
        <v>42369</v>
      </c>
    </row>
    <row r="422" spans="1:17" x14ac:dyDescent="0.45">
      <c r="A422"/>
      <c r="B422" s="16" t="s">
        <v>677</v>
      </c>
      <c r="C422" s="67">
        <v>78.599999999999994</v>
      </c>
      <c r="D422" s="67">
        <f>C427</f>
        <v>114.89999999999999</v>
      </c>
      <c r="E422" s="67">
        <f>D427</f>
        <v>111.59999999999998</v>
      </c>
    </row>
    <row r="423" spans="1:17" x14ac:dyDescent="0.45">
      <c r="A423"/>
      <c r="B423" s="16" t="s">
        <v>678</v>
      </c>
      <c r="C423" s="67">
        <v>-35.200000000000003</v>
      </c>
      <c r="D423" s="67">
        <v>-47.5</v>
      </c>
      <c r="E423" s="67">
        <v>-54.5</v>
      </c>
    </row>
    <row r="424" spans="1:17" x14ac:dyDescent="0.45">
      <c r="A424"/>
      <c r="B424" s="16" t="s">
        <v>713</v>
      </c>
      <c r="C424" s="67">
        <v>66</v>
      </c>
      <c r="D424" s="67">
        <v>39.4</v>
      </c>
      <c r="E424" s="67">
        <v>50.9</v>
      </c>
    </row>
    <row r="425" spans="1:17" x14ac:dyDescent="0.45">
      <c r="A425"/>
      <c r="B425" s="16" t="s">
        <v>714</v>
      </c>
      <c r="C425" s="67">
        <v>5.5</v>
      </c>
      <c r="D425" s="67">
        <v>4.8</v>
      </c>
      <c r="E425" s="67">
        <v>7.3</v>
      </c>
    </row>
    <row r="426" spans="1:17" x14ac:dyDescent="0.45">
      <c r="A426"/>
      <c r="B426" s="16" t="s">
        <v>712</v>
      </c>
      <c r="C426" s="67">
        <v>0</v>
      </c>
      <c r="D426" s="67">
        <v>0</v>
      </c>
      <c r="E426" s="67">
        <v>3.1</v>
      </c>
    </row>
    <row r="427" spans="1:17" x14ac:dyDescent="0.45">
      <c r="A427"/>
      <c r="B427" s="16" t="s">
        <v>681</v>
      </c>
      <c r="C427" s="67">
        <f>SUM(C422:C426)</f>
        <v>114.89999999999999</v>
      </c>
      <c r="D427" s="67">
        <f>SUM(D422:D426)</f>
        <v>111.59999999999998</v>
      </c>
      <c r="E427" s="67">
        <f>SUM(E422:E426)</f>
        <v>118.39999999999996</v>
      </c>
    </row>
    <row r="428" spans="1:17" x14ac:dyDescent="0.45">
      <c r="A428"/>
    </row>
    <row r="429" spans="1:17" x14ac:dyDescent="0.45">
      <c r="A429"/>
      <c r="B429" s="16" t="s">
        <v>893</v>
      </c>
      <c r="C429" s="80">
        <f>-C423/C422</f>
        <v>0.44783715012722652</v>
      </c>
      <c r="D429" s="80">
        <f t="shared" ref="D429:E429" si="28">-D423/D422</f>
        <v>0.41340295909486513</v>
      </c>
      <c r="E429" s="80">
        <f t="shared" si="28"/>
        <v>0.48835125448028682</v>
      </c>
    </row>
    <row r="430" spans="1:17" x14ac:dyDescent="0.45">
      <c r="A430"/>
      <c r="B430" s="16" t="s">
        <v>892</v>
      </c>
      <c r="C430" s="80">
        <f>C427/C422-1</f>
        <v>0.46183206106870234</v>
      </c>
      <c r="D430" s="80">
        <f>D427/D422-1</f>
        <v>-2.8720626631853929E-2</v>
      </c>
      <c r="E430" s="80">
        <f>E427/E422-1</f>
        <v>6.0931899641576859E-2</v>
      </c>
    </row>
    <row r="431" spans="1:17" x14ac:dyDescent="0.45">
      <c r="A431"/>
    </row>
    <row r="432" spans="1:17" s="32" customFormat="1" x14ac:dyDescent="0.45">
      <c r="A432"/>
      <c r="B432" s="69" t="s">
        <v>804</v>
      </c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</row>
    <row r="433" spans="1:17" x14ac:dyDescent="0.45">
      <c r="A433"/>
      <c r="B433" t="s">
        <v>895</v>
      </c>
    </row>
    <row r="434" spans="1:17" x14ac:dyDescent="0.45">
      <c r="A434"/>
      <c r="B434" t="s">
        <v>894</v>
      </c>
    </row>
    <row r="435" spans="1:17" x14ac:dyDescent="0.45">
      <c r="A435"/>
      <c r="B435" t="s">
        <v>910</v>
      </c>
    </row>
    <row r="436" spans="1:17" x14ac:dyDescent="0.45">
      <c r="A436"/>
      <c r="B436" t="s">
        <v>901</v>
      </c>
    </row>
    <row r="437" spans="1:17" x14ac:dyDescent="0.45">
      <c r="A437"/>
      <c r="B437" t="s">
        <v>902</v>
      </c>
    </row>
    <row r="438" spans="1:17" x14ac:dyDescent="0.45">
      <c r="A438"/>
      <c r="B438" t="s">
        <v>903</v>
      </c>
    </row>
    <row r="439" spans="1:17" s="32" customFormat="1" x14ac:dyDescent="0.45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</row>
    <row r="440" spans="1:17" ht="15.75" x14ac:dyDescent="0.45">
      <c r="A440" s="107" t="s">
        <v>455</v>
      </c>
    </row>
    <row r="441" spans="1:17" s="32" customFormat="1" x14ac:dyDescent="0.45">
      <c r="A441"/>
      <c r="B441" s="109" t="s">
        <v>898</v>
      </c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</row>
    <row r="442" spans="1:17" s="32" customFormat="1" x14ac:dyDescent="0.45">
      <c r="A442"/>
      <c r="B442" s="109" t="s">
        <v>851</v>
      </c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</row>
    <row r="443" spans="1:17" s="32" customFormat="1" x14ac:dyDescent="0.45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</row>
    <row r="444" spans="1:17" s="32" customFormat="1" x14ac:dyDescent="0.45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</row>
    <row r="445" spans="1:17" s="32" customFormat="1" x14ac:dyDescent="0.45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</row>
    <row r="446" spans="1:17" s="32" customFormat="1" x14ac:dyDescent="0.45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</row>
    <row r="447" spans="1:17" s="32" customFormat="1" x14ac:dyDescent="0.45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</row>
    <row r="448" spans="1:17" s="32" customFormat="1" x14ac:dyDescent="0.45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</row>
    <row r="449" spans="1:17" s="32" customFormat="1" x14ac:dyDescent="0.45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</row>
    <row r="450" spans="1:17" s="32" customFormat="1" x14ac:dyDescent="0.45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</row>
    <row r="451" spans="1:17" s="32" customFormat="1" x14ac:dyDescent="0.45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</row>
    <row r="452" spans="1:17" s="32" customFormat="1" x14ac:dyDescent="0.45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</row>
    <row r="453" spans="1:17" s="32" customFormat="1" x14ac:dyDescent="0.45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</row>
    <row r="454" spans="1:17" s="32" customFormat="1" x14ac:dyDescent="0.45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</row>
    <row r="455" spans="1:17" s="32" customFormat="1" x14ac:dyDescent="0.45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</row>
    <row r="456" spans="1:17" s="32" customFormat="1" x14ac:dyDescent="0.45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</row>
    <row r="457" spans="1:17" s="32" customFormat="1" x14ac:dyDescent="0.45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</row>
    <row r="458" spans="1:17" s="32" customFormat="1" x14ac:dyDescent="0.45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</row>
    <row r="459" spans="1:17" s="32" customFormat="1" x14ac:dyDescent="0.45">
      <c r="A459" s="112"/>
      <c r="B459" s="112"/>
      <c r="C459" s="112"/>
      <c r="D459" s="112"/>
      <c r="E459" s="112"/>
      <c r="F459" s="112"/>
      <c r="G459" s="112"/>
      <c r="H459" s="112"/>
      <c r="I459" s="112"/>
      <c r="J459" s="112"/>
      <c r="K459" s="112"/>
      <c r="L459" s="112"/>
      <c r="M459" s="112"/>
      <c r="N459" s="112"/>
      <c r="O459" s="112"/>
      <c r="P459" s="112"/>
      <c r="Q459" s="112"/>
    </row>
    <row r="460" spans="1:17" s="32" customFormat="1" x14ac:dyDescent="0.45">
      <c r="A460" s="112"/>
      <c r="B460" s="112"/>
      <c r="C460" s="112"/>
      <c r="D460" s="112"/>
      <c r="E460" s="112"/>
      <c r="F460" s="112"/>
      <c r="G460" s="112"/>
      <c r="H460" s="112"/>
      <c r="I460" s="112"/>
      <c r="J460" s="112"/>
      <c r="K460" s="112"/>
      <c r="L460" s="112"/>
      <c r="M460" s="112"/>
      <c r="N460" s="112"/>
      <c r="O460" s="112"/>
      <c r="P460" s="112"/>
      <c r="Q460" s="112"/>
    </row>
    <row r="461" spans="1:17" s="32" customFormat="1" x14ac:dyDescent="0.45">
      <c r="A461" s="112"/>
      <c r="B461" s="112"/>
      <c r="C461" s="112"/>
      <c r="D461" s="112"/>
      <c r="E461" s="112"/>
      <c r="F461" s="112"/>
      <c r="G461" s="112"/>
      <c r="H461" s="112"/>
      <c r="I461" s="112"/>
      <c r="J461" s="112"/>
      <c r="K461" s="112"/>
      <c r="L461" s="112"/>
      <c r="M461" s="112"/>
      <c r="N461" s="112"/>
      <c r="O461" s="112"/>
      <c r="P461" s="112"/>
      <c r="Q461" s="112"/>
    </row>
    <row r="462" spans="1:17" s="32" customFormat="1" x14ac:dyDescent="0.45">
      <c r="A462" s="112"/>
      <c r="B462" s="112"/>
      <c r="C462" s="112"/>
      <c r="D462" s="112"/>
      <c r="E462" s="112"/>
      <c r="F462" s="112"/>
      <c r="G462" s="112"/>
      <c r="H462" s="112"/>
      <c r="I462" s="112"/>
      <c r="J462" s="112"/>
      <c r="K462" s="112"/>
      <c r="L462" s="112"/>
      <c r="M462" s="112"/>
      <c r="N462" s="112"/>
      <c r="O462" s="112"/>
      <c r="P462" s="112"/>
      <c r="Q462" s="112"/>
    </row>
    <row r="463" spans="1:17" s="32" customFormat="1" x14ac:dyDescent="0.45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</row>
    <row r="464" spans="1:17" s="32" customFormat="1" x14ac:dyDescent="0.45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</row>
    <row r="465" spans="1:17" s="32" customFormat="1" x14ac:dyDescent="0.45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</row>
    <row r="466" spans="1:17" s="32" customFormat="1" x14ac:dyDescent="0.45">
      <c r="A466"/>
      <c r="B466"/>
      <c r="C466" s="103">
        <v>42004</v>
      </c>
      <c r="D466" s="103">
        <v>42369</v>
      </c>
      <c r="E466" s="103">
        <v>42735</v>
      </c>
      <c r="F466"/>
      <c r="G466"/>
      <c r="H466"/>
      <c r="I466"/>
      <c r="J466"/>
      <c r="K466"/>
      <c r="L466"/>
      <c r="M466"/>
      <c r="N466"/>
      <c r="O466"/>
      <c r="P466"/>
      <c r="Q466"/>
    </row>
    <row r="467" spans="1:17" x14ac:dyDescent="0.45">
      <c r="A467"/>
      <c r="B467" s="16" t="s">
        <v>611</v>
      </c>
      <c r="C467" s="67">
        <f>-40.1</f>
        <v>-40.1</v>
      </c>
      <c r="D467">
        <f>48</f>
        <v>48</v>
      </c>
      <c r="E467">
        <f>-290.6</f>
        <v>-290.60000000000002</v>
      </c>
      <c r="F467" t="str">
        <f ca="1">_xlfn.FORMULATEXT(E467)</f>
        <v>=-290.6</v>
      </c>
    </row>
    <row r="468" spans="1:17" x14ac:dyDescent="0.45">
      <c r="A468"/>
      <c r="B468" s="16" t="s">
        <v>610</v>
      </c>
      <c r="C468" s="67">
        <f>50.5</f>
        <v>50.5</v>
      </c>
      <c r="D468">
        <f>-41.1</f>
        <v>-41.1</v>
      </c>
      <c r="E468">
        <f>301.5</f>
        <v>301.5</v>
      </c>
      <c r="F468" t="str">
        <f t="shared" ref="F468:F472" ca="1" si="29">_xlfn.FORMULATEXT(E468)</f>
        <v>=301.5</v>
      </c>
    </row>
    <row r="469" spans="1:17" x14ac:dyDescent="0.45">
      <c r="A469"/>
      <c r="B469" s="16" t="s">
        <v>612</v>
      </c>
      <c r="C469">
        <f>SUM(C467:C468)</f>
        <v>10.399999999999999</v>
      </c>
      <c r="D469">
        <f>SUM(D467:D468)</f>
        <v>6.8999999999999986</v>
      </c>
      <c r="E469">
        <f>SUM(E467:E468)</f>
        <v>10.899999999999977</v>
      </c>
      <c r="F469" t="str">
        <f t="shared" ca="1" si="29"/>
        <v>=SUM(E467:E468)</v>
      </c>
    </row>
    <row r="470" spans="1:17" x14ac:dyDescent="0.45">
      <c r="A470"/>
    </row>
    <row r="471" spans="1:17" x14ac:dyDescent="0.45">
      <c r="A471"/>
      <c r="B471" s="16" t="s">
        <v>899</v>
      </c>
      <c r="C471" s="67">
        <f>123.8</f>
        <v>123.8</v>
      </c>
      <c r="D471">
        <f>73.3</f>
        <v>73.3</v>
      </c>
      <c r="E471">
        <f>73.3</f>
        <v>73.3</v>
      </c>
      <c r="F471" t="str">
        <f t="shared" ca="1" si="29"/>
        <v>=73.3</v>
      </c>
    </row>
    <row r="472" spans="1:17" x14ac:dyDescent="0.45">
      <c r="A472"/>
      <c r="B472" s="16" t="s">
        <v>613</v>
      </c>
      <c r="C472" s="80">
        <f>C469/C471</f>
        <v>8.4006462035541185E-2</v>
      </c>
      <c r="D472" s="80">
        <f>D469/D471</f>
        <v>9.4133697135061381E-2</v>
      </c>
      <c r="E472" s="80">
        <f>E469/E471</f>
        <v>0.14870395634379233</v>
      </c>
      <c r="F472" t="str">
        <f t="shared" ca="1" si="29"/>
        <v>=E469/E471</v>
      </c>
    </row>
    <row r="473" spans="1:17" s="32" customFormat="1" x14ac:dyDescent="0.45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</row>
    <row r="474" spans="1:17" x14ac:dyDescent="0.45">
      <c r="A474"/>
      <c r="B474" s="16" t="s">
        <v>804</v>
      </c>
    </row>
    <row r="475" spans="1:17" x14ac:dyDescent="0.45">
      <c r="A475"/>
      <c r="B475" t="s">
        <v>904</v>
      </c>
    </row>
    <row r="476" spans="1:17" x14ac:dyDescent="0.45">
      <c r="A476"/>
      <c r="B476" t="s">
        <v>900</v>
      </c>
    </row>
    <row r="477" spans="1:17" x14ac:dyDescent="0.45">
      <c r="A477"/>
      <c r="B477" t="s">
        <v>905</v>
      </c>
    </row>
    <row r="478" spans="1:17" x14ac:dyDescent="0.45">
      <c r="A478"/>
      <c r="B478" t="s">
        <v>906</v>
      </c>
    </row>
    <row r="479" spans="1:17" x14ac:dyDescent="0.45">
      <c r="A479"/>
    </row>
    <row r="480" spans="1:17" s="32" customFormat="1" x14ac:dyDescent="0.45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</row>
    <row r="481" spans="1:17" s="32" customFormat="1" ht="15.75" x14ac:dyDescent="0.45">
      <c r="A481" s="108" t="s">
        <v>461</v>
      </c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</row>
    <row r="482" spans="1:17" s="32" customFormat="1" x14ac:dyDescent="0.45">
      <c r="A482"/>
      <c r="B482" s="109" t="s">
        <v>908</v>
      </c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</row>
    <row r="483" spans="1:17" s="32" customFormat="1" x14ac:dyDescent="0.45">
      <c r="A483"/>
      <c r="B483" s="109" t="s">
        <v>862</v>
      </c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</row>
    <row r="484" spans="1:17" s="32" customFormat="1" x14ac:dyDescent="0.45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</row>
    <row r="485" spans="1:17" s="32" customFormat="1" x14ac:dyDescent="0.45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</row>
    <row r="486" spans="1:17" s="32" customFormat="1" x14ac:dyDescent="0.45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</row>
    <row r="487" spans="1:17" s="32" customFormat="1" x14ac:dyDescent="0.45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</row>
    <row r="488" spans="1:17" s="32" customFormat="1" x14ac:dyDescent="0.45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</row>
    <row r="489" spans="1:17" s="32" customFormat="1" x14ac:dyDescent="0.45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</row>
    <row r="490" spans="1:17" s="32" customFormat="1" x14ac:dyDescent="0.45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</row>
    <row r="491" spans="1:17" s="32" customFormat="1" x14ac:dyDescent="0.45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</row>
    <row r="492" spans="1:17" s="32" customFormat="1" x14ac:dyDescent="0.45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</row>
    <row r="493" spans="1:17" s="32" customFormat="1" x14ac:dyDescent="0.45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</row>
    <row r="494" spans="1:17" s="32" customFormat="1" x14ac:dyDescent="0.45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</row>
    <row r="495" spans="1:17" s="32" customFormat="1" x14ac:dyDescent="0.45">
      <c r="A495" s="112"/>
      <c r="B495" s="112"/>
      <c r="C495" s="112"/>
      <c r="D495" s="112"/>
      <c r="E495" s="112"/>
      <c r="F495" s="112"/>
      <c r="G495" s="112"/>
      <c r="H495" s="112"/>
      <c r="I495" s="112"/>
      <c r="J495" s="112"/>
      <c r="K495" s="112"/>
      <c r="L495" s="112"/>
      <c r="M495" s="112"/>
      <c r="N495" s="112"/>
      <c r="O495" s="112"/>
      <c r="P495" s="112"/>
      <c r="Q495" s="112"/>
    </row>
    <row r="496" spans="1:17" s="32" customFormat="1" x14ac:dyDescent="0.45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</row>
    <row r="497" spans="1:17" s="32" customFormat="1" x14ac:dyDescent="0.45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</row>
    <row r="498" spans="1:17" s="32" customFormat="1" x14ac:dyDescent="0.45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</row>
    <row r="499" spans="1:17" s="32" customFormat="1" x14ac:dyDescent="0.45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</row>
    <row r="500" spans="1:17" s="32" customFormat="1" x14ac:dyDescent="0.45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</row>
    <row r="501" spans="1:17" s="32" customFormat="1" x14ac:dyDescent="0.45">
      <c r="A501"/>
      <c r="B501"/>
      <c r="C501" s="103">
        <v>42004</v>
      </c>
      <c r="D501" s="103">
        <v>42369</v>
      </c>
      <c r="E501" s="103">
        <v>42735</v>
      </c>
      <c r="F501"/>
      <c r="G501"/>
      <c r="H501"/>
      <c r="I501"/>
      <c r="J501"/>
      <c r="K501"/>
      <c r="L501"/>
      <c r="M501"/>
      <c r="N501"/>
      <c r="O501"/>
      <c r="P501"/>
      <c r="Q501"/>
    </row>
    <row r="502" spans="1:17" x14ac:dyDescent="0.45">
      <c r="A502"/>
      <c r="B502" s="16" t="s">
        <v>380</v>
      </c>
      <c r="C502" s="67">
        <f>29.6</f>
        <v>29.6</v>
      </c>
      <c r="D502">
        <f>35.3</f>
        <v>35.299999999999997</v>
      </c>
      <c r="E502">
        <f>39.6</f>
        <v>39.6</v>
      </c>
      <c r="F502" t="str">
        <f ca="1">_xlfn.FORMULATEXT(E502)</f>
        <v>=39.6</v>
      </c>
    </row>
    <row r="503" spans="1:17" x14ac:dyDescent="0.45">
      <c r="A503"/>
      <c r="B503" s="16" t="s">
        <v>492</v>
      </c>
      <c r="C503" s="67">
        <f>649.3</f>
        <v>649.29999999999995</v>
      </c>
      <c r="D503">
        <f>632</f>
        <v>632</v>
      </c>
      <c r="E503">
        <f>688.7</f>
        <v>688.7</v>
      </c>
      <c r="F503" t="str">
        <f t="shared" ref="F503:F507" ca="1" si="30">_xlfn.FORMULATEXT(E503)</f>
        <v>=688.7</v>
      </c>
    </row>
    <row r="504" spans="1:17" x14ac:dyDescent="0.45">
      <c r="A504"/>
    </row>
    <row r="505" spans="1:17" x14ac:dyDescent="0.45">
      <c r="A505"/>
      <c r="B505" s="16" t="s">
        <v>911</v>
      </c>
      <c r="D505" s="80">
        <f>D502/C502-1</f>
        <v>0.19256756756756732</v>
      </c>
      <c r="E505" s="80">
        <f>E502/D502-1</f>
        <v>0.12181303116147313</v>
      </c>
      <c r="F505" t="str">
        <f t="shared" ca="1" si="30"/>
        <v>=E502/D502-1</v>
      </c>
    </row>
    <row r="506" spans="1:17" x14ac:dyDescent="0.45">
      <c r="A506"/>
      <c r="B506" s="16" t="s">
        <v>907</v>
      </c>
      <c r="D506" s="80">
        <f>D503/C503-1</f>
        <v>-2.6644078238102553E-2</v>
      </c>
      <c r="E506" s="80">
        <f>E503/D503-1</f>
        <v>8.9715189873417867E-2</v>
      </c>
      <c r="F506" t="str">
        <f t="shared" ca="1" si="30"/>
        <v>=E503/D503-1</v>
      </c>
    </row>
    <row r="507" spans="1:17" x14ac:dyDescent="0.45">
      <c r="A507"/>
      <c r="B507" s="16" t="s">
        <v>614</v>
      </c>
      <c r="C507" s="80">
        <f>C502/C503</f>
        <v>4.5587555829354698E-2</v>
      </c>
      <c r="D507" s="80">
        <f>D502/D503</f>
        <v>5.5854430379746828E-2</v>
      </c>
      <c r="E507" s="80">
        <f>E502/E503</f>
        <v>5.7499636997241178E-2</v>
      </c>
      <c r="F507" t="str">
        <f t="shared" ca="1" si="30"/>
        <v>=E502/E503</v>
      </c>
    </row>
    <row r="508" spans="1:17" s="32" customFormat="1" x14ac:dyDescent="0.45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</row>
    <row r="509" spans="1:17" x14ac:dyDescent="0.45">
      <c r="A509"/>
      <c r="B509" s="16" t="s">
        <v>804</v>
      </c>
    </row>
    <row r="510" spans="1:17" x14ac:dyDescent="0.45">
      <c r="A510"/>
      <c r="B510" t="s">
        <v>912</v>
      </c>
    </row>
    <row r="511" spans="1:17" x14ac:dyDescent="0.45">
      <c r="A511"/>
      <c r="B511" t="s">
        <v>913</v>
      </c>
    </row>
    <row r="512" spans="1:17" x14ac:dyDescent="0.45">
      <c r="A512"/>
      <c r="B512" t="s">
        <v>914</v>
      </c>
    </row>
    <row r="513" spans="1:17" x14ac:dyDescent="0.45">
      <c r="A513"/>
      <c r="B513" t="s">
        <v>915</v>
      </c>
    </row>
    <row r="514" spans="1:17" s="32" customFormat="1" x14ac:dyDescent="0.45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</row>
    <row r="515" spans="1:17" ht="15.75" x14ac:dyDescent="0.45">
      <c r="A515" s="107" t="s">
        <v>116</v>
      </c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77" fitToHeight="0" orientation="landscape" horizontalDpi="300" verticalDpi="300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F9A2CC-B278-49BD-8159-8F3CE5195D44}">
  <sheetPr>
    <pageSetUpPr fitToPage="1"/>
  </sheetPr>
  <dimension ref="A1:N200"/>
  <sheetViews>
    <sheetView zoomScaleNormal="100" workbookViewId="0"/>
  </sheetViews>
  <sheetFormatPr defaultColWidth="9.1328125" defaultRowHeight="15.75" x14ac:dyDescent="0.45"/>
  <cols>
    <col min="1" max="1" width="1.46484375" style="15" customWidth="1"/>
    <col min="2" max="2" width="43.796875" style="16" customWidth="1"/>
    <col min="3" max="6" width="11" style="115" customWidth="1"/>
    <col min="7" max="7" width="11.1328125" style="115" customWidth="1"/>
    <col min="8" max="8" width="11" style="115" customWidth="1"/>
    <col min="9" max="10" width="9.1328125" style="115"/>
    <col min="11" max="11" width="15.1328125" style="115" customWidth="1"/>
    <col min="12" max="16384" width="9.1328125" style="115"/>
  </cols>
  <sheetData>
    <row r="1" spans="1:14" s="88" customFormat="1" ht="45" customHeight="1" x14ac:dyDescent="0.85">
      <c r="A1" s="5" t="str">
        <f>Welcome!A2</f>
        <v>Forensic Accounting</v>
      </c>
      <c r="B1" s="87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90" customFormat="1" ht="30" customHeight="1" x14ac:dyDescent="0.65">
      <c r="A2" s="14" t="s">
        <v>931</v>
      </c>
      <c r="B2" s="89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 s="115"/>
      <c r="B3" s="115"/>
    </row>
    <row r="4" spans="1:14" ht="15" customHeight="1" x14ac:dyDescent="0.45">
      <c r="A4" s="15" t="s">
        <v>66</v>
      </c>
      <c r="B4" s="115"/>
    </row>
    <row r="5" spans="1:14" ht="15" customHeight="1" x14ac:dyDescent="0.45">
      <c r="A5" s="115"/>
      <c r="B5" s="16" t="s">
        <v>932</v>
      </c>
    </row>
    <row r="6" spans="1:14" ht="15" customHeight="1" x14ac:dyDescent="0.45">
      <c r="A6" s="115"/>
      <c r="B6" s="16" t="s">
        <v>933</v>
      </c>
    </row>
    <row r="7" spans="1:14" ht="15" customHeight="1" x14ac:dyDescent="0.45">
      <c r="A7" s="115"/>
      <c r="B7" s="16" t="s">
        <v>934</v>
      </c>
    </row>
    <row r="8" spans="1:14" ht="15" customHeight="1" x14ac:dyDescent="0.45">
      <c r="A8" s="115"/>
      <c r="B8" s="115"/>
    </row>
    <row r="9" spans="1:14" ht="15" customHeight="1" x14ac:dyDescent="0.45">
      <c r="A9" s="115"/>
      <c r="B9" s="16" t="s">
        <v>935</v>
      </c>
      <c r="D9" s="67">
        <v>100</v>
      </c>
    </row>
    <row r="10" spans="1:14" ht="15" customHeight="1" x14ac:dyDescent="0.45">
      <c r="A10" s="115"/>
      <c r="B10" s="16" t="s">
        <v>936</v>
      </c>
      <c r="D10" s="67">
        <v>80</v>
      </c>
    </row>
    <row r="11" spans="1:14" ht="15" customHeight="1" x14ac:dyDescent="0.45">
      <c r="A11" s="115"/>
      <c r="B11" s="16" t="s">
        <v>937</v>
      </c>
      <c r="D11" s="115">
        <f>D9-D10</f>
        <v>20</v>
      </c>
    </row>
    <row r="12" spans="1:14" ht="15" customHeight="1" x14ac:dyDescent="0.45">
      <c r="A12" s="115"/>
      <c r="B12" s="115"/>
    </row>
    <row r="13" spans="1:14" ht="15" customHeight="1" x14ac:dyDescent="0.45">
      <c r="A13" s="115"/>
      <c r="B13" s="115"/>
      <c r="D13" s="16" t="s">
        <v>938</v>
      </c>
      <c r="E13" s="16" t="s">
        <v>939</v>
      </c>
      <c r="F13" s="16" t="s">
        <v>940</v>
      </c>
    </row>
    <row r="14" spans="1:14" ht="15" customHeight="1" x14ac:dyDescent="0.45">
      <c r="A14" s="115"/>
      <c r="B14" s="16" t="s">
        <v>935</v>
      </c>
      <c r="D14" s="115">
        <f>D15/$D$10*$D$9</f>
        <v>25</v>
      </c>
      <c r="E14" s="115">
        <f>E15/$D$10*$D$9</f>
        <v>62.5</v>
      </c>
      <c r="F14" s="115">
        <f>D9-E14-D14</f>
        <v>12.5</v>
      </c>
      <c r="G14" s="115" t="str">
        <f ca="1">_xlfn.FORMULATEXT(F14)</f>
        <v>=D9-E14-D14</v>
      </c>
    </row>
    <row r="15" spans="1:14" ht="15" customHeight="1" x14ac:dyDescent="0.45">
      <c r="A15" s="115"/>
      <c r="B15" s="16" t="s">
        <v>936</v>
      </c>
      <c r="D15" s="67">
        <v>20</v>
      </c>
      <c r="E15" s="67">
        <v>50</v>
      </c>
      <c r="F15" s="67">
        <v>10</v>
      </c>
    </row>
    <row r="16" spans="1:14" ht="15" customHeight="1" x14ac:dyDescent="0.45">
      <c r="A16" s="115"/>
      <c r="B16" s="16" t="s">
        <v>937</v>
      </c>
      <c r="D16" s="115">
        <f>D14-D15</f>
        <v>5</v>
      </c>
      <c r="E16" s="115">
        <f>E14-E15</f>
        <v>12.5</v>
      </c>
      <c r="F16" s="115">
        <f>F14-F15</f>
        <v>2.5</v>
      </c>
      <c r="G16" s="115" t="str">
        <f ca="1">_xlfn.FORMULATEXT(F16)</f>
        <v>=F14-F15</v>
      </c>
    </row>
    <row r="17" spans="1:5" ht="15" customHeight="1" x14ac:dyDescent="0.45">
      <c r="A17" s="115"/>
      <c r="B17" s="115"/>
    </row>
    <row r="18" spans="1:5" ht="15" customHeight="1" x14ac:dyDescent="0.45">
      <c r="A18" s="15" t="s">
        <v>72</v>
      </c>
      <c r="B18" s="115"/>
    </row>
    <row r="19" spans="1:5" ht="15" customHeight="1" x14ac:dyDescent="0.45">
      <c r="A19" s="115"/>
      <c r="B19" s="16" t="s">
        <v>941</v>
      </c>
    </row>
    <row r="20" spans="1:5" ht="15" customHeight="1" x14ac:dyDescent="0.45">
      <c r="A20" s="115"/>
      <c r="B20" s="16" t="s">
        <v>942</v>
      </c>
    </row>
    <row r="21" spans="1:5" ht="15" customHeight="1" x14ac:dyDescent="0.45">
      <c r="A21" s="115"/>
      <c r="B21" s="115"/>
    </row>
    <row r="22" spans="1:5" ht="15" customHeight="1" x14ac:dyDescent="0.45">
      <c r="A22" s="115"/>
      <c r="B22" s="16" t="s">
        <v>943</v>
      </c>
      <c r="D22" s="67">
        <v>200</v>
      </c>
    </row>
    <row r="23" spans="1:5" ht="15" customHeight="1" x14ac:dyDescent="0.45">
      <c r="A23" s="115"/>
      <c r="B23" s="16" t="s">
        <v>944</v>
      </c>
      <c r="D23" s="67">
        <v>3</v>
      </c>
    </row>
    <row r="24" spans="1:5" ht="15" customHeight="1" x14ac:dyDescent="0.45">
      <c r="A24" s="115"/>
      <c r="B24" s="16" t="s">
        <v>945</v>
      </c>
      <c r="D24" s="67">
        <v>100</v>
      </c>
    </row>
    <row r="25" spans="1:5" ht="15" customHeight="1" x14ac:dyDescent="0.45">
      <c r="A25" s="115"/>
      <c r="B25" s="16" t="s">
        <v>946</v>
      </c>
      <c r="D25" s="67">
        <v>80</v>
      </c>
    </row>
    <row r="26" spans="1:5" ht="15" customHeight="1" x14ac:dyDescent="0.45">
      <c r="A26" s="115"/>
      <c r="B26" s="115"/>
    </row>
    <row r="27" spans="1:5" ht="15" customHeight="1" x14ac:dyDescent="0.45">
      <c r="A27" s="115"/>
      <c r="B27" s="16" t="s">
        <v>944</v>
      </c>
      <c r="D27" s="115">
        <f>D23</f>
        <v>3</v>
      </c>
      <c r="E27" s="115" t="str">
        <f ca="1">_xlfn.FORMULATEXT(D27)</f>
        <v>=D23</v>
      </c>
    </row>
    <row r="28" spans="1:5" ht="15" customHeight="1" x14ac:dyDescent="0.45">
      <c r="A28" s="115"/>
      <c r="B28" s="16" t="s">
        <v>947</v>
      </c>
      <c r="D28" s="115">
        <f>D22/D24</f>
        <v>2</v>
      </c>
      <c r="E28" s="115" t="str">
        <f t="shared" ref="E28:E33" ca="1" si="0">_xlfn.FORMULATEXT(D28)</f>
        <v>=D22/D24</v>
      </c>
    </row>
    <row r="29" spans="1:5" ht="15" customHeight="1" x14ac:dyDescent="0.45">
      <c r="A29" s="115"/>
      <c r="B29" s="16" t="s">
        <v>948</v>
      </c>
      <c r="D29" s="115">
        <f>D28+D27</f>
        <v>5</v>
      </c>
      <c r="E29" s="115" t="str">
        <f t="shared" ca="1" si="0"/>
        <v>=D28+D27</v>
      </c>
    </row>
    <row r="30" spans="1:5" ht="15" customHeight="1" x14ac:dyDescent="0.45">
      <c r="A30" s="115"/>
      <c r="B30" s="115"/>
    </row>
    <row r="31" spans="1:5" ht="15" customHeight="1" x14ac:dyDescent="0.45">
      <c r="A31" s="115"/>
      <c r="B31" s="16" t="s">
        <v>949</v>
      </c>
      <c r="D31" s="115">
        <f>D29*D25</f>
        <v>400</v>
      </c>
      <c r="E31" s="115" t="str">
        <f t="shared" ca="1" si="0"/>
        <v>=D29*D25</v>
      </c>
    </row>
    <row r="32" spans="1:5" ht="15" customHeight="1" x14ac:dyDescent="0.45">
      <c r="A32" s="115"/>
      <c r="B32" s="115"/>
    </row>
    <row r="33" spans="1:7" ht="15" customHeight="1" x14ac:dyDescent="0.45">
      <c r="A33" s="115"/>
      <c r="B33" s="16" t="s">
        <v>950</v>
      </c>
      <c r="D33" s="115">
        <f>(D24-D25)*D29</f>
        <v>100</v>
      </c>
      <c r="E33" s="115" t="str">
        <f t="shared" ca="1" si="0"/>
        <v>=(D24-D25)*D29</v>
      </c>
    </row>
    <row r="34" spans="1:7" ht="15" customHeight="1" x14ac:dyDescent="0.45">
      <c r="A34" s="115"/>
      <c r="B34" s="115"/>
    </row>
    <row r="35" spans="1:7" ht="15" customHeight="1" x14ac:dyDescent="0.45">
      <c r="A35" s="15" t="s">
        <v>76</v>
      </c>
      <c r="B35" s="115"/>
    </row>
    <row r="36" spans="1:7" ht="15" customHeight="1" x14ac:dyDescent="0.45">
      <c r="A36" s="115"/>
      <c r="B36" s="16" t="s">
        <v>951</v>
      </c>
    </row>
    <row r="37" spans="1:7" ht="15" customHeight="1" x14ac:dyDescent="0.45">
      <c r="A37" s="115"/>
      <c r="B37" s="16" t="s">
        <v>952</v>
      </c>
    </row>
    <row r="38" spans="1:7" ht="15" customHeight="1" x14ac:dyDescent="0.45">
      <c r="A38" s="115"/>
      <c r="B38" s="115"/>
    </row>
    <row r="39" spans="1:7" ht="15" customHeight="1" x14ac:dyDescent="0.45">
      <c r="A39" s="115"/>
      <c r="B39" s="115"/>
      <c r="C39" s="16" t="s">
        <v>953</v>
      </c>
      <c r="D39" s="16" t="s">
        <v>938</v>
      </c>
      <c r="E39" s="16" t="s">
        <v>939</v>
      </c>
      <c r="F39" s="16" t="s">
        <v>940</v>
      </c>
    </row>
    <row r="40" spans="1:7" ht="15" customHeight="1" x14ac:dyDescent="0.45">
      <c r="A40" s="115"/>
      <c r="B40" s="16" t="s">
        <v>211</v>
      </c>
      <c r="D40" s="67">
        <v>100</v>
      </c>
      <c r="E40" s="67">
        <v>100</v>
      </c>
      <c r="F40" s="67">
        <v>100</v>
      </c>
    </row>
    <row r="41" spans="1:7" ht="15" customHeight="1" x14ac:dyDescent="0.45">
      <c r="A41" s="115"/>
      <c r="B41" s="16" t="s">
        <v>954</v>
      </c>
      <c r="D41" s="67">
        <v>70</v>
      </c>
      <c r="E41" s="67">
        <v>70</v>
      </c>
      <c r="F41" s="67">
        <v>70</v>
      </c>
    </row>
    <row r="42" spans="1:7" ht="15" customHeight="1" x14ac:dyDescent="0.45">
      <c r="A42" s="115"/>
      <c r="B42" s="16" t="s">
        <v>591</v>
      </c>
      <c r="D42" s="115">
        <f>D45-C45</f>
        <v>5</v>
      </c>
      <c r="E42" s="115">
        <f>E45-D45</f>
        <v>0</v>
      </c>
      <c r="F42" s="115">
        <f>F45-D45</f>
        <v>-5</v>
      </c>
      <c r="G42" s="115" t="str">
        <f ca="1">_xlfn.FORMULATEXT(F42)</f>
        <v>=F45-D45</v>
      </c>
    </row>
    <row r="43" spans="1:7" ht="15" customHeight="1" x14ac:dyDescent="0.45">
      <c r="A43" s="115"/>
      <c r="B43" s="16" t="s">
        <v>125</v>
      </c>
      <c r="D43" s="115">
        <f>D40-D41-D42</f>
        <v>25</v>
      </c>
      <c r="E43" s="115">
        <f>E40-E41-E42</f>
        <v>30</v>
      </c>
      <c r="F43" s="115">
        <f>F40-F41-F42</f>
        <v>35</v>
      </c>
      <c r="G43" s="115" t="str">
        <f ca="1">_xlfn.FORMULATEXT(F43)</f>
        <v>=F40-F41-F42</v>
      </c>
    </row>
    <row r="44" spans="1:7" ht="15" customHeight="1" x14ac:dyDescent="0.45">
      <c r="A44" s="115"/>
      <c r="B44" s="115"/>
    </row>
    <row r="45" spans="1:7" ht="15" customHeight="1" x14ac:dyDescent="0.45">
      <c r="A45" s="115"/>
      <c r="B45" s="16" t="s">
        <v>955</v>
      </c>
      <c r="C45" s="67">
        <v>0</v>
      </c>
      <c r="D45" s="67">
        <v>5</v>
      </c>
      <c r="E45" s="67">
        <v>5</v>
      </c>
      <c r="F45" s="67">
        <v>0</v>
      </c>
    </row>
    <row r="46" spans="1:7" ht="15" customHeight="1" x14ac:dyDescent="0.45">
      <c r="A46" s="115"/>
      <c r="B46" s="115"/>
    </row>
    <row r="47" spans="1:7" ht="15" customHeight="1" x14ac:dyDescent="0.45">
      <c r="A47" s="15" t="s">
        <v>79</v>
      </c>
      <c r="B47" s="115"/>
    </row>
    <row r="48" spans="1:7" ht="15" customHeight="1" x14ac:dyDescent="0.45">
      <c r="A48" s="115"/>
      <c r="B48" s="16" t="s">
        <v>956</v>
      </c>
    </row>
    <row r="49" spans="1:9" ht="15" customHeight="1" x14ac:dyDescent="0.45">
      <c r="A49" s="115"/>
      <c r="B49" s="16" t="s">
        <v>957</v>
      </c>
    </row>
    <row r="50" spans="1:9" ht="15" customHeight="1" x14ac:dyDescent="0.45">
      <c r="A50" s="115"/>
      <c r="B50" s="16" t="s">
        <v>958</v>
      </c>
    </row>
    <row r="51" spans="1:9" ht="15" customHeight="1" x14ac:dyDescent="0.45">
      <c r="A51" s="115"/>
      <c r="B51" s="115"/>
    </row>
    <row r="52" spans="1:9" ht="15" customHeight="1" x14ac:dyDescent="0.45">
      <c r="A52" s="115"/>
      <c r="B52" s="99" t="s">
        <v>959</v>
      </c>
    </row>
    <row r="53" spans="1:9" ht="15" customHeight="1" x14ac:dyDescent="0.45">
      <c r="A53" s="115"/>
      <c r="B53" s="115"/>
      <c r="C53" s="115" t="s">
        <v>960</v>
      </c>
      <c r="D53" s="115" t="s">
        <v>961</v>
      </c>
      <c r="E53" s="115" t="s">
        <v>962</v>
      </c>
      <c r="F53" s="115" t="s">
        <v>963</v>
      </c>
      <c r="G53" s="115" t="s">
        <v>391</v>
      </c>
      <c r="H53" s="115" t="s">
        <v>964</v>
      </c>
    </row>
    <row r="54" spans="1:9" ht="15" customHeight="1" x14ac:dyDescent="0.45">
      <c r="A54" s="115"/>
      <c r="B54" s="16" t="s">
        <v>965</v>
      </c>
      <c r="C54" s="67">
        <v>500</v>
      </c>
      <c r="D54" s="67">
        <v>90</v>
      </c>
      <c r="G54" s="115">
        <v>-5</v>
      </c>
      <c r="H54" s="115">
        <f>SUM(C54:G54)</f>
        <v>585</v>
      </c>
      <c r="I54" s="115" t="str">
        <f ca="1">_xlfn.FORMULATEXT(H54)</f>
        <v>=SUM(C54:G54)</v>
      </c>
    </row>
    <row r="55" spans="1:9" ht="15" customHeight="1" x14ac:dyDescent="0.45">
      <c r="A55" s="115"/>
      <c r="B55" s="16" t="s">
        <v>966</v>
      </c>
      <c r="C55" s="67">
        <v>500</v>
      </c>
      <c r="D55" s="67">
        <v>10</v>
      </c>
      <c r="G55" s="115">
        <f>F58+F59+E59-G54</f>
        <v>20</v>
      </c>
      <c r="H55" s="115">
        <f>SUM(C55:G55)</f>
        <v>530</v>
      </c>
      <c r="I55" s="115" t="str">
        <f t="shared" ref="I55:I67" ca="1" si="1">_xlfn.FORMULATEXT(H55)</f>
        <v>=SUM(C55:G55)</v>
      </c>
    </row>
    <row r="56" spans="1:9" ht="15" customHeight="1" x14ac:dyDescent="0.45">
      <c r="A56" s="115"/>
      <c r="B56" s="16" t="s">
        <v>209</v>
      </c>
      <c r="C56" s="115">
        <f>SUM(C54:C55)</f>
        <v>1000</v>
      </c>
      <c r="D56" s="115">
        <f>SUM(D54:D55)</f>
        <v>100</v>
      </c>
      <c r="H56" s="115">
        <f>H54+H55</f>
        <v>1115</v>
      </c>
      <c r="I56" s="115" t="str">
        <f t="shared" ca="1" si="1"/>
        <v>=H54+H55</v>
      </c>
    </row>
    <row r="57" spans="1:9" ht="15" customHeight="1" x14ac:dyDescent="0.45">
      <c r="A57" s="115"/>
      <c r="B57" s="115"/>
    </row>
    <row r="58" spans="1:9" ht="15" customHeight="1" x14ac:dyDescent="0.45">
      <c r="A58" s="115"/>
      <c r="B58" s="16" t="s">
        <v>69</v>
      </c>
      <c r="C58" s="67">
        <v>500</v>
      </c>
      <c r="D58" s="67">
        <v>60</v>
      </c>
      <c r="F58" s="115">
        <v>5</v>
      </c>
      <c r="H58" s="115">
        <f>SUM(C58:G58)</f>
        <v>565</v>
      </c>
      <c r="I58" s="115" t="str">
        <f t="shared" ca="1" si="1"/>
        <v>=SUM(C58:G58)</v>
      </c>
    </row>
    <row r="59" spans="1:9" ht="15" customHeight="1" x14ac:dyDescent="0.45">
      <c r="A59" s="115"/>
      <c r="B59" s="16" t="s">
        <v>71</v>
      </c>
      <c r="C59" s="67">
        <v>500</v>
      </c>
      <c r="D59" s="67">
        <v>40</v>
      </c>
      <c r="E59" s="115">
        <f>-D59</f>
        <v>-40</v>
      </c>
      <c r="F59" s="115">
        <v>50</v>
      </c>
      <c r="H59" s="115">
        <f>SUM(C59:G59)</f>
        <v>550</v>
      </c>
      <c r="I59" s="115" t="str">
        <f t="shared" ca="1" si="1"/>
        <v>=SUM(C59:G59)</v>
      </c>
    </row>
    <row r="60" spans="1:9" ht="15" customHeight="1" x14ac:dyDescent="0.45">
      <c r="A60" s="115"/>
      <c r="B60" s="16" t="s">
        <v>967</v>
      </c>
      <c r="C60" s="115">
        <f>C58+C59</f>
        <v>1000</v>
      </c>
      <c r="D60" s="115">
        <f>D58+D59</f>
        <v>100</v>
      </c>
      <c r="H60" s="115">
        <f>H58+H59</f>
        <v>1115</v>
      </c>
      <c r="I60" s="115" t="str">
        <f t="shared" ca="1" si="1"/>
        <v>=H58+H59</v>
      </c>
    </row>
    <row r="61" spans="1:9" ht="15" customHeight="1" x14ac:dyDescent="0.45">
      <c r="A61" s="115"/>
      <c r="B61" s="115"/>
    </row>
    <row r="62" spans="1:9" ht="15" customHeight="1" x14ac:dyDescent="0.45">
      <c r="A62" s="115"/>
      <c r="B62" s="99" t="s">
        <v>968</v>
      </c>
    </row>
    <row r="63" spans="1:9" ht="15" customHeight="1" x14ac:dyDescent="0.45">
      <c r="A63" s="115"/>
      <c r="B63" s="115"/>
      <c r="C63" s="115" t="s">
        <v>960</v>
      </c>
      <c r="D63" s="115" t="s">
        <v>961</v>
      </c>
      <c r="E63" s="115" t="s">
        <v>964</v>
      </c>
      <c r="G63" s="115" t="s">
        <v>969</v>
      </c>
    </row>
    <row r="64" spans="1:9" ht="15" customHeight="1" x14ac:dyDescent="0.45">
      <c r="A64" s="115"/>
      <c r="B64" s="16" t="s">
        <v>211</v>
      </c>
      <c r="C64" s="67">
        <v>80</v>
      </c>
      <c r="D64" s="67">
        <v>30</v>
      </c>
      <c r="E64" s="115">
        <f>SUM(C64:D64)</f>
        <v>110</v>
      </c>
      <c r="F64" s="115" t="str">
        <f>[1]!FR(E64)</f>
        <v>=SUM(C64:D64)</v>
      </c>
      <c r="H64" s="115">
        <f>E64+G64</f>
        <v>110</v>
      </c>
      <c r="I64" s="115" t="str">
        <f t="shared" ca="1" si="1"/>
        <v>=E64+G64</v>
      </c>
    </row>
    <row r="65" spans="1:9" ht="15" customHeight="1" x14ac:dyDescent="0.45">
      <c r="A65" s="115"/>
      <c r="B65" s="16" t="s">
        <v>949</v>
      </c>
      <c r="C65" s="67">
        <v>20</v>
      </c>
      <c r="D65" s="67">
        <v>10</v>
      </c>
      <c r="E65" s="115">
        <f>SUM(C65:D65)</f>
        <v>30</v>
      </c>
      <c r="F65" s="115" t="str">
        <f>[1]!FR(E65)</f>
        <v>=SUM(C65:D65)</v>
      </c>
      <c r="G65" s="115">
        <f>G54</f>
        <v>-5</v>
      </c>
      <c r="H65" s="115">
        <f t="shared" ref="H65:H66" si="2">E65+G65</f>
        <v>25</v>
      </c>
      <c r="I65" s="115" t="str">
        <f t="shared" ca="1" si="1"/>
        <v>=E65+G65</v>
      </c>
    </row>
    <row r="66" spans="1:9" ht="15" customHeight="1" x14ac:dyDescent="0.45">
      <c r="A66" s="115"/>
      <c r="B66" s="16" t="s">
        <v>218</v>
      </c>
      <c r="C66" s="67">
        <v>10</v>
      </c>
      <c r="D66" s="67">
        <v>5</v>
      </c>
      <c r="E66" s="115">
        <f>SUM(C66:D66)</f>
        <v>15</v>
      </c>
      <c r="F66" s="115" t="str">
        <f>[1]!FR(E66)</f>
        <v>=SUM(C66:D66)</v>
      </c>
      <c r="G66" s="115">
        <f>-F58</f>
        <v>-5</v>
      </c>
      <c r="H66" s="115">
        <f t="shared" si="2"/>
        <v>10</v>
      </c>
      <c r="I66" s="115" t="str">
        <f t="shared" ca="1" si="1"/>
        <v>=E66+G66</v>
      </c>
    </row>
    <row r="67" spans="1:9" ht="15" customHeight="1" x14ac:dyDescent="0.45">
      <c r="A67" s="115"/>
      <c r="B67" s="16" t="s">
        <v>125</v>
      </c>
      <c r="C67" s="115">
        <f>C64-C65-C66</f>
        <v>50</v>
      </c>
      <c r="D67" s="115">
        <f>D64-D65-D66</f>
        <v>15</v>
      </c>
      <c r="E67" s="115">
        <f>E64-E65-E66</f>
        <v>65</v>
      </c>
      <c r="F67" s="115" t="str">
        <f>[1]!FR(E67)</f>
        <v>=E64-E65-E66</v>
      </c>
      <c r="H67" s="115">
        <f>H64-H65-H66</f>
        <v>75</v>
      </c>
      <c r="I67" s="115" t="str">
        <f t="shared" ca="1" si="1"/>
        <v>=H64-H65-H66</v>
      </c>
    </row>
    <row r="68" spans="1:9" ht="15" customHeight="1" x14ac:dyDescent="0.45">
      <c r="A68" s="115"/>
      <c r="B68" s="115"/>
    </row>
    <row r="69" spans="1:9" ht="15" customHeight="1" x14ac:dyDescent="0.45">
      <c r="A69" s="115"/>
      <c r="B69" s="115"/>
    </row>
    <row r="70" spans="1:9" ht="15" customHeight="1" x14ac:dyDescent="0.45">
      <c r="A70" s="15" t="s">
        <v>116</v>
      </c>
      <c r="B70" s="115"/>
    </row>
    <row r="71" spans="1:9" ht="14.25" x14ac:dyDescent="0.45">
      <c r="A71" s="115"/>
      <c r="B71" s="115"/>
    </row>
    <row r="72" spans="1:9" ht="14.25" x14ac:dyDescent="0.45">
      <c r="A72" s="115"/>
      <c r="B72" s="115"/>
    </row>
    <row r="73" spans="1:9" ht="14.25" x14ac:dyDescent="0.45">
      <c r="A73" s="115"/>
      <c r="B73" s="115"/>
    </row>
    <row r="74" spans="1:9" ht="14.25" x14ac:dyDescent="0.45">
      <c r="A74" s="115"/>
      <c r="B74" s="115"/>
    </row>
    <row r="75" spans="1:9" ht="14.25" x14ac:dyDescent="0.45">
      <c r="A75" s="115"/>
      <c r="B75" s="115"/>
    </row>
    <row r="76" spans="1:9" ht="14.25" x14ac:dyDescent="0.45">
      <c r="A76" s="115"/>
      <c r="B76" s="115"/>
    </row>
    <row r="77" spans="1:9" ht="14.25" x14ac:dyDescent="0.45">
      <c r="A77" s="115"/>
      <c r="B77" s="115"/>
    </row>
    <row r="78" spans="1:9" ht="14.25" x14ac:dyDescent="0.45">
      <c r="A78" s="115"/>
      <c r="B78" s="115"/>
    </row>
    <row r="79" spans="1:9" ht="14.25" x14ac:dyDescent="0.45">
      <c r="A79" s="115"/>
      <c r="B79" s="115"/>
    </row>
    <row r="80" spans="1:9" ht="14.25" x14ac:dyDescent="0.45">
      <c r="A80" s="115"/>
      <c r="B80" s="115"/>
    </row>
    <row r="81" s="115" customFormat="1" ht="14.25" x14ac:dyDescent="0.45"/>
    <row r="82" s="115" customFormat="1" ht="14.25" x14ac:dyDescent="0.45"/>
    <row r="83" s="115" customFormat="1" ht="14.25" x14ac:dyDescent="0.45"/>
    <row r="84" s="115" customFormat="1" ht="14.25" x14ac:dyDescent="0.45"/>
    <row r="85" s="115" customFormat="1" ht="14.25" x14ac:dyDescent="0.45"/>
    <row r="86" s="115" customFormat="1" ht="14.25" x14ac:dyDescent="0.45"/>
    <row r="87" s="115" customFormat="1" ht="14.25" x14ac:dyDescent="0.45"/>
    <row r="88" s="115" customFormat="1" ht="14.25" x14ac:dyDescent="0.45"/>
    <row r="89" s="115" customFormat="1" ht="14.25" x14ac:dyDescent="0.45"/>
    <row r="90" s="115" customFormat="1" ht="14.25" x14ac:dyDescent="0.45"/>
    <row r="91" s="115" customFormat="1" ht="14.25" x14ac:dyDescent="0.45"/>
    <row r="92" s="115" customFormat="1" ht="14.25" x14ac:dyDescent="0.45"/>
    <row r="93" s="115" customFormat="1" ht="14.25" x14ac:dyDescent="0.45"/>
    <row r="94" s="115" customFormat="1" ht="14.25" x14ac:dyDescent="0.45"/>
    <row r="95" s="115" customFormat="1" ht="14.25" x14ac:dyDescent="0.45"/>
    <row r="96" s="115" customFormat="1" ht="14.25" x14ac:dyDescent="0.45"/>
    <row r="97" s="115" customFormat="1" ht="14.25" x14ac:dyDescent="0.45"/>
    <row r="98" s="115" customFormat="1" ht="14.25" x14ac:dyDescent="0.45"/>
    <row r="99" s="115" customFormat="1" ht="14.25" x14ac:dyDescent="0.45"/>
    <row r="100" s="115" customFormat="1" ht="14.25" x14ac:dyDescent="0.45"/>
    <row r="101" s="115" customFormat="1" ht="14.25" x14ac:dyDescent="0.45"/>
    <row r="102" s="115" customFormat="1" ht="14.25" x14ac:dyDescent="0.45"/>
    <row r="103" s="115" customFormat="1" ht="14.25" x14ac:dyDescent="0.45"/>
    <row r="104" s="115" customFormat="1" ht="14.25" x14ac:dyDescent="0.45"/>
    <row r="105" s="115" customFormat="1" ht="14.25" x14ac:dyDescent="0.45"/>
    <row r="106" s="115" customFormat="1" ht="14.25" x14ac:dyDescent="0.45"/>
    <row r="107" s="115" customFormat="1" ht="14.25" x14ac:dyDescent="0.45"/>
    <row r="108" s="115" customFormat="1" ht="14.25" x14ac:dyDescent="0.45"/>
    <row r="109" s="115" customFormat="1" ht="14.25" x14ac:dyDescent="0.45"/>
    <row r="110" s="115" customFormat="1" ht="14.25" x14ac:dyDescent="0.45"/>
    <row r="111" s="115" customFormat="1" ht="14.25" x14ac:dyDescent="0.45"/>
    <row r="112" s="115" customFormat="1" ht="14.25" x14ac:dyDescent="0.45"/>
    <row r="113" s="115" customFormat="1" ht="14.25" x14ac:dyDescent="0.45"/>
    <row r="114" s="115" customFormat="1" ht="14.25" x14ac:dyDescent="0.45"/>
    <row r="115" s="115" customFormat="1" ht="14.25" x14ac:dyDescent="0.45"/>
    <row r="116" s="115" customFormat="1" ht="14.25" x14ac:dyDescent="0.45"/>
    <row r="117" s="115" customFormat="1" ht="14.25" x14ac:dyDescent="0.45"/>
    <row r="118" s="115" customFormat="1" ht="14.25" x14ac:dyDescent="0.45"/>
    <row r="119" s="115" customFormat="1" ht="14.25" x14ac:dyDescent="0.45"/>
    <row r="120" s="115" customFormat="1" ht="14.25" x14ac:dyDescent="0.45"/>
    <row r="121" s="115" customFormat="1" ht="14.25" x14ac:dyDescent="0.45"/>
    <row r="122" s="115" customFormat="1" ht="14.25" x14ac:dyDescent="0.45"/>
    <row r="123" s="115" customFormat="1" ht="14.25" x14ac:dyDescent="0.45"/>
    <row r="124" s="115" customFormat="1" ht="14.25" x14ac:dyDescent="0.45"/>
    <row r="125" s="115" customFormat="1" ht="14.25" x14ac:dyDescent="0.45"/>
    <row r="126" s="115" customFormat="1" ht="14.25" x14ac:dyDescent="0.45"/>
    <row r="127" s="115" customFormat="1" ht="14.25" x14ac:dyDescent="0.45"/>
    <row r="128" s="115" customFormat="1" ht="14.25" x14ac:dyDescent="0.45"/>
    <row r="129" s="115" customFormat="1" ht="14.25" x14ac:dyDescent="0.45"/>
    <row r="130" s="115" customFormat="1" ht="14.25" x14ac:dyDescent="0.45"/>
    <row r="131" s="115" customFormat="1" ht="14.25" x14ac:dyDescent="0.45"/>
    <row r="132" s="115" customFormat="1" ht="14.25" x14ac:dyDescent="0.45"/>
    <row r="133" s="115" customFormat="1" ht="14.25" x14ac:dyDescent="0.45"/>
    <row r="134" s="115" customFormat="1" ht="14.25" x14ac:dyDescent="0.45"/>
    <row r="135" s="115" customFormat="1" ht="14.25" x14ac:dyDescent="0.45"/>
    <row r="136" s="115" customFormat="1" ht="14.25" x14ac:dyDescent="0.45"/>
    <row r="137" s="115" customFormat="1" ht="14.25" x14ac:dyDescent="0.45"/>
    <row r="138" s="115" customFormat="1" ht="14.25" x14ac:dyDescent="0.45"/>
    <row r="139" s="115" customFormat="1" ht="14.25" x14ac:dyDescent="0.45"/>
    <row r="140" s="115" customFormat="1" ht="14.25" x14ac:dyDescent="0.45"/>
    <row r="141" s="115" customFormat="1" ht="14.25" x14ac:dyDescent="0.45"/>
    <row r="142" s="115" customFormat="1" ht="14.25" x14ac:dyDescent="0.45"/>
    <row r="143" s="115" customFormat="1" ht="14.25" x14ac:dyDescent="0.45"/>
    <row r="144" s="115" customFormat="1" ht="14.25" x14ac:dyDescent="0.45"/>
    <row r="145" s="115" customFormat="1" ht="14.25" x14ac:dyDescent="0.45"/>
    <row r="146" s="115" customFormat="1" ht="14.25" x14ac:dyDescent="0.45"/>
    <row r="147" s="115" customFormat="1" ht="14.25" x14ac:dyDescent="0.45"/>
    <row r="148" s="115" customFormat="1" ht="14.25" x14ac:dyDescent="0.45"/>
    <row r="149" s="115" customFormat="1" ht="14.25" x14ac:dyDescent="0.45"/>
    <row r="150" s="115" customFormat="1" ht="14.25" x14ac:dyDescent="0.45"/>
    <row r="151" s="115" customFormat="1" ht="14.25" x14ac:dyDescent="0.45"/>
    <row r="152" s="115" customFormat="1" ht="14.25" x14ac:dyDescent="0.45"/>
    <row r="153" s="115" customFormat="1" ht="14.25" x14ac:dyDescent="0.45"/>
    <row r="154" s="115" customFormat="1" ht="14.25" x14ac:dyDescent="0.45"/>
    <row r="155" s="115" customFormat="1" ht="14.25" x14ac:dyDescent="0.45"/>
    <row r="156" s="115" customFormat="1" ht="14.25" x14ac:dyDescent="0.45"/>
    <row r="157" s="115" customFormat="1" ht="14.25" x14ac:dyDescent="0.45"/>
    <row r="158" s="115" customFormat="1" ht="14.25" x14ac:dyDescent="0.45"/>
    <row r="159" s="115" customFormat="1" ht="14.25" x14ac:dyDescent="0.45"/>
    <row r="160" s="115" customFormat="1" ht="14.25" x14ac:dyDescent="0.45"/>
    <row r="161" s="115" customFormat="1" ht="14.25" x14ac:dyDescent="0.45"/>
    <row r="162" s="115" customFormat="1" ht="14.25" x14ac:dyDescent="0.45"/>
    <row r="163" s="115" customFormat="1" ht="14.25" x14ac:dyDescent="0.45"/>
    <row r="164" s="115" customFormat="1" ht="14.25" x14ac:dyDescent="0.45"/>
    <row r="165" s="115" customFormat="1" ht="14.25" x14ac:dyDescent="0.45"/>
    <row r="166" s="115" customFormat="1" ht="14.25" x14ac:dyDescent="0.45"/>
    <row r="167" s="115" customFormat="1" ht="14.25" x14ac:dyDescent="0.45"/>
    <row r="168" s="115" customFormat="1" ht="14.25" x14ac:dyDescent="0.45"/>
    <row r="169" s="115" customFormat="1" ht="14.25" x14ac:dyDescent="0.45"/>
    <row r="170" s="115" customFormat="1" ht="14.25" x14ac:dyDescent="0.45"/>
    <row r="171" s="115" customFormat="1" ht="14.25" x14ac:dyDescent="0.45"/>
    <row r="172" s="115" customFormat="1" ht="14.25" x14ac:dyDescent="0.45"/>
    <row r="173" s="115" customFormat="1" ht="14.25" x14ac:dyDescent="0.45"/>
    <row r="174" s="115" customFormat="1" ht="14.25" x14ac:dyDescent="0.45"/>
    <row r="175" s="115" customFormat="1" ht="14.25" x14ac:dyDescent="0.45"/>
    <row r="176" s="115" customFormat="1" ht="14.25" x14ac:dyDescent="0.45"/>
    <row r="177" s="115" customFormat="1" ht="14.25" x14ac:dyDescent="0.45"/>
    <row r="178" s="115" customFormat="1" ht="14.25" x14ac:dyDescent="0.45"/>
    <row r="179" s="115" customFormat="1" ht="14.25" x14ac:dyDescent="0.45"/>
    <row r="180" s="115" customFormat="1" ht="14.25" x14ac:dyDescent="0.45"/>
    <row r="181" s="115" customFormat="1" ht="14.25" x14ac:dyDescent="0.45"/>
    <row r="182" s="115" customFormat="1" ht="14.25" x14ac:dyDescent="0.45"/>
    <row r="183" s="115" customFormat="1" ht="14.25" x14ac:dyDescent="0.45"/>
    <row r="184" s="115" customFormat="1" ht="14.25" x14ac:dyDescent="0.45"/>
    <row r="185" s="115" customFormat="1" ht="14.25" x14ac:dyDescent="0.45"/>
    <row r="186" s="115" customFormat="1" ht="14.25" x14ac:dyDescent="0.45"/>
    <row r="187" s="115" customFormat="1" ht="14.25" x14ac:dyDescent="0.45"/>
    <row r="188" s="115" customFormat="1" ht="14.25" x14ac:dyDescent="0.45"/>
    <row r="189" s="115" customFormat="1" ht="14.25" x14ac:dyDescent="0.45"/>
    <row r="190" s="115" customFormat="1" ht="14.25" x14ac:dyDescent="0.45"/>
    <row r="191" s="115" customFormat="1" ht="14.25" x14ac:dyDescent="0.45"/>
    <row r="192" s="115" customFormat="1" ht="14.25" x14ac:dyDescent="0.45"/>
    <row r="193" s="115" customFormat="1" ht="14.25" x14ac:dyDescent="0.45"/>
    <row r="194" s="115" customFormat="1" ht="14.25" x14ac:dyDescent="0.45"/>
    <row r="195" s="115" customFormat="1" ht="14.25" x14ac:dyDescent="0.45"/>
    <row r="196" s="115" customFormat="1" ht="14.25" x14ac:dyDescent="0.45"/>
    <row r="197" s="115" customFormat="1" ht="14.25" x14ac:dyDescent="0.45"/>
    <row r="198" s="115" customFormat="1" ht="14.25" x14ac:dyDescent="0.45"/>
    <row r="199" s="115" customFormat="1" ht="14.25" x14ac:dyDescent="0.45"/>
    <row r="200" s="115" customFormat="1" ht="14.25" x14ac:dyDescent="0.45"/>
  </sheetData>
  <printOptions headings="1" gridLines="1"/>
  <pageMargins left="0.7" right="0.7" top="0.75" bottom="0.75" header="0.3" footer="0.3"/>
  <pageSetup paperSize="9" scale="74" fitToHeight="0" orientation="landscape" r:id="rId1"/>
  <rowBreaks count="1" manualBreakCount="1">
    <brk id="34" max="1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86BDC-376F-4F04-8A72-099BEEEDC4D3}">
  <sheetPr>
    <pageSetUpPr fitToPage="1"/>
  </sheetPr>
  <dimension ref="A1:N189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3.796875" style="16" customWidth="1"/>
    <col min="3" max="6" width="11" customWidth="1"/>
    <col min="7" max="7" width="11.1328125" customWidth="1"/>
    <col min="8" max="8" width="11" customWidth="1"/>
    <col min="11" max="11" width="15.1328125" customWidth="1"/>
  </cols>
  <sheetData>
    <row r="1" spans="1:14" s="51" customFormat="1" ht="45" customHeight="1" x14ac:dyDescent="0.85">
      <c r="A1" s="5" t="str">
        <f>Welcome!A2</f>
        <v>Forensic Accounting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37" customFormat="1" ht="30" customHeight="1" x14ac:dyDescent="0.65">
      <c r="A2" s="14" t="s">
        <v>210</v>
      </c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/>
      <c r="B3"/>
    </row>
    <row r="4" spans="1:14" ht="15" customHeight="1" x14ac:dyDescent="0.45">
      <c r="A4" s="15" t="s">
        <v>66</v>
      </c>
      <c r="B4"/>
    </row>
    <row r="5" spans="1:14" ht="15" customHeight="1" x14ac:dyDescent="0.45">
      <c r="A5"/>
      <c r="B5" s="16" t="s">
        <v>226</v>
      </c>
    </row>
    <row r="6" spans="1:14" ht="15" customHeight="1" x14ac:dyDescent="0.45">
      <c r="A6"/>
      <c r="B6"/>
    </row>
    <row r="7" spans="1:14" ht="15" customHeight="1" x14ac:dyDescent="0.45">
      <c r="A7"/>
      <c r="B7" s="16" t="s">
        <v>210</v>
      </c>
    </row>
    <row r="8" spans="1:14" ht="15" customHeight="1" x14ac:dyDescent="0.45">
      <c r="A8"/>
      <c r="B8" s="16" t="s">
        <v>232</v>
      </c>
    </row>
    <row r="9" spans="1:14" ht="15" customHeight="1" x14ac:dyDescent="0.45">
      <c r="A9"/>
      <c r="B9" s="16" t="s">
        <v>231</v>
      </c>
    </row>
    <row r="10" spans="1:14" ht="15" customHeight="1" x14ac:dyDescent="0.45">
      <c r="A10"/>
      <c r="B10" s="16" t="s">
        <v>230</v>
      </c>
    </row>
    <row r="11" spans="1:14" ht="15" customHeight="1" x14ac:dyDescent="0.45">
      <c r="A11"/>
      <c r="B11"/>
    </row>
    <row r="12" spans="1:14" ht="15" customHeight="1" x14ac:dyDescent="0.45">
      <c r="A12"/>
      <c r="B12"/>
      <c r="C12" s="70">
        <v>41537</v>
      </c>
      <c r="D12" s="70">
        <v>41902</v>
      </c>
      <c r="E12" s="70">
        <v>42267</v>
      </c>
      <c r="F12" s="70">
        <v>42633</v>
      </c>
      <c r="G12" s="70">
        <v>42998</v>
      </c>
    </row>
    <row r="13" spans="1:14" ht="15" customHeight="1" x14ac:dyDescent="0.45">
      <c r="A13"/>
      <c r="B13" s="16" t="s">
        <v>211</v>
      </c>
      <c r="C13" s="67">
        <v>60112</v>
      </c>
      <c r="D13" s="67">
        <v>76641</v>
      </c>
      <c r="E13" s="67">
        <v>91925</v>
      </c>
      <c r="F13" s="67">
        <v>104141</v>
      </c>
      <c r="G13" s="67">
        <v>114197</v>
      </c>
    </row>
    <row r="14" spans="1:14" ht="15" customHeight="1" x14ac:dyDescent="0.45">
      <c r="A14"/>
      <c r="B14" s="16" t="s">
        <v>217</v>
      </c>
      <c r="C14" s="67">
        <v>-13148</v>
      </c>
      <c r="D14" s="67">
        <v>-17363</v>
      </c>
      <c r="E14" s="67">
        <v>-20884</v>
      </c>
      <c r="F14" s="67">
        <v>-22832</v>
      </c>
      <c r="G14" s="67">
        <v>-24931</v>
      </c>
    </row>
    <row r="15" spans="1:14" ht="15" customHeight="1" x14ac:dyDescent="0.45">
      <c r="A15"/>
      <c r="B15" s="16" t="s">
        <v>218</v>
      </c>
      <c r="C15" s="67">
        <v>-37379</v>
      </c>
      <c r="D15" s="67">
        <v>-48007</v>
      </c>
      <c r="E15" s="67">
        <v>-56457</v>
      </c>
      <c r="F15" s="67">
        <v>-64099</v>
      </c>
      <c r="G15" s="67">
        <v>-69121</v>
      </c>
    </row>
    <row r="16" spans="1:14" ht="15" customHeight="1" x14ac:dyDescent="0.45">
      <c r="A16"/>
      <c r="B16" s="16" t="s">
        <v>125</v>
      </c>
      <c r="C16">
        <f>SUM(C13:C15)</f>
        <v>9585</v>
      </c>
      <c r="D16">
        <f>SUM(D13:D15)</f>
        <v>11271</v>
      </c>
      <c r="E16">
        <f>SUM(E13:E15)</f>
        <v>14584</v>
      </c>
      <c r="F16">
        <f>SUM(F13:F15)</f>
        <v>17210</v>
      </c>
      <c r="G16">
        <f>SUM(G13:G15)</f>
        <v>20145</v>
      </c>
      <c r="H16" t="str">
        <f ca="1">_xlfn.FORMULATEXT(G16)</f>
        <v>=SUM(G13:G15)</v>
      </c>
    </row>
    <row r="17" spans="1:10" ht="15" customHeight="1" x14ac:dyDescent="0.45">
      <c r="A17"/>
      <c r="B17"/>
    </row>
    <row r="18" spans="1:10" ht="15" customHeight="1" x14ac:dyDescent="0.45">
      <c r="A18"/>
      <c r="B18" s="16" t="s">
        <v>220</v>
      </c>
      <c r="C18" s="80">
        <f>SUM(C13:C14)/C13</f>
        <v>0.78127495342028219</v>
      </c>
      <c r="D18" s="80">
        <f>SUM(D13:D14)/D13</f>
        <v>0.77345024203755175</v>
      </c>
      <c r="E18" s="80">
        <f>SUM(E13:E14)/E13</f>
        <v>0.7728147946695676</v>
      </c>
      <c r="F18" s="80">
        <f>SUM(F13:F14)/F13</f>
        <v>0.7807587789631365</v>
      </c>
      <c r="G18" s="80">
        <f>SUM(G13:G14)/G13</f>
        <v>0.78168428242423182</v>
      </c>
      <c r="H18" t="str">
        <f ca="1">_xlfn.FORMULATEXT(G18)</f>
        <v>=SUM(G13:G14)/G13</v>
      </c>
    </row>
    <row r="19" spans="1:10" ht="15" customHeight="1" x14ac:dyDescent="0.45">
      <c r="A19"/>
      <c r="B19" s="16" t="s">
        <v>221</v>
      </c>
      <c r="C19" s="80">
        <f>C16/C13</f>
        <v>0.15945235560287463</v>
      </c>
      <c r="D19" s="80">
        <f>D16/D13</f>
        <v>0.1470622773711199</v>
      </c>
      <c r="E19" s="80">
        <f>E16/E13</f>
        <v>0.15865107424530867</v>
      </c>
      <c r="F19" s="80">
        <f>F16/F13</f>
        <v>0.16525671925562457</v>
      </c>
      <c r="G19" s="80">
        <f>G16/G13</f>
        <v>0.17640568491291364</v>
      </c>
      <c r="H19" t="str">
        <f ca="1">_xlfn.FORMULATEXT(G19)</f>
        <v>=G16/G13</v>
      </c>
    </row>
    <row r="20" spans="1:10" ht="15" customHeight="1" x14ac:dyDescent="0.45">
      <c r="A20"/>
      <c r="B20"/>
    </row>
    <row r="21" spans="1:10" ht="15" customHeight="1" x14ac:dyDescent="0.45">
      <c r="A21"/>
      <c r="B21" s="16" t="s">
        <v>225</v>
      </c>
    </row>
    <row r="22" spans="1:10" ht="15" customHeight="1" x14ac:dyDescent="0.45">
      <c r="A22"/>
      <c r="B22" s="16" t="s">
        <v>227</v>
      </c>
    </row>
    <row r="23" spans="1:10" ht="15" customHeight="1" x14ac:dyDescent="0.45">
      <c r="A23"/>
      <c r="B23" s="16" t="s">
        <v>228</v>
      </c>
    </row>
    <row r="24" spans="1:10" ht="15" customHeight="1" x14ac:dyDescent="0.45">
      <c r="A24"/>
      <c r="B24" s="16" t="s">
        <v>229</v>
      </c>
    </row>
    <row r="25" spans="1:10" ht="15" customHeight="1" x14ac:dyDescent="0.45">
      <c r="A25"/>
      <c r="B25"/>
    </row>
    <row r="26" spans="1:10" s="32" customFormat="1" ht="15" customHeight="1" x14ac:dyDescent="0.45">
      <c r="A26"/>
      <c r="B26"/>
      <c r="C26" s="82">
        <v>41517</v>
      </c>
      <c r="D26" s="82">
        <v>41882</v>
      </c>
      <c r="E26" s="82">
        <v>42247</v>
      </c>
      <c r="F26" s="82">
        <v>42613</v>
      </c>
      <c r="G26" s="82">
        <v>42978</v>
      </c>
      <c r="H26"/>
      <c r="I26"/>
      <c r="J26"/>
    </row>
    <row r="27" spans="1:10" s="32" customFormat="1" ht="15" customHeight="1" x14ac:dyDescent="0.45">
      <c r="A27"/>
      <c r="B27" s="69" t="s">
        <v>211</v>
      </c>
      <c r="C27"/>
      <c r="D27"/>
      <c r="E27" s="67">
        <f>18339583/1000</f>
        <v>18339.582999999999</v>
      </c>
      <c r="F27" s="67">
        <f>21852756/1000</f>
        <v>21852.756000000001</v>
      </c>
      <c r="G27" s="67">
        <f>22747306/1000</f>
        <v>22747.306</v>
      </c>
      <c r="H27"/>
      <c r="I27"/>
      <c r="J27"/>
    </row>
    <row r="28" spans="1:10" s="32" customFormat="1" ht="15" customHeight="1" x14ac:dyDescent="0.45">
      <c r="A28"/>
      <c r="B28" s="69" t="s">
        <v>217</v>
      </c>
      <c r="C28"/>
      <c r="D28"/>
      <c r="E28" s="67">
        <f>-10243525/1000</f>
        <v>-10243.525</v>
      </c>
      <c r="F28" s="67">
        <f>-11922943/1000</f>
        <v>-11922.942999999999</v>
      </c>
      <c r="G28" s="67">
        <f>-11999169/1000</f>
        <v>-11999.169</v>
      </c>
      <c r="H28"/>
      <c r="I28"/>
      <c r="J28"/>
    </row>
    <row r="29" spans="1:10" s="32" customFormat="1" ht="15" customHeight="1" x14ac:dyDescent="0.45">
      <c r="A29"/>
      <c r="B29" s="69" t="s">
        <v>218</v>
      </c>
      <c r="C29"/>
      <c r="D29"/>
      <c r="E29" s="67">
        <f>-7966780/1000</f>
        <v>-7966.78</v>
      </c>
      <c r="F29" s="67">
        <f>-9727475/1000</f>
        <v>-9727.4750000000004</v>
      </c>
      <c r="G29" s="67">
        <f>-10533101/1000</f>
        <v>-10533.101000000001</v>
      </c>
      <c r="H29"/>
      <c r="I29"/>
      <c r="J29"/>
    </row>
    <row r="30" spans="1:10" s="32" customFormat="1" ht="15" customHeight="1" x14ac:dyDescent="0.45">
      <c r="A30"/>
      <c r="B30" s="69" t="s">
        <v>125</v>
      </c>
      <c r="C30"/>
      <c r="D30"/>
      <c r="E30" s="32">
        <f>SUM(E27:E29)</f>
        <v>129.27799999999934</v>
      </c>
      <c r="F30" s="32">
        <f>SUM(F27:F29)</f>
        <v>202.33800000000156</v>
      </c>
      <c r="G30" s="32">
        <f>SUM(G27:G29)</f>
        <v>215.03600000000006</v>
      </c>
      <c r="H30" t="str">
        <f ca="1">_xlfn.FORMULATEXT(G30)</f>
        <v>=SUM(G27:G29)</v>
      </c>
      <c r="I30"/>
      <c r="J30"/>
    </row>
    <row r="31" spans="1:10" s="32" customFormat="1" ht="15" customHeight="1" x14ac:dyDescent="0.45">
      <c r="A31"/>
      <c r="B31"/>
      <c r="C31"/>
      <c r="D31"/>
      <c r="E31"/>
      <c r="F31"/>
      <c r="G31"/>
      <c r="H31"/>
      <c r="I31"/>
      <c r="J31"/>
    </row>
    <row r="32" spans="1:10" s="32" customFormat="1" ht="15" customHeight="1" x14ac:dyDescent="0.45">
      <c r="A32"/>
      <c r="B32" s="69" t="s">
        <v>220</v>
      </c>
      <c r="C32"/>
      <c r="D32"/>
      <c r="E32" s="80">
        <f>SUM(E27:E28)/E27</f>
        <v>0.44145267643217406</v>
      </c>
      <c r="F32" s="80">
        <f>SUM(F27:F28)/F27</f>
        <v>0.45439636995901117</v>
      </c>
      <c r="G32" s="80">
        <f>SUM(G27:G28)/G27</f>
        <v>0.47250153490703473</v>
      </c>
      <c r="H32" t="str">
        <f ca="1">_xlfn.FORMULATEXT(G32)</f>
        <v>=SUM(G27:G28)/G27</v>
      </c>
      <c r="I32"/>
      <c r="J32"/>
    </row>
    <row r="33" spans="1:10" s="32" customFormat="1" ht="15" customHeight="1" x14ac:dyDescent="0.45">
      <c r="A33"/>
      <c r="B33" s="69" t="s">
        <v>221</v>
      </c>
      <c r="C33"/>
      <c r="D33"/>
      <c r="E33" s="80">
        <f>E30/E27</f>
        <v>7.0491242903396086E-3</v>
      </c>
      <c r="F33" s="80">
        <f>F30/F27</f>
        <v>9.2591524840162746E-3</v>
      </c>
      <c r="G33" s="80">
        <f>G30/G27</f>
        <v>9.4532512992967187E-3</v>
      </c>
      <c r="H33" t="str">
        <f ca="1">_xlfn.FORMULATEXT(G33)</f>
        <v>=G30/G27</v>
      </c>
      <c r="I33"/>
      <c r="J33"/>
    </row>
    <row r="34" spans="1:10" ht="15" customHeight="1" x14ac:dyDescent="0.45">
      <c r="A34"/>
      <c r="B34"/>
    </row>
    <row r="35" spans="1:10" ht="15" customHeight="1" x14ac:dyDescent="0.45">
      <c r="A35"/>
      <c r="B35" s="16" t="s">
        <v>222</v>
      </c>
    </row>
    <row r="36" spans="1:10" ht="15" customHeight="1" x14ac:dyDescent="0.45">
      <c r="A36"/>
      <c r="B36" s="16" t="s">
        <v>235</v>
      </c>
    </row>
    <row r="37" spans="1:10" ht="15" customHeight="1" x14ac:dyDescent="0.45">
      <c r="A37"/>
      <c r="B37" s="16" t="s">
        <v>236</v>
      </c>
    </row>
    <row r="38" spans="1:10" ht="15" customHeight="1" x14ac:dyDescent="0.45">
      <c r="A38"/>
      <c r="B38"/>
    </row>
    <row r="39" spans="1:10" ht="15" customHeight="1" x14ac:dyDescent="0.45">
      <c r="A39"/>
      <c r="B39"/>
      <c r="C39" s="70">
        <v>41546</v>
      </c>
      <c r="D39" s="70">
        <v>41910</v>
      </c>
      <c r="E39" s="70">
        <v>42274</v>
      </c>
      <c r="F39" s="70">
        <v>42645</v>
      </c>
      <c r="G39" s="70">
        <v>43009</v>
      </c>
    </row>
    <row r="40" spans="1:10" ht="15" customHeight="1" x14ac:dyDescent="0.45">
      <c r="A40"/>
      <c r="B40" s="16" t="s">
        <v>211</v>
      </c>
      <c r="C40" s="67">
        <f>399405183/1000</f>
        <v>399405.18300000002</v>
      </c>
      <c r="D40" s="67">
        <f>408721070/1000</f>
        <v>408721.07</v>
      </c>
      <c r="E40" s="67">
        <f>405641634/1000</f>
        <v>405641.63400000002</v>
      </c>
      <c r="F40" s="67">
        <f>379863586/1000</f>
        <v>379863.58600000001</v>
      </c>
      <c r="G40" s="67">
        <f>372290050/1000</f>
        <v>372290.05</v>
      </c>
    </row>
    <row r="41" spans="1:10" ht="15" customHeight="1" x14ac:dyDescent="0.45">
      <c r="A41"/>
      <c r="B41" s="16" t="s">
        <v>217</v>
      </c>
      <c r="C41" s="67">
        <f>-319645430/1000</f>
        <v>-319645.43</v>
      </c>
      <c r="D41" s="67">
        <f>-309915802/1000</f>
        <v>-309915.80200000003</v>
      </c>
      <c r="E41" s="67">
        <f>-298449490/1000</f>
        <v>-298449.49</v>
      </c>
      <c r="F41" s="67">
        <f>-298953800/1000</f>
        <v>-298953.8</v>
      </c>
      <c r="G41" s="67">
        <f>-301302042/1000</f>
        <v>-301302.04200000002</v>
      </c>
    </row>
    <row r="42" spans="1:10" ht="15" customHeight="1" x14ac:dyDescent="0.45">
      <c r="A42"/>
      <c r="B42" s="16" t="s">
        <v>218</v>
      </c>
      <c r="C42" s="67">
        <f>-100532748/1000</f>
        <v>-100532.74800000001</v>
      </c>
      <c r="D42" s="67">
        <f>-96874936/1000</f>
        <v>-96874.936000000002</v>
      </c>
      <c r="E42" s="67">
        <f>-79314661/1000</f>
        <v>-79314.660999999993</v>
      </c>
      <c r="F42" s="67">
        <f>-74537883/1000</f>
        <v>-74537.883000000002</v>
      </c>
      <c r="G42" s="67">
        <f>-70317664/1000</f>
        <v>-70317.664000000004</v>
      </c>
    </row>
    <row r="43" spans="1:10" ht="15" customHeight="1" x14ac:dyDescent="0.45">
      <c r="A43"/>
      <c r="B43" s="16" t="s">
        <v>125</v>
      </c>
      <c r="C43">
        <f>SUM(C40:C42)</f>
        <v>-20772.994999999981</v>
      </c>
      <c r="D43">
        <f>SUM(D40:D42)</f>
        <v>1930.3319999999803</v>
      </c>
      <c r="E43">
        <f>SUM(E40:E42)</f>
        <v>27877.483000000037</v>
      </c>
      <c r="F43">
        <f>SUM(F40:F42)</f>
        <v>6371.9030000000203</v>
      </c>
      <c r="G43">
        <f>SUM(G40:G42)</f>
        <v>670.34399999996822</v>
      </c>
      <c r="H43" t="str">
        <f ca="1">_xlfn.FORMULATEXT(G43)</f>
        <v>=SUM(G40:G42)</v>
      </c>
    </row>
    <row r="44" spans="1:10" ht="15" customHeight="1" x14ac:dyDescent="0.45">
      <c r="A44"/>
      <c r="B44"/>
    </row>
    <row r="45" spans="1:10" ht="15" customHeight="1" x14ac:dyDescent="0.45">
      <c r="A45"/>
      <c r="B45" s="16" t="s">
        <v>220</v>
      </c>
      <c r="C45" s="80">
        <f>SUM(C40:C41)/C40</f>
        <v>0.19969633944384749</v>
      </c>
      <c r="D45" s="80">
        <f>SUM(D40:D41)/D40</f>
        <v>0.24174253605276572</v>
      </c>
      <c r="E45" s="80">
        <f>SUM(E40:E41)/E40</f>
        <v>0.26425330887016402</v>
      </c>
      <c r="F45" s="80">
        <f>SUM(F40:F41)/F40</f>
        <v>0.21299695201634836</v>
      </c>
      <c r="G45" s="80">
        <f>SUM(G40:G41)/G40</f>
        <v>0.19067930502037317</v>
      </c>
      <c r="H45" t="str">
        <f ca="1">_xlfn.FORMULATEXT(G45)</f>
        <v>=SUM(G40:G41)/G40</v>
      </c>
    </row>
    <row r="46" spans="1:10" ht="15" customHeight="1" x14ac:dyDescent="0.45">
      <c r="A46"/>
      <c r="B46" s="16" t="s">
        <v>221</v>
      </c>
      <c r="C46" s="80">
        <f>C43/C40</f>
        <v>-5.2009828325137133E-2</v>
      </c>
      <c r="D46" s="80">
        <f>D43/D40</f>
        <v>4.7228590392953814E-3</v>
      </c>
      <c r="E46" s="80">
        <f>E43/E40</f>
        <v>6.872441254390578E-2</v>
      </c>
      <c r="F46" s="80">
        <f>F43/F40</f>
        <v>1.6774187457915538E-2</v>
      </c>
      <c r="G46" s="80">
        <f>G43/G40</f>
        <v>1.8005960675015844E-3</v>
      </c>
      <c r="H46" t="str">
        <f ca="1">_xlfn.FORMULATEXT(G46)</f>
        <v>=G43/G40</v>
      </c>
    </row>
    <row r="47" spans="1:10" ht="15" customHeight="1" x14ac:dyDescent="0.45">
      <c r="A47"/>
      <c r="B47"/>
    </row>
    <row r="48" spans="1:10" ht="15" customHeight="1" x14ac:dyDescent="0.45">
      <c r="A48"/>
      <c r="B48" s="16" t="s">
        <v>589</v>
      </c>
    </row>
    <row r="49" spans="1:8" ht="15" customHeight="1" x14ac:dyDescent="0.45">
      <c r="A49"/>
      <c r="B49" s="16" t="s">
        <v>587</v>
      </c>
    </row>
    <row r="50" spans="1:8" ht="15" customHeight="1" x14ac:dyDescent="0.45">
      <c r="A50"/>
      <c r="B50"/>
    </row>
    <row r="51" spans="1:8" ht="15" customHeight="1" x14ac:dyDescent="0.45">
      <c r="A51"/>
      <c r="B51"/>
      <c r="C51" s="82">
        <v>41699</v>
      </c>
      <c r="D51" s="82">
        <v>42064</v>
      </c>
      <c r="E51" s="82">
        <v>42430</v>
      </c>
      <c r="F51" s="82">
        <v>42795</v>
      </c>
      <c r="G51" s="82">
        <v>43160</v>
      </c>
    </row>
    <row r="52" spans="1:8" ht="15" customHeight="1" x14ac:dyDescent="0.45">
      <c r="A52"/>
      <c r="B52" s="69" t="s">
        <v>211</v>
      </c>
      <c r="D52" s="67">
        <v>735974</v>
      </c>
      <c r="E52" s="67">
        <v>835037</v>
      </c>
      <c r="F52" s="67">
        <v>886366</v>
      </c>
      <c r="G52" s="67">
        <v>951684</v>
      </c>
    </row>
    <row r="53" spans="1:8" ht="15" customHeight="1" x14ac:dyDescent="0.45">
      <c r="A53"/>
      <c r="B53" s="69" t="s">
        <v>217</v>
      </c>
      <c r="D53" s="67">
        <v>-211926</v>
      </c>
      <c r="E53" s="67">
        <v>-239171</v>
      </c>
      <c r="F53" s="67">
        <v>-225145</v>
      </c>
      <c r="G53" s="67">
        <v>-248477</v>
      </c>
    </row>
    <row r="54" spans="1:8" ht="15" customHeight="1" x14ac:dyDescent="0.45">
      <c r="A54"/>
      <c r="B54" s="69" t="s">
        <v>218</v>
      </c>
      <c r="D54" s="67">
        <f>-331543-73312</f>
        <v>-404855</v>
      </c>
      <c r="E54" s="67">
        <f>-379858-86251</f>
        <v>-466109</v>
      </c>
      <c r="F54" s="67">
        <f>-763433-F53</f>
        <v>-538288</v>
      </c>
      <c r="G54" s="67">
        <f>-830084-G53</f>
        <v>-581607</v>
      </c>
    </row>
    <row r="55" spans="1:8" ht="15" customHeight="1" x14ac:dyDescent="0.45">
      <c r="A55"/>
      <c r="B55" s="69" t="s">
        <v>125</v>
      </c>
      <c r="D55" s="32">
        <f>SUM(D52:D54)</f>
        <v>119193</v>
      </c>
      <c r="E55" s="32">
        <f>SUM(E52:E54)</f>
        <v>129757</v>
      </c>
      <c r="F55" s="32">
        <f>SUM(F52:F54)</f>
        <v>122933</v>
      </c>
      <c r="G55" s="32">
        <f>SUM(G52:G54)</f>
        <v>121600</v>
      </c>
      <c r="H55" t="str">
        <f ca="1">_xlfn.FORMULATEXT(G55)</f>
        <v>=SUM(G52:G54)</v>
      </c>
    </row>
    <row r="56" spans="1:8" ht="15" customHeight="1" x14ac:dyDescent="0.45">
      <c r="A56"/>
      <c r="B56"/>
    </row>
    <row r="57" spans="1:8" ht="15" customHeight="1" x14ac:dyDescent="0.45">
      <c r="A57"/>
      <c r="B57" s="69" t="s">
        <v>220</v>
      </c>
      <c r="D57" s="80">
        <f>SUM(D52:D53)/D52</f>
        <v>0.71204689296089263</v>
      </c>
      <c r="E57" s="80">
        <f>SUM(E52:E53)/E52</f>
        <v>0.71358035631954031</v>
      </c>
      <c r="F57" s="80">
        <f>SUM(F52:F53)/F52</f>
        <v>0.74599093376776637</v>
      </c>
      <c r="G57" s="80">
        <f>SUM(G52:G53)/G52</f>
        <v>0.73890808293509191</v>
      </c>
      <c r="H57" t="str">
        <f ca="1">_xlfn.FORMULATEXT(G57)</f>
        <v>=SUM(G52:G53)/G52</v>
      </c>
    </row>
    <row r="58" spans="1:8" ht="15" customHeight="1" x14ac:dyDescent="0.45">
      <c r="A58"/>
      <c r="B58" s="69" t="s">
        <v>221</v>
      </c>
      <c r="D58" s="80">
        <f>D55/D52</f>
        <v>0.16195273202585961</v>
      </c>
      <c r="E58" s="80">
        <f>E55/E52</f>
        <v>0.15539071921363964</v>
      </c>
      <c r="F58" s="80">
        <f>F55/F52</f>
        <v>0.13869327117691788</v>
      </c>
      <c r="G58" s="80">
        <f>G55/G52</f>
        <v>0.12777350465070339</v>
      </c>
      <c r="H58" t="str">
        <f ca="1">_xlfn.FORMULATEXT(G58)</f>
        <v>=G55/G52</v>
      </c>
    </row>
    <row r="59" spans="1:8" ht="15" customHeight="1" x14ac:dyDescent="0.45">
      <c r="A59"/>
      <c r="B59"/>
    </row>
    <row r="60" spans="1:8" ht="15" customHeight="1" x14ac:dyDescent="0.45">
      <c r="A60"/>
      <c r="B60" s="16" t="s">
        <v>588</v>
      </c>
    </row>
    <row r="61" spans="1:8" ht="15" customHeight="1" x14ac:dyDescent="0.45">
      <c r="A61"/>
      <c r="B61" s="16" t="s">
        <v>916</v>
      </c>
    </row>
    <row r="62" spans="1:8" ht="15" customHeight="1" x14ac:dyDescent="0.45">
      <c r="A62"/>
      <c r="B62"/>
    </row>
    <row r="63" spans="1:8" ht="15" customHeight="1" x14ac:dyDescent="0.45">
      <c r="A63"/>
      <c r="B63"/>
      <c r="C63" s="82">
        <v>41517</v>
      </c>
      <c r="D63" s="82">
        <v>41882</v>
      </c>
      <c r="E63" s="82">
        <v>42430</v>
      </c>
      <c r="F63" s="82">
        <v>42521</v>
      </c>
      <c r="G63" s="82">
        <v>42886</v>
      </c>
    </row>
    <row r="64" spans="1:8" ht="15" customHeight="1" x14ac:dyDescent="0.45">
      <c r="A64"/>
      <c r="B64" s="69" t="s">
        <v>211</v>
      </c>
      <c r="E64" s="67">
        <v>243251</v>
      </c>
      <c r="F64" s="67">
        <v>274535</v>
      </c>
      <c r="G64" s="67">
        <v>313137</v>
      </c>
    </row>
    <row r="65" spans="1:8" ht="15" customHeight="1" x14ac:dyDescent="0.45">
      <c r="A65"/>
      <c r="B65" s="69" t="s">
        <v>217</v>
      </c>
      <c r="E65" s="67">
        <v>-183998</v>
      </c>
      <c r="F65" s="67">
        <v>-209495</v>
      </c>
      <c r="G65" s="67">
        <v>-241640</v>
      </c>
    </row>
    <row r="66" spans="1:8" ht="15" customHeight="1" x14ac:dyDescent="0.45">
      <c r="A66"/>
      <c r="B66" s="69" t="s">
        <v>218</v>
      </c>
      <c r="E66" s="67">
        <v>-41444</v>
      </c>
      <c r="F66" s="67">
        <v>-45892</v>
      </c>
      <c r="G66" s="67">
        <v>-53700</v>
      </c>
    </row>
    <row r="67" spans="1:8" ht="15" customHeight="1" x14ac:dyDescent="0.45">
      <c r="A67"/>
      <c r="B67" s="69" t="s">
        <v>125</v>
      </c>
      <c r="E67" s="32">
        <f>SUM(E64:E66)</f>
        <v>17809</v>
      </c>
      <c r="F67" s="32">
        <f>SUM(F64:F66)</f>
        <v>19148</v>
      </c>
      <c r="G67" s="32">
        <f>SUM(G64:G66)</f>
        <v>17797</v>
      </c>
      <c r="H67" t="str">
        <f ca="1">_xlfn.FORMULATEXT(G67)</f>
        <v>=SUM(G64:G66)</v>
      </c>
    </row>
    <row r="68" spans="1:8" ht="15" customHeight="1" x14ac:dyDescent="0.45">
      <c r="A68"/>
      <c r="B68"/>
    </row>
    <row r="69" spans="1:8" ht="15" customHeight="1" x14ac:dyDescent="0.45">
      <c r="A69"/>
      <c r="B69" s="69" t="s">
        <v>220</v>
      </c>
      <c r="E69" s="80">
        <f>SUM(E64:E65)/E64</f>
        <v>0.24358789891922336</v>
      </c>
      <c r="F69" s="80">
        <f>SUM(F64:F65)/F64</f>
        <v>0.23690968364689383</v>
      </c>
      <c r="G69" s="80">
        <f>SUM(G64:G65)/G64</f>
        <v>0.2283249823559656</v>
      </c>
      <c r="H69" t="str">
        <f ca="1">_xlfn.FORMULATEXT(G69)</f>
        <v>=SUM(G64:G65)/G64</v>
      </c>
    </row>
    <row r="70" spans="1:8" ht="15" customHeight="1" x14ac:dyDescent="0.45">
      <c r="A70"/>
      <c r="B70" s="69" t="s">
        <v>221</v>
      </c>
      <c r="E70" s="80">
        <f>E67/E64</f>
        <v>7.3212443114314019E-2</v>
      </c>
      <c r="F70" s="80">
        <f>F67/F64</f>
        <v>6.974702679075527E-2</v>
      </c>
      <c r="G70" s="80">
        <f>G67/G64</f>
        <v>5.6834548456426423E-2</v>
      </c>
      <c r="H70" t="str">
        <f ca="1">_xlfn.FORMULATEXT(G70)</f>
        <v>=G67/G64</v>
      </c>
    </row>
    <row r="71" spans="1:8" ht="15" customHeight="1" x14ac:dyDescent="0.45">
      <c r="A71"/>
      <c r="B71"/>
    </row>
    <row r="72" spans="1:8" ht="15" customHeight="1" x14ac:dyDescent="0.45">
      <c r="A72"/>
      <c r="B72"/>
    </row>
    <row r="73" spans="1:8" ht="15" customHeight="1" x14ac:dyDescent="0.45">
      <c r="A73"/>
      <c r="B73"/>
    </row>
    <row r="74" spans="1:8" ht="15" customHeight="1" x14ac:dyDescent="0.45">
      <c r="A74" s="15" t="s">
        <v>72</v>
      </c>
      <c r="B74"/>
    </row>
    <row r="75" spans="1:8" ht="15" customHeight="1" x14ac:dyDescent="0.45">
      <c r="A75"/>
      <c r="B75" s="16" t="s">
        <v>223</v>
      </c>
    </row>
    <row r="76" spans="1:8" ht="15" customHeight="1" x14ac:dyDescent="0.45">
      <c r="A76"/>
      <c r="B76" s="16" t="s">
        <v>224</v>
      </c>
    </row>
    <row r="77" spans="1:8" ht="15" customHeight="1" x14ac:dyDescent="0.45">
      <c r="A77"/>
      <c r="B77"/>
    </row>
    <row r="78" spans="1:8" ht="15" customHeight="1" x14ac:dyDescent="0.45">
      <c r="A78"/>
      <c r="B78" s="16" t="s">
        <v>233</v>
      </c>
    </row>
    <row r="79" spans="1:8" ht="15" customHeight="1" x14ac:dyDescent="0.45">
      <c r="A79"/>
      <c r="B79" s="16" t="s">
        <v>286</v>
      </c>
    </row>
    <row r="80" spans="1:8" ht="15" customHeight="1" x14ac:dyDescent="0.45">
      <c r="A80"/>
      <c r="B80" s="16" t="s">
        <v>234</v>
      </c>
    </row>
    <row r="81" spans="1:3" ht="15" customHeight="1" x14ac:dyDescent="0.45">
      <c r="A81"/>
      <c r="B81" s="16" t="s">
        <v>262</v>
      </c>
    </row>
    <row r="82" spans="1:3" ht="15" customHeight="1" x14ac:dyDescent="0.45">
      <c r="A82"/>
      <c r="B82" s="16" t="s">
        <v>897</v>
      </c>
    </row>
    <row r="83" spans="1:3" ht="15" customHeight="1" x14ac:dyDescent="0.45">
      <c r="A83"/>
      <c r="B83" s="16" t="s">
        <v>287</v>
      </c>
    </row>
    <row r="84" spans="1:3" ht="15" customHeight="1" x14ac:dyDescent="0.45">
      <c r="A84"/>
      <c r="B84"/>
    </row>
    <row r="85" spans="1:3" ht="15" customHeight="1" x14ac:dyDescent="0.45">
      <c r="A85" s="15" t="s">
        <v>76</v>
      </c>
      <c r="B85"/>
    </row>
    <row r="86" spans="1:3" ht="15" customHeight="1" x14ac:dyDescent="0.45">
      <c r="A86"/>
      <c r="B86" s="16" t="s">
        <v>239</v>
      </c>
    </row>
    <row r="87" spans="1:3" ht="15" customHeight="1" x14ac:dyDescent="0.45">
      <c r="A87"/>
      <c r="B87" s="16" t="s">
        <v>238</v>
      </c>
    </row>
    <row r="88" spans="1:3" ht="15" customHeight="1" x14ac:dyDescent="0.45">
      <c r="A88"/>
      <c r="B88"/>
    </row>
    <row r="89" spans="1:3" ht="15" customHeight="1" x14ac:dyDescent="0.45">
      <c r="A89"/>
      <c r="B89" s="16" t="s">
        <v>210</v>
      </c>
      <c r="C89" s="70">
        <v>42998</v>
      </c>
    </row>
    <row r="90" spans="1:3" ht="15" customHeight="1" x14ac:dyDescent="0.45">
      <c r="A90"/>
      <c r="B90" s="16" t="s">
        <v>211</v>
      </c>
      <c r="C90" s="67">
        <v>114197</v>
      </c>
    </row>
    <row r="91" spans="1:3" ht="15" customHeight="1" x14ac:dyDescent="0.45">
      <c r="A91"/>
      <c r="B91" s="16" t="s">
        <v>247</v>
      </c>
      <c r="C91" s="67">
        <f>-24931+-69121</f>
        <v>-94052</v>
      </c>
    </row>
    <row r="92" spans="1:3" ht="15" customHeight="1" x14ac:dyDescent="0.45">
      <c r="A92"/>
      <c r="B92" s="16" t="s">
        <v>237</v>
      </c>
      <c r="C92" s="67">
        <v>-43334</v>
      </c>
    </row>
    <row r="93" spans="1:3" ht="15" customHeight="1" x14ac:dyDescent="0.45">
      <c r="A93"/>
      <c r="B93" s="16" t="s">
        <v>242</v>
      </c>
      <c r="C93" s="67">
        <v>5</v>
      </c>
    </row>
    <row r="94" spans="1:3" ht="15" customHeight="1" x14ac:dyDescent="0.45">
      <c r="A94"/>
      <c r="B94" s="16" t="s">
        <v>243</v>
      </c>
      <c r="C94" s="67">
        <v>92</v>
      </c>
    </row>
    <row r="95" spans="1:3" ht="15" customHeight="1" x14ac:dyDescent="0.45">
      <c r="A95"/>
      <c r="B95" s="16" t="s">
        <v>244</v>
      </c>
      <c r="C95" s="67">
        <v>387</v>
      </c>
    </row>
    <row r="96" spans="1:3" ht="15" customHeight="1" x14ac:dyDescent="0.45">
      <c r="A96"/>
      <c r="B96" s="16" t="s">
        <v>65</v>
      </c>
      <c r="C96" s="67">
        <f>2465</f>
        <v>2465</v>
      </c>
    </row>
    <row r="97" spans="1:10" s="71" customFormat="1" ht="15" customHeight="1" x14ac:dyDescent="0.45">
      <c r="A97"/>
      <c r="B97"/>
      <c r="C97"/>
      <c r="D97"/>
      <c r="E97"/>
      <c r="F97"/>
      <c r="G97"/>
      <c r="H97"/>
      <c r="I97"/>
      <c r="J97"/>
    </row>
    <row r="98" spans="1:10" ht="15" customHeight="1" x14ac:dyDescent="0.45">
      <c r="A98"/>
      <c r="B98" s="16" t="s">
        <v>225</v>
      </c>
      <c r="C98" s="82">
        <v>42978</v>
      </c>
    </row>
    <row r="99" spans="1:10" ht="15" customHeight="1" x14ac:dyDescent="0.45">
      <c r="A99"/>
      <c r="B99" s="16" t="s">
        <v>211</v>
      </c>
      <c r="C99" s="67">
        <f>22747306/1000</f>
        <v>22747.306</v>
      </c>
    </row>
    <row r="100" spans="1:10" ht="15" customHeight="1" x14ac:dyDescent="0.45">
      <c r="A100"/>
      <c r="B100" s="16" t="s">
        <v>247</v>
      </c>
      <c r="C100" s="67">
        <f>-11999.169+-10533.101</f>
        <v>-22532.27</v>
      </c>
    </row>
    <row r="101" spans="1:10" ht="15" customHeight="1" x14ac:dyDescent="0.45">
      <c r="A101"/>
      <c r="B101" s="16" t="s">
        <v>237</v>
      </c>
      <c r="C101" s="67">
        <f>-6846702/1000</f>
        <v>-6846.7020000000002</v>
      </c>
    </row>
    <row r="102" spans="1:10" ht="15" customHeight="1" x14ac:dyDescent="0.45">
      <c r="A102"/>
      <c r="B102" s="16" t="s">
        <v>245</v>
      </c>
      <c r="C102" s="67">
        <f>22</f>
        <v>22</v>
      </c>
    </row>
    <row r="103" spans="1:10" ht="15" customHeight="1" x14ac:dyDescent="0.45">
      <c r="A103"/>
      <c r="B103" s="16" t="s">
        <v>246</v>
      </c>
      <c r="C103" s="67">
        <f>462</f>
        <v>462</v>
      </c>
    </row>
    <row r="104" spans="1:10" ht="15" customHeight="1" x14ac:dyDescent="0.45">
      <c r="A104"/>
      <c r="B104"/>
    </row>
    <row r="105" spans="1:10" ht="15" customHeight="1" x14ac:dyDescent="0.45">
      <c r="A105"/>
      <c r="B105" s="16" t="s">
        <v>210</v>
      </c>
    </row>
    <row r="106" spans="1:10" ht="15" customHeight="1" x14ac:dyDescent="0.45">
      <c r="A106"/>
      <c r="B106" s="16" t="s">
        <v>248</v>
      </c>
      <c r="C106">
        <f>C90/(C96+C95)</f>
        <v>40.041023842917248</v>
      </c>
      <c r="D106" t="str">
        <f ca="1">_xlfn.FORMULATEXT(C106)</f>
        <v>=C90/(C96+C95)</v>
      </c>
    </row>
    <row r="107" spans="1:10" ht="15" customHeight="1" x14ac:dyDescent="0.45">
      <c r="A107"/>
      <c r="B107" s="16" t="s">
        <v>240</v>
      </c>
      <c r="C107" s="80">
        <f>-C92/C90</f>
        <v>0.37946706130633906</v>
      </c>
      <c r="D107" t="str">
        <f t="shared" ref="D107:D115" ca="1" si="0">_xlfn.FORMULATEXT(C107)</f>
        <v>=-C92/C90</v>
      </c>
    </row>
    <row r="108" spans="1:10" ht="15" customHeight="1" x14ac:dyDescent="0.45">
      <c r="A108"/>
      <c r="B108" s="16" t="s">
        <v>250</v>
      </c>
      <c r="C108" s="80">
        <f>C92/C91</f>
        <v>0.4607451197210054</v>
      </c>
      <c r="D108" t="str">
        <f t="shared" ca="1" si="0"/>
        <v>=C92/C91</v>
      </c>
    </row>
    <row r="109" spans="1:10" s="71" customFormat="1" ht="15" customHeight="1" x14ac:dyDescent="0.45">
      <c r="A109"/>
      <c r="B109" s="83" t="s">
        <v>241</v>
      </c>
      <c r="C109" s="71">
        <f>-C92/SUM(C93:C96)</f>
        <v>14.694472702611055</v>
      </c>
      <c r="D109" t="str">
        <f t="shared" ca="1" si="0"/>
        <v>=-C92/SUM(C93:C96)</v>
      </c>
      <c r="E109"/>
      <c r="F109"/>
      <c r="G109"/>
      <c r="H109"/>
      <c r="I109"/>
      <c r="J109"/>
    </row>
    <row r="110" spans="1:10" ht="15" customHeight="1" x14ac:dyDescent="0.45">
      <c r="A110"/>
      <c r="B110"/>
    </row>
    <row r="111" spans="1:10" ht="15" customHeight="1" x14ac:dyDescent="0.45">
      <c r="A111"/>
      <c r="B111" s="16" t="s">
        <v>225</v>
      </c>
    </row>
    <row r="112" spans="1:10" ht="15" customHeight="1" x14ac:dyDescent="0.45">
      <c r="A112"/>
      <c r="B112" s="16" t="s">
        <v>249</v>
      </c>
      <c r="C112">
        <f>C99/C103</f>
        <v>49.236593073593077</v>
      </c>
      <c r="D112" t="str">
        <f t="shared" ca="1" si="0"/>
        <v>=C99/C103</v>
      </c>
    </row>
    <row r="113" spans="1:4" ht="15" customHeight="1" x14ac:dyDescent="0.45">
      <c r="A113"/>
      <c r="B113" s="16" t="s">
        <v>240</v>
      </c>
      <c r="C113" s="80">
        <f>-C101/C99</f>
        <v>0.30098957652391894</v>
      </c>
      <c r="D113" t="str">
        <f t="shared" ca="1" si="0"/>
        <v>=-C101/C99</v>
      </c>
    </row>
    <row r="114" spans="1:4" ht="15" customHeight="1" x14ac:dyDescent="0.45">
      <c r="A114"/>
      <c r="B114" s="16" t="s">
        <v>250</v>
      </c>
      <c r="C114" s="80">
        <f>C101/C100</f>
        <v>0.30386206094636714</v>
      </c>
      <c r="D114" t="str">
        <f t="shared" ca="1" si="0"/>
        <v>=C101/C100</v>
      </c>
    </row>
    <row r="115" spans="1:4" ht="15" customHeight="1" x14ac:dyDescent="0.45">
      <c r="A115"/>
      <c r="B115" s="16" t="s">
        <v>241</v>
      </c>
      <c r="C115">
        <f>-C101/SUM(C102:C103)</f>
        <v>14.146078512396695</v>
      </c>
      <c r="D115" t="str">
        <f t="shared" ca="1" si="0"/>
        <v>=-C101/SUM(C102:C103)</v>
      </c>
    </row>
    <row r="116" spans="1:4" ht="15" customHeight="1" x14ac:dyDescent="0.45">
      <c r="A116"/>
      <c r="B116"/>
    </row>
    <row r="117" spans="1:4" ht="15" customHeight="1" x14ac:dyDescent="0.45">
      <c r="A117"/>
      <c r="B117" s="16" t="s">
        <v>263</v>
      </c>
    </row>
    <row r="118" spans="1:4" ht="15" customHeight="1" x14ac:dyDescent="0.45">
      <c r="A118"/>
      <c r="B118" s="16" t="s">
        <v>288</v>
      </c>
    </row>
    <row r="119" spans="1:4" ht="15" customHeight="1" x14ac:dyDescent="0.45">
      <c r="A119"/>
      <c r="B119" s="16" t="s">
        <v>251</v>
      </c>
    </row>
    <row r="120" spans="1:4" ht="15" customHeight="1" x14ac:dyDescent="0.45">
      <c r="A120"/>
      <c r="B120" s="16" t="s">
        <v>289</v>
      </c>
    </row>
    <row r="121" spans="1:4" ht="15" customHeight="1" x14ac:dyDescent="0.45">
      <c r="A121"/>
      <c r="B121" s="16" t="s">
        <v>252</v>
      </c>
    </row>
    <row r="122" spans="1:4" ht="15" customHeight="1" x14ac:dyDescent="0.45">
      <c r="A122"/>
      <c r="B122" s="16" t="s">
        <v>294</v>
      </c>
    </row>
    <row r="123" spans="1:4" ht="15" customHeight="1" x14ac:dyDescent="0.45">
      <c r="A123"/>
      <c r="B123" s="16" t="s">
        <v>253</v>
      </c>
    </row>
    <row r="124" spans="1:4" ht="15" customHeight="1" x14ac:dyDescent="0.45">
      <c r="A124"/>
      <c r="B124" s="16" t="s">
        <v>254</v>
      </c>
    </row>
    <row r="125" spans="1:4" ht="15" customHeight="1" x14ac:dyDescent="0.45">
      <c r="A125"/>
      <c r="B125" s="16" t="s">
        <v>264</v>
      </c>
    </row>
    <row r="126" spans="1:4" ht="15" customHeight="1" x14ac:dyDescent="0.45">
      <c r="A126"/>
      <c r="B126"/>
    </row>
    <row r="127" spans="1:4" ht="15" customHeight="1" x14ac:dyDescent="0.45">
      <c r="A127" s="15" t="s">
        <v>79</v>
      </c>
      <c r="B127"/>
    </row>
    <row r="128" spans="1:4" ht="15" customHeight="1" x14ac:dyDescent="0.45">
      <c r="A128"/>
      <c r="B128" s="16" t="s">
        <v>290</v>
      </c>
    </row>
    <row r="129" spans="1:4" ht="15" customHeight="1" x14ac:dyDescent="0.45">
      <c r="A129"/>
      <c r="B129"/>
    </row>
    <row r="130" spans="1:4" ht="15" customHeight="1" x14ac:dyDescent="0.45">
      <c r="A130"/>
      <c r="B130" s="16" t="s">
        <v>225</v>
      </c>
      <c r="C130" s="82">
        <v>42978</v>
      </c>
    </row>
    <row r="131" spans="1:4" ht="15" customHeight="1" x14ac:dyDescent="0.45">
      <c r="A131"/>
      <c r="B131" s="16" t="s">
        <v>211</v>
      </c>
      <c r="C131" s="67">
        <f>22747306/1000</f>
        <v>22747.306</v>
      </c>
    </row>
    <row r="132" spans="1:4" ht="15" customHeight="1" x14ac:dyDescent="0.45">
      <c r="A132"/>
      <c r="B132" s="16" t="s">
        <v>125</v>
      </c>
      <c r="C132" s="67">
        <v>215.03600000000006</v>
      </c>
    </row>
    <row r="133" spans="1:4" ht="15" customHeight="1" x14ac:dyDescent="0.45">
      <c r="A133"/>
      <c r="B133"/>
    </row>
    <row r="134" spans="1:4" ht="15" customHeight="1" x14ac:dyDescent="0.45">
      <c r="A134"/>
      <c r="B134" s="16" t="s">
        <v>291</v>
      </c>
      <c r="C134" s="70">
        <v>42998</v>
      </c>
    </row>
    <row r="135" spans="1:4" ht="15" customHeight="1" x14ac:dyDescent="0.45">
      <c r="A135"/>
      <c r="B135" s="16" t="s">
        <v>211</v>
      </c>
      <c r="C135" s="67">
        <v>114197</v>
      </c>
    </row>
    <row r="136" spans="1:4" ht="15" customHeight="1" x14ac:dyDescent="0.45">
      <c r="A136"/>
      <c r="B136" s="16" t="s">
        <v>125</v>
      </c>
      <c r="C136" s="67">
        <v>20145</v>
      </c>
    </row>
    <row r="137" spans="1:4" ht="15" customHeight="1" x14ac:dyDescent="0.45">
      <c r="A137"/>
      <c r="B137" s="16" t="s">
        <v>255</v>
      </c>
      <c r="C137" s="67">
        <f>44-36</f>
        <v>8</v>
      </c>
    </row>
    <row r="138" spans="1:4" ht="15" customHeight="1" x14ac:dyDescent="0.45">
      <c r="A138"/>
      <c r="B138" s="16" t="s">
        <v>258</v>
      </c>
      <c r="C138" s="67">
        <f>SUM(C136:C137)</f>
        <v>20153</v>
      </c>
    </row>
    <row r="139" spans="1:4" ht="15" customHeight="1" x14ac:dyDescent="0.45">
      <c r="A139"/>
      <c r="B139" s="16" t="s">
        <v>219</v>
      </c>
      <c r="C139" s="67">
        <v>-3789</v>
      </c>
    </row>
    <row r="140" spans="1:4" ht="15" customHeight="1" x14ac:dyDescent="0.45">
      <c r="A140"/>
      <c r="B140" s="16" t="s">
        <v>216</v>
      </c>
      <c r="C140">
        <f>SUM(C138:C139)</f>
        <v>16364</v>
      </c>
      <c r="D140" t="str">
        <f t="shared" ref="D140" ca="1" si="1">_xlfn.FORMULATEXT(C140)</f>
        <v>=SUM(C138:C139)</v>
      </c>
    </row>
    <row r="141" spans="1:4" ht="15" customHeight="1" x14ac:dyDescent="0.45">
      <c r="A141"/>
      <c r="B141"/>
    </row>
    <row r="142" spans="1:4" ht="15" customHeight="1" x14ac:dyDescent="0.45">
      <c r="A142"/>
      <c r="B142" s="16" t="s">
        <v>256</v>
      </c>
      <c r="C142" s="70">
        <v>42998</v>
      </c>
    </row>
    <row r="143" spans="1:4" ht="15" customHeight="1" x14ac:dyDescent="0.45">
      <c r="A143"/>
      <c r="B143" s="16" t="s">
        <v>211</v>
      </c>
      <c r="C143">
        <f>C135</f>
        <v>114197</v>
      </c>
      <c r="D143" t="str">
        <f t="shared" ref="D143:D152" ca="1" si="2">_xlfn.FORMULATEXT(C143)</f>
        <v>=C135</v>
      </c>
    </row>
    <row r="144" spans="1:4" ht="15" customHeight="1" x14ac:dyDescent="0.45">
      <c r="A144"/>
      <c r="B144" s="16" t="s">
        <v>125</v>
      </c>
      <c r="C144">
        <f>C132/C131*C143</f>
        <v>1079.5329386257874</v>
      </c>
      <c r="D144" t="str">
        <f t="shared" ca="1" si="2"/>
        <v>=C132/C131*C143</v>
      </c>
    </row>
    <row r="145" spans="1:4" ht="15" customHeight="1" x14ac:dyDescent="0.45">
      <c r="A145"/>
      <c r="B145" s="16" t="s">
        <v>257</v>
      </c>
      <c r="C145">
        <f>C137</f>
        <v>8</v>
      </c>
      <c r="D145" t="str">
        <f t="shared" ca="1" si="2"/>
        <v>=C137</v>
      </c>
    </row>
    <row r="146" spans="1:4" ht="15" customHeight="1" x14ac:dyDescent="0.45">
      <c r="A146"/>
      <c r="B146" s="16" t="s">
        <v>258</v>
      </c>
      <c r="C146">
        <f>SUM(C144:C145)</f>
        <v>1087.5329386257874</v>
      </c>
      <c r="D146" t="str">
        <f t="shared" ca="1" si="2"/>
        <v>=SUM(C144:C145)</v>
      </c>
    </row>
    <row r="147" spans="1:4" ht="15" customHeight="1" x14ac:dyDescent="0.45">
      <c r="A147"/>
      <c r="B147" s="16" t="s">
        <v>219</v>
      </c>
      <c r="C147">
        <f>C139/C138*C146</f>
        <v>-204.46892792403654</v>
      </c>
      <c r="D147" t="str">
        <f t="shared" ca="1" si="2"/>
        <v>=C139/C138*C146</v>
      </c>
    </row>
    <row r="148" spans="1:4" ht="15" customHeight="1" x14ac:dyDescent="0.45">
      <c r="A148"/>
      <c r="B148" s="16" t="s">
        <v>216</v>
      </c>
      <c r="C148">
        <f>SUM(C146:C147)</f>
        <v>883.06401070175093</v>
      </c>
      <c r="D148" t="str">
        <f t="shared" ca="1" si="2"/>
        <v>=SUM(C146:C147)</v>
      </c>
    </row>
    <row r="149" spans="1:4" ht="15" customHeight="1" x14ac:dyDescent="0.45">
      <c r="A149"/>
      <c r="B149"/>
    </row>
    <row r="150" spans="1:4" ht="15" customHeight="1" x14ac:dyDescent="0.45">
      <c r="A150"/>
      <c r="B150" s="16" t="s">
        <v>259</v>
      </c>
      <c r="C150">
        <f>C140</f>
        <v>16364</v>
      </c>
      <c r="D150" t="str">
        <f t="shared" ca="1" si="2"/>
        <v>=C140</v>
      </c>
    </row>
    <row r="151" spans="1:4" ht="15" customHeight="1" x14ac:dyDescent="0.45">
      <c r="A151"/>
      <c r="B151" s="16" t="s">
        <v>260</v>
      </c>
      <c r="C151">
        <f>C148</f>
        <v>883.06401070175093</v>
      </c>
      <c r="D151" t="str">
        <f t="shared" ca="1" si="2"/>
        <v>=C148</v>
      </c>
    </row>
    <row r="152" spans="1:4" ht="15" customHeight="1" x14ac:dyDescent="0.45">
      <c r="A152"/>
      <c r="B152" s="16" t="s">
        <v>261</v>
      </c>
      <c r="C152">
        <f>C151-C150</f>
        <v>-15480.935989298248</v>
      </c>
      <c r="D152" t="str">
        <f t="shared" ca="1" si="2"/>
        <v>=C151-C150</v>
      </c>
    </row>
    <row r="153" spans="1:4" ht="15" customHeight="1" x14ac:dyDescent="0.45">
      <c r="A153"/>
      <c r="B153"/>
    </row>
    <row r="154" spans="1:4" ht="15" customHeight="1" x14ac:dyDescent="0.45">
      <c r="A154" s="15" t="s">
        <v>84</v>
      </c>
      <c r="B154"/>
    </row>
    <row r="155" spans="1:4" ht="15" customHeight="1" x14ac:dyDescent="0.45">
      <c r="A155"/>
      <c r="B155" s="16" t="s">
        <v>292</v>
      </c>
    </row>
    <row r="156" spans="1:4" ht="15" customHeight="1" x14ac:dyDescent="0.45">
      <c r="A156"/>
      <c r="B156" s="16" t="s">
        <v>281</v>
      </c>
    </row>
    <row r="157" spans="1:4" ht="15" customHeight="1" x14ac:dyDescent="0.45">
      <c r="A157"/>
      <c r="B157"/>
    </row>
    <row r="158" spans="1:4" ht="15" customHeight="1" x14ac:dyDescent="0.45">
      <c r="A158"/>
      <c r="B158" s="16" t="s">
        <v>272</v>
      </c>
    </row>
    <row r="159" spans="1:4" ht="15" customHeight="1" x14ac:dyDescent="0.45">
      <c r="A159"/>
      <c r="B159" s="16" t="s">
        <v>271</v>
      </c>
    </row>
    <row r="160" spans="1:4" ht="15" customHeight="1" x14ac:dyDescent="0.45">
      <c r="A160"/>
      <c r="B160" s="16" t="s">
        <v>267</v>
      </c>
    </row>
    <row r="161" spans="1:4" ht="15" customHeight="1" x14ac:dyDescent="0.45">
      <c r="A161"/>
      <c r="B161" s="16" t="s">
        <v>266</v>
      </c>
    </row>
    <row r="162" spans="1:4" ht="15" customHeight="1" x14ac:dyDescent="0.45">
      <c r="A162"/>
      <c r="B162" s="16" t="s">
        <v>268</v>
      </c>
    </row>
    <row r="163" spans="1:4" ht="15" customHeight="1" x14ac:dyDescent="0.45">
      <c r="A163"/>
      <c r="B163" s="16" t="s">
        <v>265</v>
      </c>
    </row>
    <row r="164" spans="1:4" ht="15" customHeight="1" x14ac:dyDescent="0.45">
      <c r="A164"/>
      <c r="B164" s="16" t="s">
        <v>269</v>
      </c>
    </row>
    <row r="165" spans="1:4" ht="15" customHeight="1" x14ac:dyDescent="0.45">
      <c r="A165"/>
      <c r="B165" s="16" t="s">
        <v>270</v>
      </c>
    </row>
    <row r="166" spans="1:4" ht="15" customHeight="1" x14ac:dyDescent="0.45">
      <c r="A166"/>
      <c r="B166"/>
    </row>
    <row r="167" spans="1:4" ht="15" customHeight="1" x14ac:dyDescent="0.45">
      <c r="A167"/>
      <c r="B167" s="16" t="s">
        <v>273</v>
      </c>
      <c r="C167" s="70">
        <v>43008</v>
      </c>
    </row>
    <row r="168" spans="1:4" ht="15" customHeight="1" x14ac:dyDescent="0.45">
      <c r="A168"/>
      <c r="B168" s="16" t="s">
        <v>212</v>
      </c>
      <c r="C168" s="67">
        <v>20153</v>
      </c>
    </row>
    <row r="169" spans="1:4" ht="15" customHeight="1" x14ac:dyDescent="0.45">
      <c r="A169"/>
      <c r="B169" s="16" t="s">
        <v>215</v>
      </c>
      <c r="C169" s="67">
        <v>5441</v>
      </c>
    </row>
    <row r="170" spans="1:4" ht="15" customHeight="1" x14ac:dyDescent="0.45">
      <c r="A170"/>
      <c r="B170" s="16" t="s">
        <v>274</v>
      </c>
      <c r="C170" s="67">
        <v>50</v>
      </c>
    </row>
    <row r="171" spans="1:4" ht="15" customHeight="1" x14ac:dyDescent="0.45">
      <c r="A171"/>
      <c r="B171" s="16" t="s">
        <v>275</v>
      </c>
      <c r="C171" s="67">
        <v>-8</v>
      </c>
    </row>
    <row r="172" spans="1:4" ht="15" customHeight="1" x14ac:dyDescent="0.45">
      <c r="A172"/>
      <c r="B172" s="16" t="s">
        <v>276</v>
      </c>
      <c r="C172" s="67">
        <v>317</v>
      </c>
    </row>
    <row r="173" spans="1:4" ht="15" customHeight="1" x14ac:dyDescent="0.45">
      <c r="A173"/>
      <c r="B173" s="16" t="s">
        <v>126</v>
      </c>
      <c r="C173" s="67">
        <v>-1118</v>
      </c>
    </row>
    <row r="174" spans="1:4" ht="15" customHeight="1" x14ac:dyDescent="0.45">
      <c r="A174"/>
      <c r="B174" s="16" t="s">
        <v>213</v>
      </c>
      <c r="C174" s="67">
        <v>-559</v>
      </c>
    </row>
    <row r="175" spans="1:4" ht="15" customHeight="1" x14ac:dyDescent="0.45">
      <c r="A175"/>
      <c r="B175" s="16" t="s">
        <v>214</v>
      </c>
      <c r="C175" s="67">
        <v>86</v>
      </c>
    </row>
    <row r="176" spans="1:4" ht="15" customHeight="1" x14ac:dyDescent="0.45">
      <c r="A176"/>
      <c r="B176" s="16" t="s">
        <v>277</v>
      </c>
      <c r="C176">
        <f>SUM(C168:C175)</f>
        <v>24362</v>
      </c>
      <c r="D176" t="str">
        <f ca="1">_xlfn.FORMULATEXT(C176)</f>
        <v>=SUM(C168:C175)</v>
      </c>
    </row>
    <row r="177" spans="1:4" ht="15" customHeight="1" x14ac:dyDescent="0.45">
      <c r="A177"/>
      <c r="B177" s="16" t="s">
        <v>278</v>
      </c>
      <c r="C177" s="67">
        <v>8</v>
      </c>
    </row>
    <row r="178" spans="1:4" ht="15" customHeight="1" x14ac:dyDescent="0.45">
      <c r="A178"/>
      <c r="B178" s="16" t="s">
        <v>279</v>
      </c>
      <c r="C178" s="67">
        <v>-3962</v>
      </c>
    </row>
    <row r="179" spans="1:4" ht="15" customHeight="1" x14ac:dyDescent="0.45">
      <c r="A179"/>
      <c r="B179" s="16" t="s">
        <v>280</v>
      </c>
      <c r="C179">
        <f>SUM(C176:C178)</f>
        <v>20408</v>
      </c>
      <c r="D179" t="str">
        <f ca="1">_xlfn.FORMULATEXT(C179)</f>
        <v>=SUM(C176:C178)</v>
      </c>
    </row>
    <row r="180" spans="1:4" ht="15" customHeight="1" x14ac:dyDescent="0.45">
      <c r="A180"/>
      <c r="B180"/>
    </row>
    <row r="181" spans="1:4" ht="15" customHeight="1" x14ac:dyDescent="0.45">
      <c r="A181"/>
      <c r="B181" s="16" t="s">
        <v>293</v>
      </c>
    </row>
    <row r="182" spans="1:4" ht="15" customHeight="1" x14ac:dyDescent="0.45">
      <c r="A182"/>
      <c r="B182" s="16" t="s">
        <v>282</v>
      </c>
    </row>
    <row r="183" spans="1:4" ht="15" customHeight="1" x14ac:dyDescent="0.45">
      <c r="A183"/>
      <c r="B183" s="16" t="s">
        <v>283</v>
      </c>
    </row>
    <row r="184" spans="1:4" ht="15" customHeight="1" x14ac:dyDescent="0.45">
      <c r="A184"/>
      <c r="B184" s="16" t="s">
        <v>517</v>
      </c>
    </row>
    <row r="185" spans="1:4" ht="15" customHeight="1" x14ac:dyDescent="0.45">
      <c r="A185"/>
      <c r="B185" s="16" t="s">
        <v>284</v>
      </c>
    </row>
    <row r="186" spans="1:4" ht="15" customHeight="1" x14ac:dyDescent="0.45">
      <c r="A186"/>
      <c r="B186" s="16" t="s">
        <v>285</v>
      </c>
    </row>
    <row r="187" spans="1:4" ht="15" customHeight="1" x14ac:dyDescent="0.45">
      <c r="A187"/>
      <c r="B187" s="16" t="s">
        <v>295</v>
      </c>
    </row>
    <row r="188" spans="1:4" ht="15" customHeight="1" x14ac:dyDescent="0.45">
      <c r="A188"/>
      <c r="B188"/>
    </row>
    <row r="189" spans="1:4" ht="15" customHeight="1" x14ac:dyDescent="0.45">
      <c r="A189" s="15" t="s">
        <v>116</v>
      </c>
      <c r="B189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88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A34A1-72AC-4DE9-9797-2D802671296F}">
  <sheetPr>
    <pageSetUpPr fitToPage="1"/>
  </sheetPr>
  <dimension ref="A1:N256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1.6640625" style="16" customWidth="1"/>
    <col min="3" max="3" width="11" customWidth="1"/>
    <col min="4" max="4" width="19.796875" customWidth="1"/>
    <col min="5" max="10" width="11" customWidth="1"/>
    <col min="11" max="12" width="9.33203125" customWidth="1"/>
  </cols>
  <sheetData>
    <row r="1" spans="1:14" s="88" customFormat="1" ht="45" customHeight="1" x14ac:dyDescent="0.85">
      <c r="A1" s="5" t="str">
        <f>Workouts!A1</f>
        <v>Forensic Accounting</v>
      </c>
      <c r="B1" s="87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90" customFormat="1" ht="30" customHeight="1" x14ac:dyDescent="0.65">
      <c r="A2" s="14" t="s">
        <v>38</v>
      </c>
      <c r="B2" s="89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/>
      <c r="B3"/>
    </row>
    <row r="4" spans="1:14" ht="15" customHeight="1" x14ac:dyDescent="0.45">
      <c r="A4" s="15" t="s">
        <v>66</v>
      </c>
      <c r="B4"/>
    </row>
    <row r="5" spans="1:14" ht="15" customHeight="1" x14ac:dyDescent="0.45">
      <c r="A5"/>
      <c r="B5" s="16" t="s">
        <v>67</v>
      </c>
    </row>
    <row r="6" spans="1:14" ht="15" customHeight="1" x14ac:dyDescent="0.45">
      <c r="A6"/>
      <c r="B6"/>
    </row>
    <row r="7" spans="1:14" ht="15" customHeight="1" x14ac:dyDescent="0.45">
      <c r="A7"/>
      <c r="B7" s="67" t="s">
        <v>42</v>
      </c>
      <c r="C7" s="73" t="s">
        <v>68</v>
      </c>
      <c r="D7" s="67" t="s">
        <v>69</v>
      </c>
      <c r="E7" s="73" t="s">
        <v>70</v>
      </c>
      <c r="F7" s="67" t="s">
        <v>71</v>
      </c>
    </row>
    <row r="8" spans="1:14" ht="15" customHeight="1" x14ac:dyDescent="0.45">
      <c r="A8"/>
      <c r="B8" t="s">
        <v>433</v>
      </c>
      <c r="C8" s="73" t="s">
        <v>68</v>
      </c>
      <c r="D8" s="65" t="s">
        <v>434</v>
      </c>
      <c r="E8" s="73" t="s">
        <v>70</v>
      </c>
      <c r="F8" t="s">
        <v>435</v>
      </c>
    </row>
    <row r="9" spans="1:14" ht="15" customHeight="1" x14ac:dyDescent="0.45">
      <c r="A9"/>
      <c r="B9"/>
      <c r="C9" s="65"/>
      <c r="E9" s="65"/>
    </row>
    <row r="10" spans="1:14" ht="15" customHeight="1" x14ac:dyDescent="0.45">
      <c r="A10" s="15" t="s">
        <v>72</v>
      </c>
      <c r="B10"/>
      <c r="C10" s="65"/>
      <c r="E10" s="65"/>
    </row>
    <row r="11" spans="1:14" ht="15" customHeight="1" x14ac:dyDescent="0.45">
      <c r="A11"/>
      <c r="B11" s="16" t="s">
        <v>73</v>
      </c>
      <c r="C11" s="65"/>
      <c r="E11" s="65"/>
    </row>
    <row r="12" spans="1:14" ht="15" customHeight="1" x14ac:dyDescent="0.45">
      <c r="A12"/>
      <c r="B12" s="16" t="s">
        <v>74</v>
      </c>
      <c r="C12" s="65"/>
      <c r="E12" s="65"/>
    </row>
    <row r="13" spans="1:14" ht="15" customHeight="1" x14ac:dyDescent="0.45">
      <c r="A13"/>
      <c r="B13" s="16" t="s">
        <v>75</v>
      </c>
    </row>
    <row r="14" spans="1:14" ht="15" customHeight="1" x14ac:dyDescent="0.45">
      <c r="A14"/>
      <c r="B14"/>
    </row>
    <row r="15" spans="1:14" ht="15" customHeight="1" x14ac:dyDescent="0.45">
      <c r="A15"/>
      <c r="B15" s="67" t="s">
        <v>42</v>
      </c>
      <c r="C15" s="73" t="s">
        <v>68</v>
      </c>
      <c r="D15" s="67" t="s">
        <v>69</v>
      </c>
      <c r="E15" s="73" t="s">
        <v>70</v>
      </c>
      <c r="F15" s="67" t="s">
        <v>71</v>
      </c>
    </row>
    <row r="16" spans="1:14" ht="15" customHeight="1" x14ac:dyDescent="0.45">
      <c r="A16"/>
      <c r="B16" t="s">
        <v>433</v>
      </c>
      <c r="C16" s="73" t="s">
        <v>68</v>
      </c>
      <c r="D16" s="65" t="s">
        <v>436</v>
      </c>
      <c r="E16" s="73" t="s">
        <v>70</v>
      </c>
      <c r="F16">
        <v>0</v>
      </c>
    </row>
    <row r="17" spans="1:6" ht="15" customHeight="1" x14ac:dyDescent="0.45">
      <c r="A17"/>
      <c r="B17"/>
      <c r="C17" s="65"/>
      <c r="D17" s="65"/>
      <c r="E17" s="65"/>
    </row>
    <row r="18" spans="1:6" ht="15" customHeight="1" x14ac:dyDescent="0.45">
      <c r="A18" s="15" t="s">
        <v>76</v>
      </c>
      <c r="B18"/>
      <c r="C18" s="65"/>
      <c r="D18" s="65"/>
      <c r="E18" s="65"/>
    </row>
    <row r="19" spans="1:6" ht="15" customHeight="1" x14ac:dyDescent="0.45">
      <c r="A19"/>
      <c r="B19" s="16" t="s">
        <v>77</v>
      </c>
      <c r="C19" s="65"/>
      <c r="D19" s="65"/>
      <c r="E19" s="65"/>
    </row>
    <row r="20" spans="1:6" ht="15" customHeight="1" x14ac:dyDescent="0.45">
      <c r="A20"/>
      <c r="B20" s="16" t="s">
        <v>78</v>
      </c>
      <c r="C20" s="65"/>
      <c r="D20" s="65"/>
      <c r="E20" s="65"/>
    </row>
    <row r="21" spans="1:6" ht="15" customHeight="1" x14ac:dyDescent="0.45">
      <c r="A21"/>
      <c r="B21"/>
      <c r="C21" s="65"/>
      <c r="D21" s="65"/>
      <c r="E21" s="65"/>
    </row>
    <row r="22" spans="1:6" ht="15" customHeight="1" x14ac:dyDescent="0.45">
      <c r="A22"/>
      <c r="B22" s="67" t="s">
        <v>42</v>
      </c>
      <c r="C22" s="73" t="s">
        <v>68</v>
      </c>
      <c r="D22" s="67" t="s">
        <v>69</v>
      </c>
      <c r="E22" s="73" t="s">
        <v>70</v>
      </c>
      <c r="F22" s="67" t="s">
        <v>71</v>
      </c>
    </row>
    <row r="23" spans="1:6" ht="15" customHeight="1" x14ac:dyDescent="0.45">
      <c r="A23"/>
      <c r="B23" t="s">
        <v>434</v>
      </c>
      <c r="C23" s="73" t="s">
        <v>68</v>
      </c>
      <c r="D23" s="65" t="s">
        <v>437</v>
      </c>
      <c r="E23" s="73" t="s">
        <v>70</v>
      </c>
      <c r="F23" t="s">
        <v>438</v>
      </c>
    </row>
    <row r="24" spans="1:6" ht="15" customHeight="1" x14ac:dyDescent="0.45">
      <c r="A24"/>
      <c r="B24"/>
    </row>
    <row r="25" spans="1:6" ht="15" customHeight="1" x14ac:dyDescent="0.45">
      <c r="A25" s="15" t="s">
        <v>79</v>
      </c>
      <c r="B25"/>
    </row>
    <row r="26" spans="1:6" ht="15" customHeight="1" x14ac:dyDescent="0.45">
      <c r="A26"/>
      <c r="B26" s="16" t="s">
        <v>87</v>
      </c>
    </row>
    <row r="27" spans="1:6" ht="15" customHeight="1" x14ac:dyDescent="0.45">
      <c r="A27"/>
      <c r="B27" s="16" t="s">
        <v>80</v>
      </c>
    </row>
    <row r="28" spans="1:6" ht="15" customHeight="1" x14ac:dyDescent="0.45">
      <c r="A28"/>
      <c r="B28" s="16" t="s">
        <v>81</v>
      </c>
    </row>
    <row r="29" spans="1:6" ht="15" customHeight="1" x14ac:dyDescent="0.45">
      <c r="A29"/>
      <c r="B29" s="16" t="s">
        <v>82</v>
      </c>
    </row>
    <row r="30" spans="1:6" ht="15" customHeight="1" x14ac:dyDescent="0.45">
      <c r="A30"/>
      <c r="B30" s="16" t="s">
        <v>94</v>
      </c>
    </row>
    <row r="31" spans="1:6" ht="15" customHeight="1" x14ac:dyDescent="0.45">
      <c r="A31"/>
      <c r="B31" s="16" t="s">
        <v>83</v>
      </c>
    </row>
    <row r="32" spans="1:6" ht="15" customHeight="1" x14ac:dyDescent="0.45">
      <c r="A32"/>
      <c r="B32"/>
    </row>
    <row r="33" spans="1:6" ht="15" customHeight="1" x14ac:dyDescent="0.45">
      <c r="A33"/>
      <c r="B33" s="73" t="s">
        <v>42</v>
      </c>
      <c r="C33" s="73" t="s">
        <v>68</v>
      </c>
      <c r="D33" s="67" t="s">
        <v>69</v>
      </c>
      <c r="E33" s="73" t="s">
        <v>70</v>
      </c>
      <c r="F33" s="67" t="s">
        <v>71</v>
      </c>
    </row>
    <row r="34" spans="1:6" ht="15" customHeight="1" x14ac:dyDescent="0.45">
      <c r="A34"/>
      <c r="B34" s="65" t="s">
        <v>439</v>
      </c>
      <c r="C34" s="73" t="s">
        <v>68</v>
      </c>
      <c r="D34" s="65" t="s">
        <v>440</v>
      </c>
      <c r="E34" s="73" t="s">
        <v>70</v>
      </c>
      <c r="F34" t="s">
        <v>441</v>
      </c>
    </row>
    <row r="35" spans="1:6" ht="15" customHeight="1" x14ac:dyDescent="0.45">
      <c r="A35"/>
      <c r="B35" s="65"/>
      <c r="C35" s="65"/>
      <c r="D35" s="65"/>
      <c r="E35" s="65"/>
    </row>
    <row r="36" spans="1:6" ht="15" customHeight="1" x14ac:dyDescent="0.45">
      <c r="A36" s="15" t="s">
        <v>84</v>
      </c>
      <c r="B36" s="65"/>
      <c r="C36" s="65"/>
      <c r="D36" s="65"/>
      <c r="E36" s="65"/>
    </row>
    <row r="37" spans="1:6" ht="15" customHeight="1" x14ac:dyDescent="0.45">
      <c r="A37"/>
      <c r="B37" s="66" t="s">
        <v>88</v>
      </c>
      <c r="C37" s="65"/>
      <c r="D37" s="65"/>
      <c r="E37" s="65"/>
    </row>
    <row r="38" spans="1:6" ht="15" customHeight="1" x14ac:dyDescent="0.45">
      <c r="A38"/>
      <c r="B38" s="16" t="s">
        <v>78</v>
      </c>
      <c r="C38" s="65"/>
      <c r="D38" s="65"/>
      <c r="E38" s="65"/>
    </row>
    <row r="39" spans="1:6" ht="15" customHeight="1" x14ac:dyDescent="0.45">
      <c r="A39"/>
      <c r="B39"/>
      <c r="C39" s="65"/>
      <c r="D39" s="65"/>
      <c r="E39" s="65"/>
    </row>
    <row r="40" spans="1:6" ht="15" customHeight="1" x14ac:dyDescent="0.45">
      <c r="A40"/>
      <c r="B40" s="73" t="s">
        <v>42</v>
      </c>
      <c r="C40" s="73" t="s">
        <v>68</v>
      </c>
      <c r="D40" s="67" t="s">
        <v>69</v>
      </c>
      <c r="E40" s="73" t="s">
        <v>70</v>
      </c>
      <c r="F40" s="67" t="s">
        <v>71</v>
      </c>
    </row>
    <row r="41" spans="1:6" ht="15" customHeight="1" x14ac:dyDescent="0.45">
      <c r="A41"/>
      <c r="B41" s="65" t="s">
        <v>434</v>
      </c>
      <c r="C41" s="73" t="s">
        <v>68</v>
      </c>
      <c r="D41" s="65" t="s">
        <v>442</v>
      </c>
      <c r="E41" s="73" t="s">
        <v>70</v>
      </c>
      <c r="F41" t="s">
        <v>441</v>
      </c>
    </row>
    <row r="42" spans="1:6" ht="15" customHeight="1" x14ac:dyDescent="0.45">
      <c r="A42"/>
      <c r="B42" s="65"/>
      <c r="C42" s="65"/>
      <c r="D42" s="65"/>
      <c r="E42" s="65"/>
    </row>
    <row r="43" spans="1:6" ht="15" customHeight="1" x14ac:dyDescent="0.45">
      <c r="A43" s="15" t="s">
        <v>85</v>
      </c>
      <c r="B43"/>
    </row>
    <row r="44" spans="1:6" ht="15" customHeight="1" x14ac:dyDescent="0.45">
      <c r="A44"/>
      <c r="B44" s="16" t="s">
        <v>89</v>
      </c>
    </row>
    <row r="45" spans="1:6" ht="15" customHeight="1" x14ac:dyDescent="0.45">
      <c r="A45"/>
      <c r="B45" s="16" t="s">
        <v>90</v>
      </c>
    </row>
    <row r="46" spans="1:6" ht="15" customHeight="1" x14ac:dyDescent="0.45">
      <c r="A46"/>
      <c r="B46" s="16" t="s">
        <v>95</v>
      </c>
    </row>
    <row r="47" spans="1:6" ht="15" customHeight="1" x14ac:dyDescent="0.45">
      <c r="A47"/>
      <c r="B47" s="16" t="s">
        <v>83</v>
      </c>
    </row>
    <row r="48" spans="1:6" ht="15" customHeight="1" x14ac:dyDescent="0.45">
      <c r="A48"/>
      <c r="B48"/>
    </row>
    <row r="49" spans="1:6" ht="15" customHeight="1" x14ac:dyDescent="0.45">
      <c r="A49"/>
      <c r="B49" s="73" t="s">
        <v>42</v>
      </c>
      <c r="C49" s="73" t="s">
        <v>68</v>
      </c>
      <c r="D49" s="67" t="s">
        <v>69</v>
      </c>
      <c r="E49" s="73" t="s">
        <v>70</v>
      </c>
      <c r="F49" s="67" t="s">
        <v>71</v>
      </c>
    </row>
    <row r="50" spans="1:6" ht="15" customHeight="1" x14ac:dyDescent="0.45">
      <c r="A50"/>
      <c r="B50" s="65" t="s">
        <v>439</v>
      </c>
      <c r="C50" s="73" t="s">
        <v>68</v>
      </c>
      <c r="D50" s="65" t="s">
        <v>443</v>
      </c>
      <c r="E50" s="73" t="s">
        <v>70</v>
      </c>
      <c r="F50" t="s">
        <v>444</v>
      </c>
    </row>
    <row r="51" spans="1:6" ht="15" customHeight="1" x14ac:dyDescent="0.45">
      <c r="A51"/>
      <c r="B51" s="65"/>
      <c r="C51" s="65"/>
      <c r="D51" s="65"/>
      <c r="E51" s="65"/>
    </row>
    <row r="52" spans="1:6" ht="15" customHeight="1" x14ac:dyDescent="0.45">
      <c r="A52" s="15" t="s">
        <v>86</v>
      </c>
      <c r="B52" s="65"/>
      <c r="C52" s="65"/>
      <c r="D52" s="65"/>
      <c r="E52" s="65"/>
    </row>
    <row r="53" spans="1:6" ht="15" customHeight="1" x14ac:dyDescent="0.45">
      <c r="A53"/>
      <c r="B53" s="66" t="s">
        <v>88</v>
      </c>
      <c r="C53" s="65"/>
      <c r="D53" s="65"/>
      <c r="E53" s="65"/>
    </row>
    <row r="54" spans="1:6" ht="15" customHeight="1" x14ac:dyDescent="0.45">
      <c r="A54"/>
      <c r="B54" s="16" t="s">
        <v>78</v>
      </c>
      <c r="C54" s="65"/>
      <c r="D54" s="65"/>
      <c r="E54" s="65"/>
    </row>
    <row r="55" spans="1:6" ht="15" customHeight="1" x14ac:dyDescent="0.45">
      <c r="A55"/>
      <c r="B55"/>
      <c r="C55" s="65"/>
      <c r="D55" s="65"/>
      <c r="E55" s="65"/>
    </row>
    <row r="56" spans="1:6" ht="15" customHeight="1" x14ac:dyDescent="0.45">
      <c r="A56"/>
      <c r="B56" s="73" t="s">
        <v>42</v>
      </c>
      <c r="C56" s="73" t="s">
        <v>68</v>
      </c>
      <c r="D56" s="67" t="s">
        <v>69</v>
      </c>
      <c r="E56" s="73" t="s">
        <v>70</v>
      </c>
      <c r="F56" s="67" t="s">
        <v>71</v>
      </c>
    </row>
    <row r="57" spans="1:6" ht="15" customHeight="1" x14ac:dyDescent="0.45">
      <c r="A57"/>
      <c r="B57" s="65" t="s">
        <v>434</v>
      </c>
      <c r="C57" s="73" t="s">
        <v>68</v>
      </c>
      <c r="D57" s="65" t="s">
        <v>445</v>
      </c>
      <c r="E57" s="73" t="s">
        <v>70</v>
      </c>
      <c r="F57" t="s">
        <v>446</v>
      </c>
    </row>
    <row r="58" spans="1:6" ht="15" customHeight="1" x14ac:dyDescent="0.45">
      <c r="A58"/>
      <c r="B58" s="65"/>
      <c r="C58" s="65"/>
      <c r="D58" s="65"/>
      <c r="E58" s="65"/>
    </row>
    <row r="59" spans="1:6" ht="15" customHeight="1" x14ac:dyDescent="0.45">
      <c r="A59" s="15" t="s">
        <v>91</v>
      </c>
      <c r="B59" s="65"/>
      <c r="C59" s="65"/>
      <c r="D59" s="65"/>
      <c r="E59" s="65"/>
    </row>
    <row r="60" spans="1:6" ht="15" customHeight="1" x14ac:dyDescent="0.45">
      <c r="A60"/>
      <c r="B60" s="66" t="s">
        <v>92</v>
      </c>
      <c r="C60" s="65"/>
      <c r="D60" s="65"/>
      <c r="E60" s="65"/>
    </row>
    <row r="61" spans="1:6" ht="15" customHeight="1" x14ac:dyDescent="0.45">
      <c r="A61"/>
      <c r="B61" s="65"/>
      <c r="C61" s="65"/>
      <c r="D61" s="65"/>
      <c r="E61" s="65"/>
    </row>
    <row r="62" spans="1:6" ht="15" customHeight="1" x14ac:dyDescent="0.45">
      <c r="A62"/>
      <c r="B62" s="65" t="s">
        <v>447</v>
      </c>
      <c r="C62" s="65"/>
      <c r="D62" s="65"/>
      <c r="E62" s="65"/>
    </row>
    <row r="63" spans="1:6" ht="15" customHeight="1" x14ac:dyDescent="0.45">
      <c r="A63"/>
      <c r="B63" s="65" t="s">
        <v>448</v>
      </c>
      <c r="C63" s="65"/>
      <c r="D63" s="65"/>
      <c r="E63" s="65"/>
    </row>
    <row r="64" spans="1:6" ht="15" customHeight="1" x14ac:dyDescent="0.45">
      <c r="A64"/>
      <c r="B64" s="65"/>
      <c r="C64" s="65"/>
      <c r="D64" s="65"/>
      <c r="E64" s="65"/>
    </row>
    <row r="65" spans="1:5" ht="15" customHeight="1" x14ac:dyDescent="0.45">
      <c r="A65" s="15" t="s">
        <v>93</v>
      </c>
      <c r="B65" s="65"/>
      <c r="C65" s="65"/>
      <c r="D65" s="65"/>
      <c r="E65" s="65"/>
    </row>
    <row r="66" spans="1:5" ht="15" customHeight="1" x14ac:dyDescent="0.45">
      <c r="A66"/>
      <c r="B66" s="66" t="s">
        <v>96</v>
      </c>
      <c r="C66" s="65"/>
      <c r="D66" s="65"/>
      <c r="E66" s="65"/>
    </row>
    <row r="67" spans="1:5" ht="15" customHeight="1" x14ac:dyDescent="0.45">
      <c r="A67"/>
      <c r="B67" s="65"/>
      <c r="C67" s="65"/>
      <c r="D67" s="65"/>
      <c r="E67" s="65"/>
    </row>
    <row r="68" spans="1:5" ht="15" customHeight="1" x14ac:dyDescent="0.45">
      <c r="A68"/>
      <c r="B68"/>
    </row>
    <row r="69" spans="1:5" ht="15" customHeight="1" x14ac:dyDescent="0.45">
      <c r="A69"/>
      <c r="B69"/>
    </row>
    <row r="70" spans="1:5" ht="15" customHeight="1" x14ac:dyDescent="0.45">
      <c r="A70"/>
      <c r="B70"/>
    </row>
    <row r="71" spans="1:5" ht="15" customHeight="1" x14ac:dyDescent="0.45">
      <c r="A71"/>
      <c r="B71"/>
    </row>
    <row r="72" spans="1:5" ht="15" customHeight="1" x14ac:dyDescent="0.45">
      <c r="A72"/>
      <c r="B72"/>
    </row>
    <row r="73" spans="1:5" ht="15" customHeight="1" x14ac:dyDescent="0.45">
      <c r="A73"/>
      <c r="B73"/>
    </row>
    <row r="74" spans="1:5" ht="15" customHeight="1" x14ac:dyDescent="0.45">
      <c r="A74"/>
      <c r="B74"/>
      <c r="C74" s="65"/>
      <c r="E74" s="65"/>
    </row>
    <row r="75" spans="1:5" ht="15" customHeight="1" x14ac:dyDescent="0.45">
      <c r="A75"/>
      <c r="B75" s="65"/>
      <c r="C75" s="65"/>
      <c r="D75" s="65"/>
      <c r="E75" s="65"/>
    </row>
    <row r="76" spans="1:5" ht="15" customHeight="1" x14ac:dyDescent="0.45">
      <c r="A76"/>
      <c r="B76" s="65"/>
      <c r="C76" s="65"/>
      <c r="D76" s="65"/>
      <c r="E76" s="65"/>
    </row>
    <row r="77" spans="1:5" ht="15" customHeight="1" x14ac:dyDescent="0.45">
      <c r="A77"/>
      <c r="B77"/>
    </row>
    <row r="78" spans="1:5" ht="15" customHeight="1" x14ac:dyDescent="0.45">
      <c r="A78"/>
      <c r="B78"/>
      <c r="C78" s="65"/>
      <c r="E78" s="65"/>
    </row>
    <row r="79" spans="1:5" ht="15" customHeight="1" x14ac:dyDescent="0.45">
      <c r="A79"/>
      <c r="B79" s="65"/>
      <c r="C79" s="65"/>
      <c r="D79" s="65"/>
      <c r="E79" s="65"/>
    </row>
    <row r="80" spans="1:5" ht="15" customHeight="1" x14ac:dyDescent="0.45">
      <c r="A80"/>
      <c r="B80" s="66" t="s">
        <v>39</v>
      </c>
      <c r="C80" s="65"/>
      <c r="D80" s="73">
        <v>703</v>
      </c>
      <c r="E80" s="65"/>
    </row>
    <row r="81" spans="1:5" ht="15" customHeight="1" x14ac:dyDescent="0.45">
      <c r="A81"/>
      <c r="B81" s="65"/>
      <c r="C81" s="65"/>
      <c r="D81" s="65"/>
      <c r="E81" s="65"/>
    </row>
    <row r="82" spans="1:5" ht="15" customHeight="1" x14ac:dyDescent="0.45">
      <c r="A82"/>
      <c r="B82" s="65"/>
      <c r="C82" s="65"/>
      <c r="D82" s="65"/>
      <c r="E82" s="65"/>
    </row>
    <row r="83" spans="1:5" ht="15" customHeight="1" x14ac:dyDescent="0.45">
      <c r="A83"/>
      <c r="B83"/>
      <c r="C83" s="65"/>
      <c r="D83" s="65"/>
      <c r="E83" s="65"/>
    </row>
    <row r="84" spans="1:5" ht="15" customHeight="1" x14ac:dyDescent="0.45">
      <c r="A84"/>
      <c r="B84"/>
      <c r="C84" s="65"/>
      <c r="D84" s="65"/>
      <c r="E84" s="65"/>
    </row>
    <row r="85" spans="1:5" ht="15" customHeight="1" x14ac:dyDescent="0.45">
      <c r="A85"/>
      <c r="B85"/>
      <c r="C85" s="65"/>
      <c r="E85" s="65"/>
    </row>
    <row r="86" spans="1:5" ht="15" customHeight="1" x14ac:dyDescent="0.45">
      <c r="A86"/>
      <c r="B86" s="65"/>
      <c r="C86" s="65"/>
      <c r="D86" s="65"/>
      <c r="E86" s="65"/>
    </row>
    <row r="87" spans="1:5" ht="15" customHeight="1" x14ac:dyDescent="0.45">
      <c r="A87"/>
      <c r="B87"/>
    </row>
    <row r="88" spans="1:5" ht="15" customHeight="1" x14ac:dyDescent="0.45">
      <c r="A88"/>
      <c r="B88"/>
    </row>
    <row r="89" spans="1:5" ht="15" customHeight="1" x14ac:dyDescent="0.45">
      <c r="A89"/>
      <c r="B89"/>
    </row>
    <row r="90" spans="1:5" ht="15" customHeight="1" x14ac:dyDescent="0.45">
      <c r="A90"/>
      <c r="B90"/>
    </row>
    <row r="91" spans="1:5" ht="15" customHeight="1" x14ac:dyDescent="0.45">
      <c r="A91"/>
      <c r="B91"/>
    </row>
    <row r="92" spans="1:5" ht="15" customHeight="1" x14ac:dyDescent="0.45">
      <c r="A92"/>
      <c r="B92"/>
    </row>
    <row r="93" spans="1:5" ht="15" customHeight="1" x14ac:dyDescent="0.45">
      <c r="A93"/>
      <c r="B93"/>
    </row>
    <row r="94" spans="1:5" ht="15" customHeight="1" x14ac:dyDescent="0.45">
      <c r="A94"/>
      <c r="B94"/>
    </row>
    <row r="95" spans="1:5" ht="15" customHeight="1" x14ac:dyDescent="0.45">
      <c r="A95"/>
      <c r="B95"/>
    </row>
    <row r="96" spans="1:5" ht="15" customHeight="1" x14ac:dyDescent="0.45">
      <c r="A96"/>
      <c r="B96"/>
    </row>
    <row r="97" spans="1:4" ht="15" customHeight="1" x14ac:dyDescent="0.45">
      <c r="A97"/>
      <c r="B97"/>
    </row>
    <row r="98" spans="1:4" ht="15" customHeight="1" x14ac:dyDescent="0.45">
      <c r="A98"/>
      <c r="B98"/>
    </row>
    <row r="99" spans="1:4" ht="15" customHeight="1" x14ac:dyDescent="0.45">
      <c r="A99"/>
      <c r="B99"/>
    </row>
    <row r="100" spans="1:4" ht="15" customHeight="1" x14ac:dyDescent="0.45">
      <c r="A100"/>
      <c r="B100"/>
    </row>
    <row r="101" spans="1:4" ht="15" customHeight="1" x14ac:dyDescent="0.45">
      <c r="A101"/>
      <c r="B101"/>
    </row>
    <row r="102" spans="1:4" ht="15" customHeight="1" x14ac:dyDescent="0.45">
      <c r="A102"/>
      <c r="B102"/>
    </row>
    <row r="103" spans="1:4" ht="15" customHeight="1" x14ac:dyDescent="0.45">
      <c r="A103"/>
      <c r="B103"/>
    </row>
    <row r="104" spans="1:4" ht="15" customHeight="1" x14ac:dyDescent="0.45">
      <c r="A104"/>
      <c r="B104"/>
    </row>
    <row r="105" spans="1:4" ht="15" customHeight="1" x14ac:dyDescent="0.45">
      <c r="A105"/>
      <c r="B105"/>
    </row>
    <row r="106" spans="1:4" ht="15" customHeight="1" x14ac:dyDescent="0.45">
      <c r="A106"/>
      <c r="B106"/>
      <c r="D106" s="74">
        <v>40082</v>
      </c>
    </row>
    <row r="107" spans="1:4" ht="15" customHeight="1" x14ac:dyDescent="0.45">
      <c r="A107"/>
      <c r="B107" s="16" t="s">
        <v>97</v>
      </c>
      <c r="D107">
        <v>7658</v>
      </c>
    </row>
    <row r="108" spans="1:4" ht="15" customHeight="1" x14ac:dyDescent="0.45">
      <c r="A108"/>
      <c r="B108" s="16" t="s">
        <v>98</v>
      </c>
      <c r="D108">
        <f>D107+D80</f>
        <v>8361</v>
      </c>
    </row>
    <row r="109" spans="1:4" ht="15" customHeight="1" x14ac:dyDescent="0.45">
      <c r="A109"/>
      <c r="B109"/>
    </row>
    <row r="110" spans="1:4" ht="15" customHeight="1" x14ac:dyDescent="0.45">
      <c r="A110"/>
      <c r="B110" s="16" t="s">
        <v>99</v>
      </c>
      <c r="D110">
        <f>36265-19282</f>
        <v>16983</v>
      </c>
    </row>
    <row r="111" spans="1:4" ht="15" customHeight="1" x14ac:dyDescent="0.45">
      <c r="A111"/>
      <c r="B111" s="16" t="s">
        <v>100</v>
      </c>
      <c r="D111">
        <f>3361+455+2101+6884-5601-3376-10305</f>
        <v>-6481</v>
      </c>
    </row>
    <row r="112" spans="1:4" ht="15" customHeight="1" x14ac:dyDescent="0.45">
      <c r="A112"/>
      <c r="B112"/>
    </row>
    <row r="113" spans="1:5" ht="15" customHeight="1" x14ac:dyDescent="0.45">
      <c r="A113" s="15" t="s">
        <v>101</v>
      </c>
      <c r="B113"/>
    </row>
    <row r="114" spans="1:5" ht="15" customHeight="1" x14ac:dyDescent="0.45">
      <c r="A114"/>
      <c r="B114" s="16" t="s">
        <v>102</v>
      </c>
    </row>
    <row r="115" spans="1:5" ht="15" customHeight="1" x14ac:dyDescent="0.45">
      <c r="A115"/>
      <c r="B115"/>
    </row>
    <row r="116" spans="1:5" ht="15" customHeight="1" x14ac:dyDescent="0.45">
      <c r="A116"/>
      <c r="B116"/>
    </row>
    <row r="117" spans="1:5" ht="15" customHeight="1" x14ac:dyDescent="0.45">
      <c r="A117"/>
      <c r="B117"/>
    </row>
    <row r="118" spans="1:5" ht="15" customHeight="1" x14ac:dyDescent="0.45">
      <c r="A118"/>
      <c r="B118"/>
    </row>
    <row r="119" spans="1:5" ht="15" customHeight="1" x14ac:dyDescent="0.45">
      <c r="A119"/>
      <c r="B119"/>
    </row>
    <row r="120" spans="1:5" ht="15" customHeight="1" x14ac:dyDescent="0.45">
      <c r="A120"/>
      <c r="B120"/>
    </row>
    <row r="121" spans="1:5" ht="15" customHeight="1" x14ac:dyDescent="0.45">
      <c r="A121"/>
      <c r="B121"/>
    </row>
    <row r="122" spans="1:5" ht="15" customHeight="1" x14ac:dyDescent="0.45">
      <c r="A122"/>
      <c r="B122"/>
    </row>
    <row r="123" spans="1:5" ht="15" customHeight="1" x14ac:dyDescent="0.45">
      <c r="A123"/>
      <c r="B123"/>
    </row>
    <row r="124" spans="1:5" ht="15" customHeight="1" x14ac:dyDescent="0.45">
      <c r="A124"/>
      <c r="B124"/>
    </row>
    <row r="125" spans="1:5" ht="15" customHeight="1" x14ac:dyDescent="0.45">
      <c r="A125"/>
      <c r="B125"/>
    </row>
    <row r="126" spans="1:5" ht="15" customHeight="1" x14ac:dyDescent="0.45">
      <c r="A126"/>
      <c r="B126"/>
    </row>
    <row r="127" spans="1:5" ht="15" customHeight="1" x14ac:dyDescent="0.45">
      <c r="A127"/>
      <c r="B127"/>
    </row>
    <row r="128" spans="1:5" ht="15" customHeight="1" x14ac:dyDescent="0.45">
      <c r="A128"/>
      <c r="B128" s="16" t="s">
        <v>40</v>
      </c>
      <c r="D128" s="67">
        <v>1027</v>
      </c>
      <c r="E128" s="67">
        <v>734</v>
      </c>
    </row>
    <row r="129" spans="1:2" ht="15" customHeight="1" x14ac:dyDescent="0.45">
      <c r="A129"/>
      <c r="B129"/>
    </row>
    <row r="130" spans="1:2" ht="15" customHeight="1" x14ac:dyDescent="0.45">
      <c r="A130"/>
      <c r="B130"/>
    </row>
    <row r="131" spans="1:2" ht="15" customHeight="1" x14ac:dyDescent="0.45">
      <c r="A131"/>
      <c r="B131"/>
    </row>
    <row r="132" spans="1:2" ht="15" customHeight="1" x14ac:dyDescent="0.45">
      <c r="A132"/>
      <c r="B132"/>
    </row>
    <row r="133" spans="1:2" ht="15" customHeight="1" x14ac:dyDescent="0.45">
      <c r="A133"/>
      <c r="B133"/>
    </row>
    <row r="134" spans="1:2" ht="15" customHeight="1" x14ac:dyDescent="0.45">
      <c r="A134"/>
      <c r="B134"/>
    </row>
    <row r="135" spans="1:2" ht="15" customHeight="1" x14ac:dyDescent="0.45">
      <c r="A135"/>
      <c r="B135"/>
    </row>
    <row r="136" spans="1:2" ht="15" customHeight="1" x14ac:dyDescent="0.45">
      <c r="A136"/>
      <c r="B136"/>
    </row>
    <row r="137" spans="1:2" ht="15" customHeight="1" x14ac:dyDescent="0.45">
      <c r="A137"/>
      <c r="B137"/>
    </row>
    <row r="138" spans="1:2" ht="15" customHeight="1" x14ac:dyDescent="0.45">
      <c r="A138"/>
      <c r="B138"/>
    </row>
    <row r="139" spans="1:2" ht="15" customHeight="1" x14ac:dyDescent="0.45">
      <c r="A139"/>
      <c r="B139"/>
    </row>
    <row r="140" spans="1:2" ht="15" customHeight="1" x14ac:dyDescent="0.45">
      <c r="A140"/>
      <c r="B140"/>
    </row>
    <row r="141" spans="1:2" ht="15" customHeight="1" x14ac:dyDescent="0.45">
      <c r="A141"/>
      <c r="B141"/>
    </row>
    <row r="142" spans="1:2" ht="15" customHeight="1" x14ac:dyDescent="0.45">
      <c r="A142"/>
      <c r="B142"/>
    </row>
    <row r="143" spans="1:2" ht="15" customHeight="1" x14ac:dyDescent="0.45">
      <c r="A143"/>
      <c r="B143"/>
    </row>
    <row r="144" spans="1:2" ht="15" customHeight="1" x14ac:dyDescent="0.45">
      <c r="A144"/>
      <c r="B144"/>
    </row>
    <row r="145" spans="1:4" ht="15" customHeight="1" x14ac:dyDescent="0.45">
      <c r="A145"/>
      <c r="B145"/>
    </row>
    <row r="146" spans="1:4" ht="15" customHeight="1" x14ac:dyDescent="0.45">
      <c r="A146"/>
      <c r="B146"/>
    </row>
    <row r="147" spans="1:4" ht="15" customHeight="1" x14ac:dyDescent="0.45">
      <c r="A147"/>
      <c r="B147"/>
    </row>
    <row r="148" spans="1:4" ht="15" customHeight="1" x14ac:dyDescent="0.45">
      <c r="A148"/>
      <c r="B148"/>
    </row>
    <row r="149" spans="1:4" ht="15" customHeight="1" x14ac:dyDescent="0.45">
      <c r="A149"/>
      <c r="B149"/>
    </row>
    <row r="150" spans="1:4" ht="15" customHeight="1" x14ac:dyDescent="0.45">
      <c r="A150"/>
      <c r="B150"/>
    </row>
    <row r="151" spans="1:4" ht="15" customHeight="1" x14ac:dyDescent="0.45">
      <c r="A151"/>
      <c r="B151"/>
    </row>
    <row r="152" spans="1:4" ht="15" customHeight="1" x14ac:dyDescent="0.45">
      <c r="A152"/>
      <c r="B152"/>
    </row>
    <row r="153" spans="1:4" ht="15" customHeight="1" x14ac:dyDescent="0.45">
      <c r="A153"/>
      <c r="B153"/>
    </row>
    <row r="154" spans="1:4" ht="15" customHeight="1" x14ac:dyDescent="0.45">
      <c r="A154"/>
      <c r="B154"/>
    </row>
    <row r="155" spans="1:4" ht="15" customHeight="1" x14ac:dyDescent="0.45">
      <c r="A155"/>
      <c r="B155"/>
    </row>
    <row r="156" spans="1:4" ht="15" customHeight="1" x14ac:dyDescent="0.45">
      <c r="A156"/>
      <c r="B156"/>
    </row>
    <row r="157" spans="1:4" ht="15" customHeight="1" x14ac:dyDescent="0.45">
      <c r="A157"/>
      <c r="B157"/>
    </row>
    <row r="158" spans="1:4" ht="15" customHeight="1" x14ac:dyDescent="0.45">
      <c r="A158"/>
      <c r="B158"/>
    </row>
    <row r="159" spans="1:4" ht="15" customHeight="1" x14ac:dyDescent="0.45">
      <c r="A159"/>
      <c r="B159"/>
      <c r="C159" s="75">
        <v>40447</v>
      </c>
      <c r="D159" s="75">
        <v>40082</v>
      </c>
    </row>
    <row r="160" spans="1:4" ht="15" customHeight="1" x14ac:dyDescent="0.45">
      <c r="A160"/>
      <c r="B160" s="16" t="s">
        <v>97</v>
      </c>
      <c r="C160">
        <v>18385</v>
      </c>
      <c r="D160">
        <v>11740</v>
      </c>
    </row>
    <row r="161" spans="1:4" ht="15" customHeight="1" x14ac:dyDescent="0.45">
      <c r="A161"/>
      <c r="B161" s="16" t="s">
        <v>98</v>
      </c>
      <c r="C161">
        <f>C160+D128</f>
        <v>19412</v>
      </c>
      <c r="D161">
        <f>D160+E128</f>
        <v>12474</v>
      </c>
    </row>
    <row r="162" spans="1:4" ht="15" customHeight="1" x14ac:dyDescent="0.45">
      <c r="A162"/>
      <c r="B162"/>
    </row>
    <row r="163" spans="1:4" ht="15" customHeight="1" x14ac:dyDescent="0.45">
      <c r="A163"/>
      <c r="B163" s="16" t="s">
        <v>99</v>
      </c>
      <c r="C163">
        <f>41678-20722</f>
        <v>20956</v>
      </c>
      <c r="D163">
        <f>31555-11506</f>
        <v>20049</v>
      </c>
    </row>
    <row r="164" spans="1:4" ht="15" customHeight="1" x14ac:dyDescent="0.45">
      <c r="A164"/>
      <c r="B164" s="16" t="s">
        <v>100</v>
      </c>
      <c r="C164">
        <f>5510+1051+1636+4414+3447-12015-5723-2984</f>
        <v>-4664</v>
      </c>
      <c r="D164">
        <f>3361+455+1135+1696+1444-5601-3852-2053</f>
        <v>-3415</v>
      </c>
    </row>
    <row r="165" spans="1:4" ht="15" customHeight="1" x14ac:dyDescent="0.45">
      <c r="A165"/>
      <c r="B165"/>
    </row>
    <row r="166" spans="1:4" ht="15" customHeight="1" x14ac:dyDescent="0.45">
      <c r="A166" s="15" t="s">
        <v>103</v>
      </c>
      <c r="B166"/>
    </row>
    <row r="167" spans="1:4" ht="15" customHeight="1" x14ac:dyDescent="0.45">
      <c r="A167"/>
      <c r="B167" s="16" t="s">
        <v>104</v>
      </c>
    </row>
    <row r="168" spans="1:4" ht="15" customHeight="1" x14ac:dyDescent="0.45">
      <c r="A168"/>
      <c r="B168" s="16" t="s">
        <v>110</v>
      </c>
    </row>
    <row r="169" spans="1:4" ht="15" customHeight="1" x14ac:dyDescent="0.45">
      <c r="A169"/>
      <c r="B169"/>
    </row>
    <row r="170" spans="1:4" ht="15" customHeight="1" x14ac:dyDescent="0.45">
      <c r="A170"/>
      <c r="B170" s="16" t="s">
        <v>107</v>
      </c>
      <c r="D170">
        <f>D107</f>
        <v>7658</v>
      </c>
    </row>
    <row r="171" spans="1:4" ht="15" customHeight="1" x14ac:dyDescent="0.45">
      <c r="A171"/>
      <c r="B171" s="16" t="s">
        <v>111</v>
      </c>
      <c r="D171">
        <f>D160</f>
        <v>11740</v>
      </c>
    </row>
    <row r="172" spans="1:4" ht="15" customHeight="1" x14ac:dyDescent="0.45">
      <c r="A172"/>
      <c r="B172" s="16" t="s">
        <v>108</v>
      </c>
      <c r="D172">
        <f>D171-D170</f>
        <v>4082</v>
      </c>
    </row>
    <row r="173" spans="1:4" ht="15" customHeight="1" x14ac:dyDescent="0.45">
      <c r="A173"/>
      <c r="B173"/>
    </row>
    <row r="174" spans="1:4" ht="15" customHeight="1" x14ac:dyDescent="0.45">
      <c r="A174"/>
      <c r="B174" s="16" t="s">
        <v>105</v>
      </c>
      <c r="D174">
        <f>10305</f>
        <v>10305</v>
      </c>
    </row>
    <row r="175" spans="1:4" ht="15" customHeight="1" x14ac:dyDescent="0.45">
      <c r="A175"/>
      <c r="B175" s="16" t="s">
        <v>106</v>
      </c>
      <c r="D175">
        <f>2053</f>
        <v>2053</v>
      </c>
    </row>
    <row r="176" spans="1:4" ht="15" customHeight="1" x14ac:dyDescent="0.45">
      <c r="A176"/>
      <c r="B176" s="16" t="s">
        <v>108</v>
      </c>
      <c r="D176">
        <f>D175-D174</f>
        <v>-8252</v>
      </c>
    </row>
    <row r="177" spans="1:4" ht="15" customHeight="1" x14ac:dyDescent="0.45">
      <c r="A177"/>
      <c r="B177"/>
    </row>
    <row r="178" spans="1:4" ht="15" customHeight="1" x14ac:dyDescent="0.45">
      <c r="A178"/>
      <c r="B178" t="s">
        <v>449</v>
      </c>
    </row>
    <row r="179" spans="1:4" ht="15" customHeight="1" x14ac:dyDescent="0.45">
      <c r="A179"/>
      <c r="B179" t="s">
        <v>450</v>
      </c>
    </row>
    <row r="180" spans="1:4" ht="15" customHeight="1" x14ac:dyDescent="0.45">
      <c r="A180"/>
      <c r="B180" t="s">
        <v>451</v>
      </c>
    </row>
    <row r="181" spans="1:4" ht="15" customHeight="1" x14ac:dyDescent="0.45">
      <c r="A181"/>
      <c r="B181"/>
    </row>
    <row r="182" spans="1:4" ht="15" customHeight="1" x14ac:dyDescent="0.45">
      <c r="A182" s="15" t="s">
        <v>109</v>
      </c>
      <c r="B182"/>
    </row>
    <row r="183" spans="1:4" ht="15" customHeight="1" x14ac:dyDescent="0.45">
      <c r="A183"/>
      <c r="B183" s="16" t="s">
        <v>112</v>
      </c>
    </row>
    <row r="184" spans="1:4" ht="15" customHeight="1" x14ac:dyDescent="0.45">
      <c r="A184"/>
      <c r="B184" s="16" t="s">
        <v>113</v>
      </c>
    </row>
    <row r="185" spans="1:4" ht="15" customHeight="1" x14ac:dyDescent="0.45">
      <c r="A185"/>
      <c r="B185" s="16" t="s">
        <v>117</v>
      </c>
    </row>
    <row r="186" spans="1:4" ht="15" customHeight="1" x14ac:dyDescent="0.45">
      <c r="A186"/>
      <c r="B186" s="16" t="s">
        <v>114</v>
      </c>
    </row>
    <row r="187" spans="1:4" ht="15" customHeight="1" x14ac:dyDescent="0.45">
      <c r="A187"/>
      <c r="B187"/>
    </row>
    <row r="188" spans="1:4" ht="15" customHeight="1" x14ac:dyDescent="0.45">
      <c r="A188"/>
      <c r="B188" s="16" t="s">
        <v>98</v>
      </c>
      <c r="D188">
        <f>D161</f>
        <v>12474</v>
      </c>
    </row>
    <row r="189" spans="1:4" ht="15" customHeight="1" x14ac:dyDescent="0.45">
      <c r="A189"/>
      <c r="B189" s="16" t="s">
        <v>115</v>
      </c>
      <c r="D189" s="68">
        <v>6</v>
      </c>
    </row>
    <row r="190" spans="1:4" ht="15" customHeight="1" x14ac:dyDescent="0.45">
      <c r="A190"/>
      <c r="B190" s="16" t="s">
        <v>146</v>
      </c>
      <c r="D190">
        <f>D188*D189</f>
        <v>74844</v>
      </c>
    </row>
    <row r="191" spans="1:4" ht="15" customHeight="1" x14ac:dyDescent="0.45">
      <c r="A191"/>
      <c r="B191"/>
    </row>
    <row r="192" spans="1:4" ht="15" customHeight="1" x14ac:dyDescent="0.45">
      <c r="A192"/>
      <c r="B192" t="s">
        <v>452</v>
      </c>
    </row>
    <row r="193" spans="1:5" ht="15" customHeight="1" x14ac:dyDescent="0.45">
      <c r="A193"/>
      <c r="B193" t="s">
        <v>453</v>
      </c>
    </row>
    <row r="194" spans="1:5" ht="15" customHeight="1" x14ac:dyDescent="0.45">
      <c r="A194"/>
      <c r="B194" t="s">
        <v>454</v>
      </c>
    </row>
    <row r="195" spans="1:5" ht="15" customHeight="1" x14ac:dyDescent="0.45">
      <c r="A195"/>
      <c r="B195"/>
    </row>
    <row r="196" spans="1:5" ht="15" customHeight="1" x14ac:dyDescent="0.45">
      <c r="A196" s="15" t="s">
        <v>455</v>
      </c>
      <c r="B196"/>
    </row>
    <row r="197" spans="1:5" ht="15" customHeight="1" x14ac:dyDescent="0.45">
      <c r="A197"/>
      <c r="B197" s="16" t="s">
        <v>456</v>
      </c>
      <c r="C197" s="65"/>
      <c r="E197" s="65"/>
    </row>
    <row r="198" spans="1:5" ht="15" customHeight="1" x14ac:dyDescent="0.45">
      <c r="A198"/>
      <c r="B198" s="16" t="s">
        <v>457</v>
      </c>
      <c r="C198" s="65"/>
      <c r="E198" s="65"/>
    </row>
    <row r="199" spans="1:5" ht="15" customHeight="1" x14ac:dyDescent="0.45">
      <c r="A199"/>
      <c r="B199" s="16" t="s">
        <v>458</v>
      </c>
      <c r="C199" s="65"/>
      <c r="E199" s="65"/>
    </row>
    <row r="200" spans="1:5" ht="15" customHeight="1" x14ac:dyDescent="0.45">
      <c r="A200"/>
      <c r="B200" s="16" t="s">
        <v>459</v>
      </c>
    </row>
    <row r="201" spans="1:5" ht="15" customHeight="1" x14ac:dyDescent="0.45">
      <c r="A201"/>
      <c r="B201"/>
    </row>
    <row r="202" spans="1:5" ht="15" customHeight="1" x14ac:dyDescent="0.45">
      <c r="A202"/>
      <c r="B202" s="16" t="s">
        <v>71</v>
      </c>
      <c r="C202" s="67">
        <v>800</v>
      </c>
    </row>
    <row r="203" spans="1:5" ht="15" customHeight="1" x14ac:dyDescent="0.45">
      <c r="A203"/>
      <c r="B203" s="16" t="s">
        <v>175</v>
      </c>
      <c r="C203" s="67">
        <v>200</v>
      </c>
    </row>
    <row r="204" spans="1:5" ht="15" customHeight="1" x14ac:dyDescent="0.45">
      <c r="A204"/>
      <c r="B204"/>
    </row>
    <row r="205" spans="1:5" ht="15" customHeight="1" x14ac:dyDescent="0.45">
      <c r="A205"/>
      <c r="B205" s="16" t="s">
        <v>176</v>
      </c>
      <c r="C205">
        <f>C202+C203</f>
        <v>1000</v>
      </c>
    </row>
    <row r="206" spans="1:5" ht="15" customHeight="1" x14ac:dyDescent="0.45">
      <c r="A206"/>
      <c r="B206" s="16" t="s">
        <v>211</v>
      </c>
      <c r="C206">
        <f>400/4+25</f>
        <v>125</v>
      </c>
    </row>
    <row r="207" spans="1:5" ht="15" customHeight="1" x14ac:dyDescent="0.45">
      <c r="A207"/>
      <c r="B207" s="16" t="s">
        <v>460</v>
      </c>
      <c r="C207" s="68">
        <f>C205/C206</f>
        <v>8</v>
      </c>
    </row>
    <row r="208" spans="1:5" ht="15" customHeight="1" x14ac:dyDescent="0.45">
      <c r="A208"/>
      <c r="B208"/>
    </row>
    <row r="209" spans="1:3" ht="15" customHeight="1" x14ac:dyDescent="0.45">
      <c r="A209" s="15" t="s">
        <v>461</v>
      </c>
      <c r="B209"/>
    </row>
    <row r="210" spans="1:3" ht="15" customHeight="1" x14ac:dyDescent="0.45">
      <c r="A210"/>
      <c r="B210" s="16" t="s">
        <v>462</v>
      </c>
    </row>
    <row r="211" spans="1:3" ht="15" customHeight="1" x14ac:dyDescent="0.45">
      <c r="A211"/>
      <c r="B211" s="16" t="s">
        <v>463</v>
      </c>
    </row>
    <row r="212" spans="1:3" ht="15" customHeight="1" x14ac:dyDescent="0.45">
      <c r="A212"/>
      <c r="B212" s="16" t="s">
        <v>464</v>
      </c>
    </row>
    <row r="213" spans="1:3" ht="15" customHeight="1" x14ac:dyDescent="0.45">
      <c r="A213"/>
      <c r="B213" s="16" t="s">
        <v>465</v>
      </c>
    </row>
    <row r="214" spans="1:3" ht="15" customHeight="1" x14ac:dyDescent="0.45">
      <c r="A214"/>
      <c r="B214" s="16" t="s">
        <v>466</v>
      </c>
    </row>
    <row r="215" spans="1:3" ht="15" customHeight="1" x14ac:dyDescent="0.45">
      <c r="A215"/>
      <c r="B215"/>
    </row>
    <row r="216" spans="1:3" ht="15" customHeight="1" x14ac:dyDescent="0.45">
      <c r="A216"/>
      <c r="B216" s="16" t="s">
        <v>176</v>
      </c>
      <c r="C216">
        <f>C202+C203</f>
        <v>1000</v>
      </c>
    </row>
    <row r="217" spans="1:3" ht="15" customHeight="1" x14ac:dyDescent="0.45">
      <c r="A217"/>
      <c r="B217" s="16" t="s">
        <v>211</v>
      </c>
      <c r="C217">
        <f>400*50%+400*50%/4+25</f>
        <v>275</v>
      </c>
    </row>
    <row r="218" spans="1:3" ht="15" customHeight="1" x14ac:dyDescent="0.45">
      <c r="A218"/>
      <c r="B218" s="16" t="s">
        <v>460</v>
      </c>
      <c r="C218" s="68">
        <f>C216/C217</f>
        <v>3.6363636363636362</v>
      </c>
    </row>
    <row r="219" spans="1:3" ht="15" customHeight="1" x14ac:dyDescent="0.45">
      <c r="A219"/>
      <c r="B219"/>
    </row>
    <row r="220" spans="1:3" ht="15" customHeight="1" x14ac:dyDescent="0.45">
      <c r="A220" s="15" t="s">
        <v>467</v>
      </c>
      <c r="B220"/>
    </row>
    <row r="221" spans="1:3" ht="15" customHeight="1" x14ac:dyDescent="0.45">
      <c r="A221"/>
      <c r="B221" s="16" t="s">
        <v>468</v>
      </c>
    </row>
    <row r="222" spans="1:3" ht="15" customHeight="1" x14ac:dyDescent="0.45">
      <c r="A222"/>
      <c r="B222" s="16" t="s">
        <v>469</v>
      </c>
    </row>
    <row r="223" spans="1:3" ht="15" customHeight="1" x14ac:dyDescent="0.45">
      <c r="A223"/>
      <c r="B223" s="16" t="s">
        <v>470</v>
      </c>
    </row>
    <row r="224" spans="1:3" ht="15" customHeight="1" x14ac:dyDescent="0.45">
      <c r="A224"/>
      <c r="B224" s="16" t="s">
        <v>471</v>
      </c>
    </row>
    <row r="225" spans="1:4" ht="15" customHeight="1" x14ac:dyDescent="0.45">
      <c r="A225"/>
      <c r="B225"/>
    </row>
    <row r="226" spans="1:4" ht="15" customHeight="1" x14ac:dyDescent="0.45">
      <c r="A226"/>
      <c r="B226" s="16" t="s">
        <v>472</v>
      </c>
    </row>
    <row r="227" spans="1:4" ht="15" customHeight="1" x14ac:dyDescent="0.45">
      <c r="A227"/>
      <c r="B227" s="16" t="s">
        <v>473</v>
      </c>
    </row>
    <row r="228" spans="1:4" ht="15" customHeight="1" x14ac:dyDescent="0.45">
      <c r="A228"/>
      <c r="B228" s="16" t="s">
        <v>474</v>
      </c>
    </row>
    <row r="229" spans="1:4" ht="15" customHeight="1" x14ac:dyDescent="0.45">
      <c r="A229"/>
      <c r="B229" s="16" t="s">
        <v>475</v>
      </c>
    </row>
    <row r="230" spans="1:4" ht="15" customHeight="1" x14ac:dyDescent="0.45">
      <c r="A230"/>
      <c r="B230"/>
    </row>
    <row r="231" spans="1:4" ht="15" customHeight="1" x14ac:dyDescent="0.45">
      <c r="A231" s="15" t="s">
        <v>476</v>
      </c>
      <c r="B231"/>
    </row>
    <row r="232" spans="1:4" ht="15" customHeight="1" x14ac:dyDescent="0.45">
      <c r="A232"/>
      <c r="B232" s="16" t="s">
        <v>477</v>
      </c>
    </row>
    <row r="233" spans="1:4" ht="15" customHeight="1" x14ac:dyDescent="0.45">
      <c r="A233"/>
      <c r="B233"/>
    </row>
    <row r="234" spans="1:4" ht="15" customHeight="1" x14ac:dyDescent="0.45">
      <c r="A234"/>
      <c r="B234" s="16" t="s">
        <v>205</v>
      </c>
      <c r="D234">
        <v>0</v>
      </c>
    </row>
    <row r="235" spans="1:4" ht="15" customHeight="1" x14ac:dyDescent="0.45">
      <c r="A235"/>
      <c r="B235" s="16" t="s">
        <v>199</v>
      </c>
      <c r="D235">
        <v>23464</v>
      </c>
    </row>
    <row r="236" spans="1:4" ht="15" customHeight="1" x14ac:dyDescent="0.45">
      <c r="A236"/>
      <c r="B236" s="16" t="s">
        <v>71</v>
      </c>
      <c r="D236">
        <v>200000</v>
      </c>
    </row>
    <row r="237" spans="1:4" ht="15" customHeight="1" x14ac:dyDescent="0.45">
      <c r="A237"/>
      <c r="B237" s="16" t="s">
        <v>478</v>
      </c>
      <c r="D237">
        <v>500</v>
      </c>
    </row>
    <row r="238" spans="1:4" ht="15" customHeight="1" x14ac:dyDescent="0.45">
      <c r="A238"/>
      <c r="B238" s="16" t="s">
        <v>211</v>
      </c>
      <c r="D238">
        <v>36537</v>
      </c>
    </row>
    <row r="239" spans="1:4" ht="15" customHeight="1" x14ac:dyDescent="0.45">
      <c r="A239"/>
      <c r="B239"/>
    </row>
    <row r="240" spans="1:4" ht="15" customHeight="1" x14ac:dyDescent="0.45">
      <c r="A240"/>
      <c r="B240" s="16" t="s">
        <v>479</v>
      </c>
      <c r="D240" s="91">
        <f>D236+D234-D235-D237</f>
        <v>176036</v>
      </c>
    </row>
    <row r="241" spans="1:4" ht="15" customHeight="1" x14ac:dyDescent="0.45">
      <c r="A241"/>
      <c r="B241" s="16" t="s">
        <v>460</v>
      </c>
      <c r="D241" s="68">
        <f>D240/D238</f>
        <v>4.8180200892246212</v>
      </c>
    </row>
    <row r="242" spans="1:4" ht="15" customHeight="1" x14ac:dyDescent="0.45">
      <c r="A242"/>
      <c r="B242"/>
    </row>
    <row r="243" spans="1:4" ht="15" customHeight="1" x14ac:dyDescent="0.45">
      <c r="A243" s="15" t="s">
        <v>480</v>
      </c>
      <c r="B243"/>
    </row>
    <row r="244" spans="1:4" ht="15" customHeight="1" x14ac:dyDescent="0.45">
      <c r="A244"/>
      <c r="B244" s="16" t="s">
        <v>481</v>
      </c>
    </row>
    <row r="245" spans="1:4" ht="15" customHeight="1" x14ac:dyDescent="0.45">
      <c r="A245"/>
      <c r="B245" s="16" t="s">
        <v>482</v>
      </c>
    </row>
    <row r="246" spans="1:4" ht="15" customHeight="1" x14ac:dyDescent="0.45">
      <c r="A246"/>
      <c r="B246"/>
    </row>
    <row r="247" spans="1:4" ht="15" customHeight="1" x14ac:dyDescent="0.45">
      <c r="A247"/>
      <c r="B247" s="16" t="s">
        <v>205</v>
      </c>
      <c r="D247">
        <v>0</v>
      </c>
    </row>
    <row r="248" spans="1:4" ht="15" customHeight="1" x14ac:dyDescent="0.45">
      <c r="A248"/>
      <c r="B248" s="16" t="s">
        <v>199</v>
      </c>
      <c r="D248">
        <v>23464</v>
      </c>
    </row>
    <row r="249" spans="1:4" ht="15" customHeight="1" x14ac:dyDescent="0.45">
      <c r="A249"/>
      <c r="B249" s="16" t="s">
        <v>71</v>
      </c>
      <c r="D249">
        <v>200000</v>
      </c>
    </row>
    <row r="250" spans="1:4" ht="15" customHeight="1" x14ac:dyDescent="0.45">
      <c r="A250"/>
      <c r="B250" s="16" t="s">
        <v>478</v>
      </c>
      <c r="D250">
        <v>500</v>
      </c>
    </row>
    <row r="251" spans="1:4" ht="15" customHeight="1" x14ac:dyDescent="0.45">
      <c r="A251"/>
      <c r="B251" s="16" t="s">
        <v>211</v>
      </c>
      <c r="D251">
        <v>42905</v>
      </c>
    </row>
    <row r="252" spans="1:4" ht="15" customHeight="1" x14ac:dyDescent="0.45">
      <c r="A252"/>
      <c r="B252"/>
    </row>
    <row r="253" spans="1:4" ht="15" customHeight="1" x14ac:dyDescent="0.45">
      <c r="A253"/>
      <c r="B253" s="16" t="s">
        <v>479</v>
      </c>
      <c r="D253" s="91">
        <f>D249+D247-D248-D250</f>
        <v>176036</v>
      </c>
    </row>
    <row r="254" spans="1:4" ht="15" customHeight="1" x14ac:dyDescent="0.45">
      <c r="A254"/>
      <c r="B254" s="16" t="s">
        <v>460</v>
      </c>
      <c r="D254" s="68">
        <f>D253/D251</f>
        <v>4.1029250670085071</v>
      </c>
    </row>
    <row r="255" spans="1:4" ht="15" customHeight="1" x14ac:dyDescent="0.45">
      <c r="A255"/>
      <c r="B255"/>
    </row>
    <row r="256" spans="1:4" ht="15" customHeight="1" x14ac:dyDescent="0.45">
      <c r="A256" s="15" t="s">
        <v>116</v>
      </c>
      <c r="B256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91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6954B-0601-4DA8-A3C9-01F9D49C9649}">
  <sheetPr>
    <pageSetUpPr fitToPage="1"/>
  </sheetPr>
  <dimension ref="A1:N126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1.6640625" style="16" customWidth="1"/>
    <col min="3" max="3" width="11" customWidth="1"/>
    <col min="4" max="4" width="19.796875" customWidth="1"/>
    <col min="5" max="10" width="11" customWidth="1"/>
    <col min="11" max="12" width="9.33203125" customWidth="1"/>
  </cols>
  <sheetData>
    <row r="1" spans="1:14" s="88" customFormat="1" ht="45" customHeight="1" x14ac:dyDescent="0.85">
      <c r="A1" s="5" t="str">
        <f>Apple!A1</f>
        <v>Forensic Accounting</v>
      </c>
      <c r="B1" s="87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90" customFormat="1" ht="30" customHeight="1" x14ac:dyDescent="0.55000000000000004">
      <c r="A2" s="89" t="s">
        <v>747</v>
      </c>
      <c r="B2" s="89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/>
      <c r="B3"/>
    </row>
    <row r="4" spans="1:14" ht="15" customHeight="1" x14ac:dyDescent="0.45">
      <c r="A4" s="15" t="s">
        <v>66</v>
      </c>
      <c r="B4"/>
    </row>
    <row r="5" spans="1:14" ht="15" customHeight="1" x14ac:dyDescent="0.45">
      <c r="A5"/>
      <c r="B5" s="16" t="s">
        <v>748</v>
      </c>
    </row>
    <row r="6" spans="1:14" ht="15" customHeight="1" x14ac:dyDescent="0.45">
      <c r="A6"/>
      <c r="B6"/>
    </row>
    <row r="7" spans="1:14" ht="15" customHeight="1" x14ac:dyDescent="0.45">
      <c r="A7"/>
      <c r="B7"/>
    </row>
    <row r="8" spans="1:14" ht="15" customHeight="1" x14ac:dyDescent="0.45">
      <c r="A8"/>
      <c r="B8"/>
    </row>
    <row r="9" spans="1:14" ht="15" customHeight="1" x14ac:dyDescent="0.45">
      <c r="A9"/>
      <c r="B9"/>
    </row>
    <row r="10" spans="1:14" ht="15" customHeight="1" x14ac:dyDescent="0.45">
      <c r="A10"/>
      <c r="B10"/>
    </row>
    <row r="11" spans="1:14" ht="15" customHeight="1" x14ac:dyDescent="0.45">
      <c r="A11"/>
      <c r="B11"/>
    </row>
    <row r="12" spans="1:14" ht="15" customHeight="1" x14ac:dyDescent="0.45">
      <c r="A12"/>
      <c r="B12"/>
    </row>
    <row r="13" spans="1:14" ht="15" customHeight="1" x14ac:dyDescent="0.45">
      <c r="A13"/>
      <c r="B13"/>
    </row>
    <row r="14" spans="1:14" ht="15" customHeight="1" x14ac:dyDescent="0.45">
      <c r="A14"/>
      <c r="B14"/>
    </row>
    <row r="15" spans="1:14" ht="15" customHeight="1" x14ac:dyDescent="0.45">
      <c r="A15"/>
      <c r="B15"/>
    </row>
    <row r="16" spans="1:14" ht="15" customHeight="1" x14ac:dyDescent="0.45">
      <c r="A16"/>
      <c r="B16"/>
    </row>
    <row r="17" spans="1:2" ht="15" customHeight="1" x14ac:dyDescent="0.45">
      <c r="A17"/>
      <c r="B17"/>
    </row>
    <row r="18" spans="1:2" ht="15" customHeight="1" x14ac:dyDescent="0.45">
      <c r="A18"/>
      <c r="B18"/>
    </row>
    <row r="19" spans="1:2" ht="15" customHeight="1" x14ac:dyDescent="0.45">
      <c r="A19"/>
      <c r="B19"/>
    </row>
    <row r="20" spans="1:2" ht="15" customHeight="1" x14ac:dyDescent="0.45">
      <c r="A20"/>
      <c r="B20"/>
    </row>
    <row r="21" spans="1:2" ht="15" customHeight="1" x14ac:dyDescent="0.45">
      <c r="A21"/>
      <c r="B21"/>
    </row>
    <row r="22" spans="1:2" ht="15" customHeight="1" x14ac:dyDescent="0.45">
      <c r="A22"/>
      <c r="B22"/>
    </row>
    <row r="23" spans="1:2" ht="15" customHeight="1" x14ac:dyDescent="0.45">
      <c r="A23"/>
      <c r="B23"/>
    </row>
    <row r="24" spans="1:2" ht="15" customHeight="1" x14ac:dyDescent="0.45">
      <c r="A24"/>
      <c r="B24"/>
    </row>
    <row r="25" spans="1:2" ht="15" customHeight="1" x14ac:dyDescent="0.45">
      <c r="A25"/>
      <c r="B25"/>
    </row>
    <row r="26" spans="1:2" ht="15" customHeight="1" x14ac:dyDescent="0.45">
      <c r="A26"/>
      <c r="B26"/>
    </row>
    <row r="27" spans="1:2" ht="15" customHeight="1" x14ac:dyDescent="0.45">
      <c r="A27"/>
      <c r="B27"/>
    </row>
    <row r="28" spans="1:2" ht="15" customHeight="1" x14ac:dyDescent="0.45">
      <c r="A28"/>
      <c r="B28"/>
    </row>
    <row r="29" spans="1:2" ht="15" customHeight="1" x14ac:dyDescent="0.45">
      <c r="A29"/>
      <c r="B29"/>
    </row>
    <row r="30" spans="1:2" ht="15" customHeight="1" x14ac:dyDescent="0.45">
      <c r="A30"/>
      <c r="B30"/>
    </row>
    <row r="31" spans="1:2" ht="15" customHeight="1" x14ac:dyDescent="0.45">
      <c r="A31"/>
      <c r="B31"/>
    </row>
    <row r="32" spans="1:2" ht="15" customHeight="1" x14ac:dyDescent="0.45">
      <c r="A32"/>
      <c r="B32"/>
    </row>
    <row r="33" spans="1:6" ht="15" customHeight="1" x14ac:dyDescent="0.45">
      <c r="A33"/>
      <c r="B33"/>
    </row>
    <row r="34" spans="1:6" ht="15" customHeight="1" x14ac:dyDescent="0.45">
      <c r="A34"/>
      <c r="B34"/>
    </row>
    <row r="35" spans="1:6" ht="15" customHeight="1" x14ac:dyDescent="0.45">
      <c r="A35"/>
      <c r="B35"/>
    </row>
    <row r="36" spans="1:6" ht="15" customHeight="1" x14ac:dyDescent="0.45">
      <c r="A36"/>
      <c r="B36"/>
    </row>
    <row r="37" spans="1:6" ht="15" customHeight="1" x14ac:dyDescent="0.45">
      <c r="A37"/>
      <c r="B37"/>
    </row>
    <row r="38" spans="1:6" ht="15" customHeight="1" x14ac:dyDescent="0.45">
      <c r="A38"/>
      <c r="B38"/>
    </row>
    <row r="39" spans="1:6" ht="15" customHeight="1" x14ac:dyDescent="0.45">
      <c r="A39"/>
      <c r="B39"/>
    </row>
    <row r="40" spans="1:6" ht="15" customHeight="1" x14ac:dyDescent="0.45">
      <c r="A40"/>
      <c r="B40" t="s">
        <v>749</v>
      </c>
    </row>
    <row r="41" spans="1:6" ht="15" customHeight="1" x14ac:dyDescent="0.45">
      <c r="A41"/>
      <c r="B41" t="s">
        <v>750</v>
      </c>
    </row>
    <row r="42" spans="1:6" ht="15" customHeight="1" x14ac:dyDescent="0.45">
      <c r="A42"/>
      <c r="B42" t="s">
        <v>751</v>
      </c>
    </row>
    <row r="43" spans="1:6" ht="15" customHeight="1" x14ac:dyDescent="0.45">
      <c r="A43"/>
      <c r="B43" t="s">
        <v>752</v>
      </c>
    </row>
    <row r="44" spans="1:6" ht="15" customHeight="1" x14ac:dyDescent="0.45">
      <c r="A44"/>
      <c r="B44" t="s">
        <v>753</v>
      </c>
    </row>
    <row r="45" spans="1:6" ht="15" customHeight="1" x14ac:dyDescent="0.45">
      <c r="A45"/>
      <c r="B45"/>
    </row>
    <row r="46" spans="1:6" ht="15" customHeight="1" x14ac:dyDescent="0.45">
      <c r="A46"/>
      <c r="B46"/>
      <c r="D46" s="102">
        <v>42735</v>
      </c>
      <c r="E46" t="s">
        <v>754</v>
      </c>
      <c r="F46" s="102">
        <v>42735</v>
      </c>
    </row>
    <row r="47" spans="1:6" ht="15" customHeight="1" x14ac:dyDescent="0.45">
      <c r="A47"/>
      <c r="B47"/>
      <c r="D47" s="102" t="s">
        <v>755</v>
      </c>
      <c r="E47" s="102" t="s">
        <v>755</v>
      </c>
      <c r="F47" s="102" t="s">
        <v>10</v>
      </c>
    </row>
    <row r="48" spans="1:6" ht="15" customHeight="1" x14ac:dyDescent="0.45">
      <c r="A48"/>
      <c r="B48" s="16" t="s">
        <v>211</v>
      </c>
      <c r="D48" s="67">
        <v>4909.2</v>
      </c>
      <c r="E48">
        <v>-200</v>
      </c>
      <c r="F48">
        <f>SUM(D48:E48)</f>
        <v>4709.2</v>
      </c>
    </row>
    <row r="49" spans="1:6" ht="15" customHeight="1" x14ac:dyDescent="0.45">
      <c r="A49"/>
      <c r="B49" s="16" t="s">
        <v>370</v>
      </c>
      <c r="D49" s="67">
        <v>-3641.9</v>
      </c>
      <c r="F49">
        <f t="shared" ref="F49:F58" si="0">SUM(D49:E49)</f>
        <v>-3641.9</v>
      </c>
    </row>
    <row r="50" spans="1:6" ht="15" customHeight="1" x14ac:dyDescent="0.45">
      <c r="A50"/>
      <c r="B50" s="16" t="s">
        <v>122</v>
      </c>
      <c r="D50">
        <f>SUM(D48:D49)</f>
        <v>1267.2999999999997</v>
      </c>
      <c r="F50">
        <f>SUM(F48:F49)</f>
        <v>1067.2999999999997</v>
      </c>
    </row>
    <row r="51" spans="1:6" ht="15" customHeight="1" x14ac:dyDescent="0.45">
      <c r="A51"/>
      <c r="B51" s="16" t="s">
        <v>716</v>
      </c>
      <c r="D51" s="67">
        <f>-1119-D52-D53</f>
        <v>-978.09999999999991</v>
      </c>
      <c r="F51">
        <f t="shared" si="0"/>
        <v>-978.09999999999991</v>
      </c>
    </row>
    <row r="52" spans="1:6" ht="15" customHeight="1" x14ac:dyDescent="0.45">
      <c r="A52"/>
      <c r="B52" s="16" t="s">
        <v>215</v>
      </c>
      <c r="D52" s="67">
        <v>-81.900000000000006</v>
      </c>
      <c r="F52">
        <f t="shared" si="0"/>
        <v>-81.900000000000006</v>
      </c>
    </row>
    <row r="53" spans="1:6" ht="15" customHeight="1" x14ac:dyDescent="0.45">
      <c r="A53"/>
      <c r="B53" s="16" t="s">
        <v>756</v>
      </c>
      <c r="D53" s="67">
        <v>-59</v>
      </c>
      <c r="F53">
        <f t="shared" si="0"/>
        <v>-59</v>
      </c>
    </row>
    <row r="54" spans="1:6" ht="15" customHeight="1" x14ac:dyDescent="0.45">
      <c r="A54"/>
      <c r="B54" s="16" t="s">
        <v>125</v>
      </c>
      <c r="D54">
        <f>SUM(D50:D53)</f>
        <v>148.29999999999981</v>
      </c>
      <c r="F54">
        <f>SUM(F50:F53)</f>
        <v>-51.700000000000188</v>
      </c>
    </row>
    <row r="55" spans="1:6" ht="15" customHeight="1" x14ac:dyDescent="0.45">
      <c r="A55"/>
      <c r="B55" s="16" t="s">
        <v>757</v>
      </c>
      <c r="D55" s="67">
        <v>-73.599999999999994</v>
      </c>
      <c r="F55">
        <f t="shared" si="0"/>
        <v>-73.599999999999994</v>
      </c>
    </row>
    <row r="56" spans="1:6" ht="15" customHeight="1" x14ac:dyDescent="0.45">
      <c r="A56"/>
      <c r="B56" s="16" t="s">
        <v>758</v>
      </c>
      <c r="D56" s="67">
        <v>0.1</v>
      </c>
      <c r="F56">
        <f t="shared" si="0"/>
        <v>0.1</v>
      </c>
    </row>
    <row r="57" spans="1:6" ht="15" customHeight="1" x14ac:dyDescent="0.45">
      <c r="A57"/>
      <c r="B57" s="16" t="s">
        <v>258</v>
      </c>
      <c r="D57">
        <f>SUM(D54:D56)</f>
        <v>74.799999999999812</v>
      </c>
      <c r="F57">
        <f>SUM(F54:F56)</f>
        <v>-125.20000000000019</v>
      </c>
    </row>
    <row r="58" spans="1:6" ht="15" customHeight="1" x14ac:dyDescent="0.45">
      <c r="A58"/>
      <c r="B58" s="16" t="s">
        <v>759</v>
      </c>
      <c r="D58" s="67">
        <v>-32.5</v>
      </c>
      <c r="F58">
        <f t="shared" si="0"/>
        <v>-32.5</v>
      </c>
    </row>
    <row r="59" spans="1:6" ht="15" customHeight="1" x14ac:dyDescent="0.45">
      <c r="A59"/>
      <c r="B59" s="16" t="s">
        <v>382</v>
      </c>
      <c r="D59">
        <f>SUM(D57:D58)</f>
        <v>42.299999999999812</v>
      </c>
      <c r="F59">
        <f>SUM(F57:F58)</f>
        <v>-157.70000000000019</v>
      </c>
    </row>
    <row r="60" spans="1:6" ht="15" customHeight="1" x14ac:dyDescent="0.45">
      <c r="A60"/>
      <c r="B60"/>
    </row>
    <row r="61" spans="1:6" ht="15" customHeight="1" x14ac:dyDescent="0.45">
      <c r="A61"/>
      <c r="B61" s="16" t="s">
        <v>739</v>
      </c>
      <c r="C61" s="72">
        <v>42369</v>
      </c>
      <c r="D61" s="72">
        <v>42735</v>
      </c>
      <c r="E61" t="s">
        <v>754</v>
      </c>
      <c r="F61" s="72">
        <v>42735</v>
      </c>
    </row>
    <row r="62" spans="1:6" ht="15" customHeight="1" x14ac:dyDescent="0.45">
      <c r="A62"/>
      <c r="B62"/>
      <c r="C62" t="s">
        <v>755</v>
      </c>
      <c r="D62" t="s">
        <v>755</v>
      </c>
    </row>
    <row r="63" spans="1:6" ht="15" customHeight="1" x14ac:dyDescent="0.45">
      <c r="A63"/>
      <c r="B63" s="16" t="s">
        <v>393</v>
      </c>
      <c r="C63" s="67">
        <v>406</v>
      </c>
      <c r="D63" s="67">
        <v>394.7</v>
      </c>
      <c r="F63">
        <f>SUM(C63:E63)</f>
        <v>800.7</v>
      </c>
    </row>
    <row r="64" spans="1:6" ht="15" customHeight="1" x14ac:dyDescent="0.45">
      <c r="A64"/>
      <c r="B64" s="16" t="s">
        <v>309</v>
      </c>
      <c r="C64" s="67">
        <v>2810</v>
      </c>
      <c r="D64" s="67">
        <v>2754.2</v>
      </c>
      <c r="F64">
        <f t="shared" ref="F64:F101" si="1">SUM(C64:E64)</f>
        <v>5564.2</v>
      </c>
    </row>
    <row r="65" spans="1:6" ht="15" customHeight="1" x14ac:dyDescent="0.45">
      <c r="A65"/>
      <c r="B65" s="16" t="s">
        <v>760</v>
      </c>
      <c r="C65" s="67">
        <v>186.6</v>
      </c>
      <c r="D65" s="67">
        <v>337.6</v>
      </c>
      <c r="F65">
        <f t="shared" si="1"/>
        <v>524.20000000000005</v>
      </c>
    </row>
    <row r="66" spans="1:6" ht="15" customHeight="1" x14ac:dyDescent="0.45">
      <c r="A66"/>
      <c r="B66" s="16" t="s">
        <v>761</v>
      </c>
      <c r="C66" s="67">
        <v>18.8</v>
      </c>
      <c r="D66" s="67">
        <v>32</v>
      </c>
      <c r="F66">
        <f t="shared" si="1"/>
        <v>50.8</v>
      </c>
    </row>
    <row r="67" spans="1:6" ht="15" customHeight="1" x14ac:dyDescent="0.45">
      <c r="A67"/>
      <c r="B67" s="16" t="s">
        <v>213</v>
      </c>
      <c r="C67" s="67">
        <v>86.1</v>
      </c>
      <c r="D67" s="67">
        <v>128.4</v>
      </c>
      <c r="F67">
        <f t="shared" si="1"/>
        <v>214.5</v>
      </c>
    </row>
    <row r="68" spans="1:6" ht="15" customHeight="1" x14ac:dyDescent="0.45">
      <c r="A68"/>
      <c r="B68" s="16" t="s">
        <v>762</v>
      </c>
      <c r="C68">
        <f>SUM(C63:C67)</f>
        <v>3507.5</v>
      </c>
      <c r="D68">
        <f>SUM(D63:D67)</f>
        <v>3646.8999999999996</v>
      </c>
      <c r="F68">
        <f t="shared" ref="F68" si="2">SUM(F63:F67)</f>
        <v>7154.4</v>
      </c>
    </row>
    <row r="69" spans="1:6" ht="15" customHeight="1" x14ac:dyDescent="0.45">
      <c r="A69"/>
      <c r="B69" s="16" t="s">
        <v>760</v>
      </c>
      <c r="C69" s="67">
        <v>44.3</v>
      </c>
      <c r="D69" s="67">
        <v>92.6</v>
      </c>
      <c r="F69">
        <f t="shared" si="1"/>
        <v>136.89999999999998</v>
      </c>
    </row>
    <row r="70" spans="1:6" ht="15" customHeight="1" x14ac:dyDescent="0.45">
      <c r="A70"/>
      <c r="B70" s="16" t="s">
        <v>763</v>
      </c>
      <c r="C70" s="67">
        <v>84.1</v>
      </c>
      <c r="D70" s="67">
        <v>0</v>
      </c>
      <c r="F70">
        <f t="shared" si="1"/>
        <v>84.1</v>
      </c>
    </row>
    <row r="71" spans="1:6" ht="15" customHeight="1" x14ac:dyDescent="0.45">
      <c r="A71"/>
      <c r="B71" s="16" t="s">
        <v>764</v>
      </c>
      <c r="C71" s="67">
        <v>161.69999999999999</v>
      </c>
      <c r="D71" s="67">
        <v>173.6</v>
      </c>
      <c r="F71">
        <f t="shared" si="1"/>
        <v>335.29999999999995</v>
      </c>
    </row>
    <row r="72" spans="1:6" ht="15" customHeight="1" x14ac:dyDescent="0.45">
      <c r="A72"/>
      <c r="B72" s="16" t="s">
        <v>213</v>
      </c>
      <c r="C72" s="67">
        <f>1011.9-C73</f>
        <v>780</v>
      </c>
      <c r="D72" s="67">
        <f>976-D73</f>
        <v>739.46199999999999</v>
      </c>
      <c r="F72">
        <f t="shared" si="1"/>
        <v>1519.462</v>
      </c>
    </row>
    <row r="73" spans="1:6" ht="15" customHeight="1" x14ac:dyDescent="0.45">
      <c r="A73"/>
      <c r="B73" s="16" t="s">
        <v>765</v>
      </c>
      <c r="C73" s="67">
        <v>231.9</v>
      </c>
      <c r="D73" s="67">
        <f>C73*1.02</f>
        <v>236.53800000000001</v>
      </c>
      <c r="E73">
        <f>-50</f>
        <v>-50</v>
      </c>
      <c r="F73">
        <f t="shared" si="1"/>
        <v>418.43799999999999</v>
      </c>
    </row>
    <row r="74" spans="1:6" ht="15" customHeight="1" x14ac:dyDescent="0.45">
      <c r="A74"/>
      <c r="B74" s="16" t="s">
        <v>199</v>
      </c>
      <c r="C74" s="67">
        <v>534</v>
      </c>
      <c r="D74" s="67">
        <v>1098.3</v>
      </c>
      <c r="F74">
        <f t="shared" si="1"/>
        <v>1632.3</v>
      </c>
    </row>
    <row r="75" spans="1:6" ht="15" customHeight="1" x14ac:dyDescent="0.45">
      <c r="A75"/>
      <c r="B75" s="16" t="s">
        <v>132</v>
      </c>
      <c r="C75">
        <f>SUM(C69:C74)</f>
        <v>1836</v>
      </c>
      <c r="D75">
        <f>SUM(D69:D74)</f>
        <v>2340.5</v>
      </c>
      <c r="F75">
        <f t="shared" ref="F75" si="3">SUM(F69:F74)</f>
        <v>4126.5</v>
      </c>
    </row>
    <row r="76" spans="1:6" ht="15" customHeight="1" x14ac:dyDescent="0.45">
      <c r="A76"/>
      <c r="B76" s="16" t="s">
        <v>209</v>
      </c>
      <c r="C76">
        <f>SUM(C75,C68)</f>
        <v>5343.5</v>
      </c>
      <c r="D76">
        <f>SUM(D75,D68)</f>
        <v>5987.4</v>
      </c>
      <c r="F76">
        <f t="shared" ref="F76" si="4">SUM(F75,F68)</f>
        <v>11280.9</v>
      </c>
    </row>
    <row r="77" spans="1:6" ht="15" customHeight="1" x14ac:dyDescent="0.45">
      <c r="A77"/>
      <c r="B77" s="16" t="s">
        <v>214</v>
      </c>
      <c r="C77" s="67">
        <f>1144-C78</f>
        <v>654.29999999999995</v>
      </c>
      <c r="D77" s="67">
        <f>1297.6-D78</f>
        <v>793.20899999999983</v>
      </c>
      <c r="F77">
        <f t="shared" si="1"/>
        <v>1447.5089999999998</v>
      </c>
    </row>
    <row r="78" spans="1:6" ht="15" customHeight="1" x14ac:dyDescent="0.45">
      <c r="A78"/>
      <c r="B78" s="16" t="s">
        <v>766</v>
      </c>
      <c r="C78" s="67">
        <f>489.7</f>
        <v>489.7</v>
      </c>
      <c r="D78" s="67">
        <f>C78*1.03</f>
        <v>504.39100000000002</v>
      </c>
      <c r="E78">
        <f>150</f>
        <v>150</v>
      </c>
      <c r="F78">
        <f t="shared" si="1"/>
        <v>1144.0909999999999</v>
      </c>
    </row>
    <row r="79" spans="1:6" ht="15" customHeight="1" x14ac:dyDescent="0.45">
      <c r="A79"/>
      <c r="B79" s="16" t="s">
        <v>767</v>
      </c>
      <c r="C79" s="67">
        <v>448.7</v>
      </c>
      <c r="D79" s="67">
        <v>532.5</v>
      </c>
      <c r="F79">
        <f t="shared" si="1"/>
        <v>981.2</v>
      </c>
    </row>
    <row r="80" spans="1:6" ht="15" customHeight="1" x14ac:dyDescent="0.45">
      <c r="A80"/>
      <c r="B80" s="16" t="s">
        <v>492</v>
      </c>
      <c r="C80" s="67">
        <v>230.8</v>
      </c>
      <c r="D80" s="67">
        <v>224.2</v>
      </c>
      <c r="F80">
        <f t="shared" si="1"/>
        <v>455</v>
      </c>
    </row>
    <row r="81" spans="1:6" ht="15" customHeight="1" x14ac:dyDescent="0.45">
      <c r="A81"/>
      <c r="B81" s="16" t="s">
        <v>768</v>
      </c>
      <c r="C81" s="67">
        <v>40.4</v>
      </c>
      <c r="D81" s="67">
        <v>0</v>
      </c>
      <c r="F81">
        <f t="shared" si="1"/>
        <v>40.4</v>
      </c>
    </row>
    <row r="82" spans="1:6" ht="15" customHeight="1" x14ac:dyDescent="0.45">
      <c r="A82"/>
      <c r="B82" s="16" t="s">
        <v>769</v>
      </c>
      <c r="C82" s="67">
        <v>161.69999999999999</v>
      </c>
      <c r="D82" s="67">
        <v>173.6</v>
      </c>
      <c r="F82">
        <f t="shared" si="1"/>
        <v>335.29999999999995</v>
      </c>
    </row>
    <row r="83" spans="1:6" ht="15" customHeight="1" x14ac:dyDescent="0.45">
      <c r="A83"/>
      <c r="B83" s="16" t="s">
        <v>711</v>
      </c>
      <c r="C83" s="67">
        <v>69.400000000000006</v>
      </c>
      <c r="D83" s="67">
        <v>112.5</v>
      </c>
      <c r="F83">
        <f t="shared" si="1"/>
        <v>181.9</v>
      </c>
    </row>
    <row r="84" spans="1:6" ht="15" customHeight="1" x14ac:dyDescent="0.45">
      <c r="A84"/>
      <c r="B84" s="16" t="s">
        <v>770</v>
      </c>
      <c r="C84" s="67">
        <v>46.2</v>
      </c>
      <c r="D84" s="67">
        <v>18.600000000000001</v>
      </c>
      <c r="F84">
        <f t="shared" si="1"/>
        <v>64.800000000000011</v>
      </c>
    </row>
    <row r="85" spans="1:6" ht="15" customHeight="1" x14ac:dyDescent="0.45">
      <c r="A85"/>
      <c r="B85" s="16" t="s">
        <v>771</v>
      </c>
      <c r="C85">
        <f>SUM(C77:C84)</f>
        <v>2141.1999999999998</v>
      </c>
      <c r="D85">
        <f>SUM(D77:D84)</f>
        <v>2358.9999999999995</v>
      </c>
      <c r="F85">
        <f t="shared" ref="F85" si="5">SUM(F77:F84)</f>
        <v>4650.1999999999989</v>
      </c>
    </row>
    <row r="86" spans="1:6" ht="15" customHeight="1" x14ac:dyDescent="0.45">
      <c r="A86"/>
      <c r="B86" s="16" t="s">
        <v>214</v>
      </c>
      <c r="C86" s="67">
        <v>29.3</v>
      </c>
      <c r="D86" s="67">
        <v>35.1</v>
      </c>
      <c r="F86">
        <f t="shared" si="1"/>
        <v>64.400000000000006</v>
      </c>
    </row>
    <row r="87" spans="1:6" ht="15" customHeight="1" x14ac:dyDescent="0.45">
      <c r="A87"/>
      <c r="B87" s="16" t="s">
        <v>492</v>
      </c>
      <c r="C87" s="67">
        <v>2163.4</v>
      </c>
      <c r="D87" s="67">
        <v>2694.4</v>
      </c>
      <c r="F87">
        <f t="shared" si="1"/>
        <v>4857.8</v>
      </c>
    </row>
    <row r="88" spans="1:6" ht="15" customHeight="1" x14ac:dyDescent="0.45">
      <c r="A88"/>
      <c r="B88" s="16" t="s">
        <v>761</v>
      </c>
      <c r="C88" s="67">
        <v>19</v>
      </c>
      <c r="D88" s="67">
        <v>22.1</v>
      </c>
      <c r="F88">
        <f t="shared" si="1"/>
        <v>41.1</v>
      </c>
    </row>
    <row r="89" spans="1:6" ht="15" customHeight="1" x14ac:dyDescent="0.45">
      <c r="A89"/>
      <c r="B89" s="16" t="s">
        <v>711</v>
      </c>
      <c r="C89" s="67">
        <v>49</v>
      </c>
      <c r="D89" s="67">
        <v>48.2</v>
      </c>
      <c r="F89">
        <f t="shared" si="1"/>
        <v>97.2</v>
      </c>
    </row>
    <row r="90" spans="1:6" ht="15" customHeight="1" x14ac:dyDescent="0.45">
      <c r="A90"/>
      <c r="B90" s="16" t="s">
        <v>772</v>
      </c>
      <c r="C90" s="67">
        <v>188.3</v>
      </c>
      <c r="D90" s="67">
        <v>345.2</v>
      </c>
      <c r="F90">
        <f t="shared" si="1"/>
        <v>533.5</v>
      </c>
    </row>
    <row r="91" spans="1:6" ht="15" customHeight="1" x14ac:dyDescent="0.45">
      <c r="A91"/>
      <c r="B91" s="16" t="s">
        <v>773</v>
      </c>
      <c r="C91">
        <f>SUM(C86:C90)</f>
        <v>2449.0000000000005</v>
      </c>
      <c r="D91">
        <f>SUM(D86:D90)</f>
        <v>3144.9999999999995</v>
      </c>
      <c r="F91">
        <f t="shared" ref="F91" si="6">SUM(F86:F90)</f>
        <v>5594</v>
      </c>
    </row>
    <row r="92" spans="1:6" ht="15" customHeight="1" x14ac:dyDescent="0.45">
      <c r="A92"/>
      <c r="B92" s="16" t="s">
        <v>314</v>
      </c>
      <c r="C92">
        <f>SUM(C91,C85)</f>
        <v>4590.2000000000007</v>
      </c>
      <c r="D92">
        <f>SUM(D91,D85)</f>
        <v>5503.9999999999991</v>
      </c>
      <c r="F92">
        <f t="shared" ref="F92" si="7">SUM(F91,F85)</f>
        <v>10244.199999999999</v>
      </c>
    </row>
    <row r="93" spans="1:6" ht="15" customHeight="1" x14ac:dyDescent="0.45">
      <c r="A93"/>
      <c r="B93" s="16" t="s">
        <v>774</v>
      </c>
      <c r="C93" s="67">
        <v>13.8</v>
      </c>
      <c r="D93" s="67">
        <v>13.8</v>
      </c>
      <c r="F93">
        <f t="shared" si="1"/>
        <v>27.6</v>
      </c>
    </row>
    <row r="94" spans="1:6" ht="15" customHeight="1" x14ac:dyDescent="0.45">
      <c r="A94"/>
      <c r="B94" s="16" t="s">
        <v>775</v>
      </c>
      <c r="C94" s="67">
        <v>500.7</v>
      </c>
      <c r="D94" s="67">
        <v>501.3</v>
      </c>
      <c r="F94">
        <f t="shared" si="1"/>
        <v>1002</v>
      </c>
    </row>
    <row r="95" spans="1:6" ht="15" customHeight="1" x14ac:dyDescent="0.45">
      <c r="A95"/>
      <c r="B95" s="16" t="s">
        <v>776</v>
      </c>
      <c r="C95" s="67">
        <v>-0.3</v>
      </c>
      <c r="D95" s="67">
        <v>-0.2</v>
      </c>
      <c r="F95">
        <f t="shared" si="1"/>
        <v>-0.5</v>
      </c>
    </row>
    <row r="96" spans="1:6" ht="15" customHeight="1" x14ac:dyDescent="0.45">
      <c r="A96"/>
      <c r="B96" s="16" t="s">
        <v>777</v>
      </c>
      <c r="C96" s="67">
        <v>1.8</v>
      </c>
      <c r="D96" s="67">
        <v>1.8</v>
      </c>
      <c r="F96">
        <f t="shared" si="1"/>
        <v>3.6</v>
      </c>
    </row>
    <row r="97" spans="1:6" ht="15" customHeight="1" x14ac:dyDescent="0.45">
      <c r="A97"/>
      <c r="B97" s="16" t="s">
        <v>778</v>
      </c>
      <c r="C97" s="67">
        <v>-21.2</v>
      </c>
      <c r="D97" s="67">
        <v>-6.2</v>
      </c>
      <c r="F97">
        <f t="shared" si="1"/>
        <v>-27.4</v>
      </c>
    </row>
    <row r="98" spans="1:6" ht="15" customHeight="1" x14ac:dyDescent="0.45">
      <c r="A98"/>
      <c r="B98" s="16" t="s">
        <v>779</v>
      </c>
      <c r="C98" s="67">
        <v>-12</v>
      </c>
      <c r="D98" s="67" t="s">
        <v>780</v>
      </c>
      <c r="F98">
        <f t="shared" si="1"/>
        <v>-12</v>
      </c>
    </row>
    <row r="99" spans="1:6" ht="15" customHeight="1" x14ac:dyDescent="0.45">
      <c r="A99"/>
      <c r="B99" s="16" t="s">
        <v>404</v>
      </c>
      <c r="C99" s="67">
        <v>196.5</v>
      </c>
      <c r="D99" s="67">
        <v>-102.3</v>
      </c>
      <c r="E99">
        <v>-200</v>
      </c>
      <c r="F99">
        <f t="shared" si="1"/>
        <v>-105.8</v>
      </c>
    </row>
    <row r="100" spans="1:6" ht="15" customHeight="1" x14ac:dyDescent="0.45">
      <c r="A100"/>
      <c r="B100" s="16" t="s">
        <v>781</v>
      </c>
      <c r="C100">
        <f>SUM(C93:C99)</f>
        <v>679.3</v>
      </c>
      <c r="D100">
        <f>SUM(D93:D99)</f>
        <v>408.19999999999993</v>
      </c>
      <c r="F100">
        <f t="shared" ref="F100" si="8">SUM(F93:F99)</f>
        <v>887.49999999999989</v>
      </c>
    </row>
    <row r="101" spans="1:6" ht="15" customHeight="1" x14ac:dyDescent="0.45">
      <c r="A101"/>
      <c r="B101" s="16" t="s">
        <v>782</v>
      </c>
      <c r="C101" s="67">
        <v>74</v>
      </c>
      <c r="D101" s="67">
        <v>75.2</v>
      </c>
      <c r="F101">
        <f t="shared" si="1"/>
        <v>149.19999999999999</v>
      </c>
    </row>
    <row r="102" spans="1:6" ht="15" customHeight="1" x14ac:dyDescent="0.45">
      <c r="A102"/>
      <c r="B102" s="16" t="s">
        <v>406</v>
      </c>
      <c r="C102">
        <f>SUM(C100:C101)</f>
        <v>753.3</v>
      </c>
      <c r="D102">
        <f>SUM(D100:D101)</f>
        <v>483.39999999999992</v>
      </c>
      <c r="F102">
        <f t="shared" ref="F102" si="9">SUM(F100:F101)</f>
        <v>1036.6999999999998</v>
      </c>
    </row>
    <row r="103" spans="1:6" ht="15" customHeight="1" x14ac:dyDescent="0.45">
      <c r="A103"/>
      <c r="B103" s="16" t="s">
        <v>317</v>
      </c>
      <c r="C103">
        <f>C92+C102</f>
        <v>5343.5000000000009</v>
      </c>
      <c r="D103">
        <f>D92+D102</f>
        <v>5987.3999999999987</v>
      </c>
      <c r="F103">
        <f t="shared" ref="F103" si="10">F92+F102</f>
        <v>11280.899999999998</v>
      </c>
    </row>
    <row r="104" spans="1:6" ht="15" customHeight="1" x14ac:dyDescent="0.45">
      <c r="A104"/>
      <c r="B104"/>
    </row>
    <row r="105" spans="1:6" ht="15" customHeight="1" x14ac:dyDescent="0.45">
      <c r="A105"/>
      <c r="B105" s="16" t="s">
        <v>133</v>
      </c>
      <c r="C105">
        <f>C103-C76</f>
        <v>0</v>
      </c>
      <c r="D105">
        <f>D103-D76</f>
        <v>0</v>
      </c>
      <c r="F105">
        <f t="shared" ref="F105" si="11">F103-F76</f>
        <v>0</v>
      </c>
    </row>
    <row r="106" spans="1:6" ht="15" customHeight="1" x14ac:dyDescent="0.45">
      <c r="A106"/>
      <c r="B106"/>
    </row>
    <row r="107" spans="1:6" ht="15" customHeight="1" x14ac:dyDescent="0.45">
      <c r="A107" s="15" t="s">
        <v>72</v>
      </c>
      <c r="B107"/>
    </row>
    <row r="108" spans="1:6" ht="15" customHeight="1" x14ac:dyDescent="0.45">
      <c r="A108"/>
      <c r="B108" s="16" t="s">
        <v>783</v>
      </c>
    </row>
    <row r="109" spans="1:6" ht="15" customHeight="1" x14ac:dyDescent="0.45">
      <c r="A109"/>
      <c r="B109" s="16" t="s">
        <v>784</v>
      </c>
    </row>
    <row r="110" spans="1:6" ht="15" customHeight="1" x14ac:dyDescent="0.45">
      <c r="A110"/>
      <c r="B110"/>
    </row>
    <row r="111" spans="1:6" ht="15" customHeight="1" x14ac:dyDescent="0.45">
      <c r="A111"/>
      <c r="B111"/>
      <c r="D111" s="102">
        <v>42735</v>
      </c>
      <c r="E111" t="s">
        <v>754</v>
      </c>
      <c r="F111" s="102">
        <v>42735</v>
      </c>
    </row>
    <row r="112" spans="1:6" ht="15" customHeight="1" x14ac:dyDescent="0.45">
      <c r="A112"/>
      <c r="B112" s="16" t="s">
        <v>125</v>
      </c>
      <c r="D112">
        <f>D54</f>
        <v>148.29999999999981</v>
      </c>
      <c r="E112">
        <f>E48</f>
        <v>-200</v>
      </c>
      <c r="F112">
        <f>F54</f>
        <v>-51.700000000000188</v>
      </c>
    </row>
    <row r="113" spans="1:6" ht="15" customHeight="1" x14ac:dyDescent="0.45">
      <c r="A113"/>
      <c r="B113" s="16" t="s">
        <v>785</v>
      </c>
      <c r="D113">
        <f>-D53</f>
        <v>59</v>
      </c>
      <c r="F113">
        <f>-F53</f>
        <v>59</v>
      </c>
    </row>
    <row r="114" spans="1:6" ht="15" customHeight="1" x14ac:dyDescent="0.45">
      <c r="A114"/>
      <c r="B114" s="16" t="s">
        <v>97</v>
      </c>
      <c r="D114">
        <f>SUM(D112:D113)</f>
        <v>207.29999999999981</v>
      </c>
      <c r="F114">
        <f>SUM(F112:F113)</f>
        <v>7.2999999999998124</v>
      </c>
    </row>
    <row r="115" spans="1:6" ht="15" customHeight="1" x14ac:dyDescent="0.45">
      <c r="A115"/>
      <c r="B115" s="16" t="s">
        <v>388</v>
      </c>
      <c r="D115">
        <f>-D52</f>
        <v>81.900000000000006</v>
      </c>
      <c r="F115">
        <f>-F52</f>
        <v>81.900000000000006</v>
      </c>
    </row>
    <row r="116" spans="1:6" ht="15" customHeight="1" x14ac:dyDescent="0.45">
      <c r="A116"/>
      <c r="B116" s="16" t="s">
        <v>98</v>
      </c>
      <c r="D116">
        <f>SUM(D114:D115)</f>
        <v>289.19999999999982</v>
      </c>
      <c r="F116">
        <f>SUM(F114:F115)</f>
        <v>89.199999999999818</v>
      </c>
    </row>
    <row r="117" spans="1:6" ht="15" customHeight="1" x14ac:dyDescent="0.45">
      <c r="A117"/>
      <c r="B117"/>
    </row>
    <row r="118" spans="1:6" ht="15" customHeight="1" x14ac:dyDescent="0.45">
      <c r="A118"/>
      <c r="B118" s="16" t="s">
        <v>786</v>
      </c>
    </row>
    <row r="119" spans="1:6" ht="15" customHeight="1" x14ac:dyDescent="0.45">
      <c r="A119"/>
      <c r="B119" s="16" t="s">
        <v>787</v>
      </c>
    </row>
    <row r="120" spans="1:6" ht="15" customHeight="1" x14ac:dyDescent="0.45">
      <c r="A120"/>
      <c r="B120" s="16" t="s">
        <v>788</v>
      </c>
    </row>
    <row r="121" spans="1:6" ht="15" customHeight="1" x14ac:dyDescent="0.45">
      <c r="A121"/>
      <c r="B121"/>
    </row>
    <row r="122" spans="1:6" ht="15" customHeight="1" x14ac:dyDescent="0.45">
      <c r="A122" s="15" t="s">
        <v>116</v>
      </c>
      <c r="B122"/>
    </row>
    <row r="123" spans="1:6" ht="15" customHeight="1" x14ac:dyDescent="0.45">
      <c r="A123"/>
      <c r="B123"/>
      <c r="E123" s="65"/>
    </row>
    <row r="124" spans="1:6" ht="15" customHeight="1" x14ac:dyDescent="0.45">
      <c r="A124"/>
      <c r="B124"/>
    </row>
    <row r="125" spans="1:6" ht="15" customHeight="1" x14ac:dyDescent="0.45">
      <c r="A125"/>
      <c r="B125"/>
    </row>
    <row r="126" spans="1:6" ht="15" customHeight="1" x14ac:dyDescent="0.45">
      <c r="A126"/>
      <c r="B126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91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8564CD-DF05-402F-8086-D858A1D4C0D0}">
  <sheetPr>
    <pageSetUpPr fitToPage="1"/>
  </sheetPr>
  <dimension ref="A1:Q97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1.6640625" style="16" customWidth="1"/>
    <col min="3" max="10" width="11" customWidth="1"/>
    <col min="11" max="12" width="9.33203125" customWidth="1"/>
  </cols>
  <sheetData>
    <row r="1" spans="1:17" s="88" customFormat="1" ht="45" customHeight="1" x14ac:dyDescent="0.85">
      <c r="A1" s="5" t="str">
        <f>'Capita 2'!A1</f>
        <v>Forensic Accounting</v>
      </c>
      <c r="B1" s="87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14"/>
      <c r="Q1" s="114"/>
    </row>
    <row r="2" spans="1:17" s="90" customFormat="1" ht="30" customHeight="1" x14ac:dyDescent="0.65">
      <c r="A2" s="14" t="s">
        <v>21</v>
      </c>
      <c r="B2" s="89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4"/>
      <c r="Q2" s="114"/>
    </row>
    <row r="3" spans="1:17" ht="15" customHeight="1" x14ac:dyDescent="0.45">
      <c r="A3"/>
      <c r="B3"/>
    </row>
    <row r="4" spans="1:17" ht="15" customHeight="1" x14ac:dyDescent="0.45">
      <c r="A4" s="15" t="s">
        <v>66</v>
      </c>
      <c r="B4"/>
    </row>
    <row r="5" spans="1:17" ht="15" customHeight="1" x14ac:dyDescent="0.45">
      <c r="A5"/>
      <c r="B5" s="16" t="s">
        <v>119</v>
      </c>
    </row>
    <row r="6" spans="1:17" ht="15" customHeight="1" x14ac:dyDescent="0.45">
      <c r="A6"/>
      <c r="B6" s="16" t="s">
        <v>118</v>
      </c>
    </row>
    <row r="7" spans="1:17" ht="15" customHeight="1" x14ac:dyDescent="0.45">
      <c r="A7"/>
      <c r="B7"/>
    </row>
    <row r="8" spans="1:17" ht="15" customHeight="1" x14ac:dyDescent="0.45">
      <c r="A8"/>
      <c r="B8" s="73" t="s">
        <v>42</v>
      </c>
      <c r="C8" s="73" t="s">
        <v>68</v>
      </c>
      <c r="D8" s="67" t="s">
        <v>69</v>
      </c>
      <c r="E8" s="73" t="s">
        <v>70</v>
      </c>
      <c r="F8" s="67" t="s">
        <v>71</v>
      </c>
    </row>
    <row r="9" spans="1:17" ht="15" customHeight="1" x14ac:dyDescent="0.45">
      <c r="A9"/>
      <c r="B9" s="65" t="s">
        <v>433</v>
      </c>
      <c r="C9" s="73" t="s">
        <v>68</v>
      </c>
      <c r="D9" s="65" t="s">
        <v>434</v>
      </c>
      <c r="E9" s="73" t="s">
        <v>70</v>
      </c>
      <c r="F9" t="s">
        <v>435</v>
      </c>
    </row>
    <row r="10" spans="1:17" ht="15" customHeight="1" x14ac:dyDescent="0.45">
      <c r="A10"/>
      <c r="B10" s="65" t="s">
        <v>483</v>
      </c>
      <c r="C10" s="73" t="s">
        <v>68</v>
      </c>
      <c r="D10" s="65" t="s">
        <v>434</v>
      </c>
      <c r="E10" s="73" t="s">
        <v>70</v>
      </c>
      <c r="F10" t="s">
        <v>484</v>
      </c>
    </row>
    <row r="11" spans="1:17" ht="15" customHeight="1" x14ac:dyDescent="0.45">
      <c r="A11"/>
      <c r="B11"/>
    </row>
    <row r="12" spans="1:17" ht="15" customHeight="1" x14ac:dyDescent="0.45">
      <c r="A12" s="15" t="s">
        <v>72</v>
      </c>
      <c r="B12"/>
    </row>
    <row r="13" spans="1:17" ht="15" customHeight="1" x14ac:dyDescent="0.45">
      <c r="A13"/>
      <c r="B13" s="16" t="s">
        <v>120</v>
      </c>
    </row>
    <row r="14" spans="1:17" ht="15" customHeight="1" x14ac:dyDescent="0.45">
      <c r="A14"/>
      <c r="B14"/>
    </row>
    <row r="15" spans="1:17" ht="15" customHeight="1" x14ac:dyDescent="0.45">
      <c r="A15"/>
      <c r="B15" s="16" t="s">
        <v>65</v>
      </c>
      <c r="D15">
        <v>50</v>
      </c>
    </row>
    <row r="16" spans="1:17" ht="15" customHeight="1" x14ac:dyDescent="0.45">
      <c r="A16"/>
      <c r="B16" s="16" t="s">
        <v>121</v>
      </c>
      <c r="D16">
        <v>-30</v>
      </c>
    </row>
    <row r="17" spans="1:5" ht="15" customHeight="1" x14ac:dyDescent="0.45">
      <c r="A17"/>
      <c r="B17" s="16" t="s">
        <v>122</v>
      </c>
      <c r="D17">
        <f>SUM(D15:D16)</f>
        <v>20</v>
      </c>
    </row>
    <row r="18" spans="1:5" ht="15" customHeight="1" x14ac:dyDescent="0.45">
      <c r="A18"/>
      <c r="B18"/>
    </row>
    <row r="19" spans="1:5" ht="15" customHeight="1" x14ac:dyDescent="0.45">
      <c r="A19" s="15" t="s">
        <v>76</v>
      </c>
      <c r="B19"/>
    </row>
    <row r="20" spans="1:5" ht="15" customHeight="1" x14ac:dyDescent="0.45">
      <c r="A20"/>
      <c r="B20" s="16" t="s">
        <v>147</v>
      </c>
    </row>
    <row r="21" spans="1:5" ht="15" customHeight="1" x14ac:dyDescent="0.45">
      <c r="A21"/>
      <c r="B21"/>
    </row>
    <row r="22" spans="1:5" ht="15" customHeight="1" x14ac:dyDescent="0.45">
      <c r="A22"/>
      <c r="B22"/>
      <c r="C22" s="70">
        <v>36891</v>
      </c>
      <c r="D22" s="70">
        <v>37256</v>
      </c>
      <c r="E22" s="70">
        <v>37621</v>
      </c>
    </row>
    <row r="23" spans="1:5" ht="15" customHeight="1" x14ac:dyDescent="0.45">
      <c r="A23"/>
      <c r="B23" s="16" t="s">
        <v>65</v>
      </c>
      <c r="C23" s="67">
        <v>5000</v>
      </c>
      <c r="D23" s="67">
        <f>C23*1.1</f>
        <v>5500</v>
      </c>
      <c r="E23" s="67">
        <f>D23*1.1</f>
        <v>6050.0000000000009</v>
      </c>
    </row>
    <row r="24" spans="1:5" ht="15" customHeight="1" x14ac:dyDescent="0.45">
      <c r="A24"/>
      <c r="B24" s="16" t="s">
        <v>121</v>
      </c>
      <c r="C24" s="67">
        <f>C23*0.8*-1</f>
        <v>-4000</v>
      </c>
      <c r="D24" s="67">
        <f>D23*0.8*-1</f>
        <v>-4400</v>
      </c>
      <c r="E24" s="67">
        <f>E23*0.8*-1</f>
        <v>-4840.0000000000009</v>
      </c>
    </row>
    <row r="25" spans="1:5" ht="15" customHeight="1" x14ac:dyDescent="0.45">
      <c r="A25"/>
      <c r="B25" s="16" t="s">
        <v>122</v>
      </c>
      <c r="C25" s="67">
        <f>SUM(C23:C24)</f>
        <v>1000</v>
      </c>
      <c r="D25" s="67">
        <f>SUM(D23:D24)</f>
        <v>1100</v>
      </c>
      <c r="E25" s="67">
        <f>SUM(E23:E24)</f>
        <v>1210</v>
      </c>
    </row>
    <row r="26" spans="1:5" ht="15" customHeight="1" x14ac:dyDescent="0.45">
      <c r="A26"/>
      <c r="B26" s="16" t="s">
        <v>124</v>
      </c>
      <c r="C26" s="67">
        <f>C23*0.05*-1</f>
        <v>-250</v>
      </c>
      <c r="D26" s="67">
        <f>D23*0.05*-1</f>
        <v>-275</v>
      </c>
      <c r="E26" s="67">
        <f>E23*0.05*-1</f>
        <v>-302.50000000000006</v>
      </c>
    </row>
    <row r="27" spans="1:5" ht="15" customHeight="1" x14ac:dyDescent="0.45">
      <c r="A27"/>
      <c r="B27" s="16" t="s">
        <v>125</v>
      </c>
      <c r="C27" s="67">
        <f>SUM(C25:C26)</f>
        <v>750</v>
      </c>
      <c r="D27" s="67">
        <f>SUM(D25:D26)</f>
        <v>825</v>
      </c>
      <c r="E27" s="67">
        <f>SUM(E25:E26)</f>
        <v>907.5</v>
      </c>
    </row>
    <row r="28" spans="1:5" ht="15" customHeight="1" x14ac:dyDescent="0.45">
      <c r="A28"/>
      <c r="B28"/>
    </row>
    <row r="29" spans="1:5" ht="15" customHeight="1" x14ac:dyDescent="0.45">
      <c r="A29"/>
      <c r="B29" s="16" t="s">
        <v>126</v>
      </c>
      <c r="C29" s="67">
        <v>400</v>
      </c>
      <c r="D29" s="67">
        <v>420</v>
      </c>
      <c r="E29" s="67">
        <v>630</v>
      </c>
    </row>
    <row r="30" spans="1:5" ht="15" customHeight="1" x14ac:dyDescent="0.45">
      <c r="A30"/>
      <c r="B30"/>
    </row>
    <row r="31" spans="1:5" ht="15" customHeight="1" x14ac:dyDescent="0.45">
      <c r="A31"/>
      <c r="B31" s="16" t="s">
        <v>127</v>
      </c>
      <c r="C31">
        <f>C24*-1/C29</f>
        <v>10</v>
      </c>
      <c r="D31">
        <f>D24*-1/D29</f>
        <v>10.476190476190476</v>
      </c>
      <c r="E31">
        <f>E24*-1/E29</f>
        <v>7.6825396825396837</v>
      </c>
    </row>
    <row r="32" spans="1:5" ht="15" customHeight="1" x14ac:dyDescent="0.45">
      <c r="A32"/>
      <c r="B32"/>
    </row>
    <row r="33" spans="1:8" ht="15" customHeight="1" x14ac:dyDescent="0.45">
      <c r="A33" s="15" t="s">
        <v>79</v>
      </c>
      <c r="B33"/>
    </row>
    <row r="34" spans="1:8" ht="15" customHeight="1" x14ac:dyDescent="0.45">
      <c r="A34"/>
      <c r="B34" s="16" t="s">
        <v>128</v>
      </c>
    </row>
    <row r="35" spans="1:8" ht="15" customHeight="1" x14ac:dyDescent="0.45">
      <c r="A35"/>
      <c r="B35" s="16" t="s">
        <v>123</v>
      </c>
    </row>
    <row r="36" spans="1:8" ht="15" customHeight="1" x14ac:dyDescent="0.45">
      <c r="A36"/>
      <c r="B36" s="16" t="s">
        <v>118</v>
      </c>
    </row>
    <row r="37" spans="1:8" ht="15" customHeight="1" x14ac:dyDescent="0.45">
      <c r="A37"/>
      <c r="B37"/>
    </row>
    <row r="38" spans="1:8" ht="15" customHeight="1" x14ac:dyDescent="0.45">
      <c r="A38"/>
      <c r="B38" s="67" t="s">
        <v>42</v>
      </c>
      <c r="C38" s="67" t="s">
        <v>68</v>
      </c>
      <c r="D38" s="67" t="s">
        <v>69</v>
      </c>
      <c r="E38" s="73" t="s">
        <v>70</v>
      </c>
      <c r="F38" s="67" t="s">
        <v>71</v>
      </c>
    </row>
    <row r="39" spans="1:8" ht="15" customHeight="1" x14ac:dyDescent="0.45">
      <c r="A39"/>
      <c r="B39" t="s">
        <v>485</v>
      </c>
      <c r="C39" s="67" t="s">
        <v>68</v>
      </c>
      <c r="D39" s="65" t="s">
        <v>434</v>
      </c>
      <c r="E39" s="73" t="s">
        <v>70</v>
      </c>
      <c r="F39" t="s">
        <v>486</v>
      </c>
    </row>
    <row r="40" spans="1:8" ht="15" customHeight="1" x14ac:dyDescent="0.45">
      <c r="A40"/>
      <c r="B40"/>
    </row>
    <row r="41" spans="1:8" ht="15" customHeight="1" x14ac:dyDescent="0.45">
      <c r="A41" s="15" t="s">
        <v>84</v>
      </c>
      <c r="B41"/>
    </row>
    <row r="42" spans="1:8" ht="15" customHeight="1" x14ac:dyDescent="0.45">
      <c r="A42"/>
      <c r="B42" s="16" t="s">
        <v>131</v>
      </c>
    </row>
    <row r="43" spans="1:8" ht="15" customHeight="1" x14ac:dyDescent="0.45">
      <c r="A43"/>
      <c r="B43"/>
    </row>
    <row r="44" spans="1:8" ht="15" customHeight="1" x14ac:dyDescent="0.45">
      <c r="A44"/>
      <c r="B44"/>
      <c r="C44" s="92" t="s">
        <v>22</v>
      </c>
      <c r="D44" s="92" t="s">
        <v>23</v>
      </c>
      <c r="E44" s="92" t="s">
        <v>24</v>
      </c>
      <c r="F44" s="92" t="s">
        <v>25</v>
      </c>
      <c r="G44" s="92" t="s">
        <v>26</v>
      </c>
    </row>
    <row r="45" spans="1:8" ht="15" customHeight="1" x14ac:dyDescent="0.45">
      <c r="A45"/>
      <c r="B45"/>
      <c r="C45" s="92" t="s">
        <v>27</v>
      </c>
      <c r="D45" s="92" t="s">
        <v>27</v>
      </c>
      <c r="E45" s="92" t="s">
        <v>27</v>
      </c>
      <c r="F45" s="92" t="s">
        <v>27</v>
      </c>
      <c r="G45" s="92" t="s">
        <v>27</v>
      </c>
      <c r="H45" s="92" t="s">
        <v>487</v>
      </c>
    </row>
    <row r="46" spans="1:8" ht="15" customHeight="1" x14ac:dyDescent="0.45">
      <c r="A46"/>
      <c r="B46" s="93" t="s">
        <v>129</v>
      </c>
      <c r="C46" s="94">
        <v>6.2600319999999998</v>
      </c>
      <c r="D46" s="94">
        <v>8.7958820000000006</v>
      </c>
      <c r="E46" s="94">
        <v>4.9796500000000004</v>
      </c>
      <c r="F46" s="94">
        <v>-1.010545</v>
      </c>
      <c r="G46" s="94">
        <v>4.9440099999999996</v>
      </c>
    </row>
    <row r="47" spans="1:8" ht="15" customHeight="1" x14ac:dyDescent="0.45">
      <c r="A47"/>
      <c r="B47" s="93" t="s">
        <v>29</v>
      </c>
      <c r="C47" s="94">
        <v>20.989474999999999</v>
      </c>
      <c r="D47" s="94">
        <v>23.858177999999999</v>
      </c>
      <c r="E47" s="94">
        <v>36.783307999999998</v>
      </c>
      <c r="F47" s="94" t="s">
        <v>28</v>
      </c>
      <c r="G47" s="94">
        <v>32.761705999999997</v>
      </c>
    </row>
    <row r="48" spans="1:8" ht="15" customHeight="1" x14ac:dyDescent="0.45">
      <c r="A48"/>
      <c r="B48" s="93" t="s">
        <v>30</v>
      </c>
      <c r="C48" s="94">
        <v>8.8856389999999994</v>
      </c>
      <c r="D48" s="94">
        <v>12.602505000000001</v>
      </c>
      <c r="E48" s="94">
        <v>13.282861</v>
      </c>
      <c r="F48" s="94">
        <v>22.956565999999999</v>
      </c>
      <c r="G48" s="94">
        <v>13.473179999999999</v>
      </c>
    </row>
    <row r="49" spans="1:7" ht="15" customHeight="1" x14ac:dyDescent="0.45">
      <c r="A49"/>
      <c r="B49" s="93" t="s">
        <v>31</v>
      </c>
      <c r="C49" s="94">
        <v>0.38301000000000002</v>
      </c>
      <c r="D49" s="94">
        <v>0.48258499999999999</v>
      </c>
      <c r="E49" s="94">
        <v>0.25521500000000003</v>
      </c>
      <c r="F49" s="94">
        <v>-5.6457E-2</v>
      </c>
      <c r="G49" s="94">
        <v>0.28711700000000001</v>
      </c>
    </row>
    <row r="50" spans="1:7" ht="15" customHeight="1" x14ac:dyDescent="0.45">
      <c r="A50"/>
      <c r="B50" s="93" t="s">
        <v>34</v>
      </c>
      <c r="C50" s="94">
        <v>9.0059170000000002</v>
      </c>
      <c r="D50" s="94">
        <v>9.1080459999999999</v>
      </c>
      <c r="E50" s="94">
        <v>6.9790479999999997</v>
      </c>
      <c r="F50" s="94">
        <v>9.38565</v>
      </c>
      <c r="G50" s="94">
        <v>8.4921880000000005</v>
      </c>
    </row>
    <row r="51" spans="1:7" ht="15" customHeight="1" x14ac:dyDescent="0.45">
      <c r="A51"/>
      <c r="B51" s="93" t="s">
        <v>130</v>
      </c>
      <c r="C51" s="94">
        <v>40.528908999999999</v>
      </c>
      <c r="D51" s="94">
        <v>40.074457000000002</v>
      </c>
      <c r="E51" s="94">
        <v>52.299399999999999</v>
      </c>
      <c r="F51" s="94">
        <v>38.889153999999998</v>
      </c>
      <c r="G51" s="94">
        <v>42.980680999999997</v>
      </c>
    </row>
    <row r="52" spans="1:7" ht="15" customHeight="1" x14ac:dyDescent="0.45">
      <c r="A52"/>
      <c r="B52" s="93" t="s">
        <v>35</v>
      </c>
      <c r="C52" s="94">
        <v>3.603799</v>
      </c>
      <c r="D52" s="94">
        <v>3.1102150000000002</v>
      </c>
      <c r="E52" s="94">
        <v>4.234375</v>
      </c>
      <c r="F52" s="94">
        <v>7.7044030000000001</v>
      </c>
      <c r="G52" s="94">
        <v>3.6590509999999998</v>
      </c>
    </row>
    <row r="53" spans="1:7" ht="15" customHeight="1" x14ac:dyDescent="0.45">
      <c r="A53"/>
      <c r="B53" s="93" t="s">
        <v>36</v>
      </c>
      <c r="C53" s="94">
        <v>11.338462</v>
      </c>
      <c r="D53" s="94">
        <v>16.173912999999999</v>
      </c>
      <c r="E53" s="94">
        <v>13.090909</v>
      </c>
      <c r="F53" s="94">
        <v>5.389831</v>
      </c>
      <c r="G53" s="94">
        <v>7.2025319999999997</v>
      </c>
    </row>
    <row r="54" spans="1:7" ht="15" customHeight="1" x14ac:dyDescent="0.45">
      <c r="A54"/>
      <c r="B54" s="93" t="s">
        <v>37</v>
      </c>
      <c r="C54" s="94">
        <v>2.6092270000000002</v>
      </c>
      <c r="D54" s="94">
        <v>2.7325270000000002</v>
      </c>
      <c r="E54" s="94">
        <v>4.0347220000000004</v>
      </c>
      <c r="F54" s="94">
        <v>7.5660379999999998</v>
      </c>
      <c r="G54" s="94">
        <v>3.1915640000000001</v>
      </c>
    </row>
    <row r="55" spans="1:7" ht="15" customHeight="1" x14ac:dyDescent="0.45">
      <c r="A55"/>
      <c r="B55"/>
    </row>
    <row r="56" spans="1:7" ht="15" customHeight="1" x14ac:dyDescent="0.45">
      <c r="A56"/>
      <c r="B56"/>
    </row>
    <row r="57" spans="1:7" ht="15" customHeight="1" x14ac:dyDescent="0.45">
      <c r="A57"/>
      <c r="B57"/>
    </row>
    <row r="58" spans="1:7" ht="15" customHeight="1" x14ac:dyDescent="0.45">
      <c r="A58"/>
      <c r="B58"/>
    </row>
    <row r="59" spans="1:7" ht="15" customHeight="1" x14ac:dyDescent="0.45">
      <c r="A59"/>
      <c r="B59"/>
    </row>
    <row r="60" spans="1:7" ht="15" customHeight="1" x14ac:dyDescent="0.45">
      <c r="A60"/>
      <c r="B60"/>
    </row>
    <row r="61" spans="1:7" ht="15" customHeight="1" x14ac:dyDescent="0.45">
      <c r="A61"/>
      <c r="B61"/>
    </row>
    <row r="62" spans="1:7" ht="15" customHeight="1" x14ac:dyDescent="0.45">
      <c r="A62"/>
      <c r="B62"/>
    </row>
    <row r="63" spans="1:7" ht="15" customHeight="1" x14ac:dyDescent="0.45">
      <c r="A63"/>
      <c r="B63"/>
    </row>
    <row r="64" spans="1:7" ht="15" customHeight="1" x14ac:dyDescent="0.45">
      <c r="A64"/>
      <c r="B64"/>
    </row>
    <row r="65" spans="1:2" ht="15" customHeight="1" x14ac:dyDescent="0.45">
      <c r="A65"/>
      <c r="B65"/>
    </row>
    <row r="66" spans="1:2" ht="15" customHeight="1" x14ac:dyDescent="0.45">
      <c r="A66"/>
      <c r="B66"/>
    </row>
    <row r="67" spans="1:2" ht="15" customHeight="1" x14ac:dyDescent="0.45">
      <c r="A67"/>
      <c r="B67"/>
    </row>
    <row r="68" spans="1:2" ht="15" customHeight="1" x14ac:dyDescent="0.45">
      <c r="A68"/>
      <c r="B68"/>
    </row>
    <row r="69" spans="1:2" ht="15" customHeight="1" x14ac:dyDescent="0.45">
      <c r="A69"/>
      <c r="B69"/>
    </row>
    <row r="70" spans="1:2" ht="15" customHeight="1" x14ac:dyDescent="0.45">
      <c r="A70"/>
      <c r="B70"/>
    </row>
    <row r="71" spans="1:2" ht="15" customHeight="1" x14ac:dyDescent="0.45">
      <c r="A71"/>
      <c r="B71"/>
    </row>
    <row r="72" spans="1:2" ht="15" customHeight="1" x14ac:dyDescent="0.45">
      <c r="A72"/>
      <c r="B72"/>
    </row>
    <row r="73" spans="1:2" ht="15" customHeight="1" x14ac:dyDescent="0.45">
      <c r="A73"/>
      <c r="B73"/>
    </row>
    <row r="74" spans="1:2" ht="15" customHeight="1" x14ac:dyDescent="0.45">
      <c r="A74"/>
      <c r="B74"/>
    </row>
    <row r="75" spans="1:2" ht="15" customHeight="1" x14ac:dyDescent="0.45">
      <c r="A75"/>
      <c r="B75"/>
    </row>
    <row r="76" spans="1:2" ht="15" customHeight="1" x14ac:dyDescent="0.45">
      <c r="A76"/>
      <c r="B76"/>
    </row>
    <row r="77" spans="1:2" ht="15" customHeight="1" x14ac:dyDescent="0.45">
      <c r="A77"/>
      <c r="B77"/>
    </row>
    <row r="78" spans="1:2" ht="15" customHeight="1" x14ac:dyDescent="0.45">
      <c r="A78"/>
      <c r="B78"/>
    </row>
    <row r="79" spans="1:2" ht="15" customHeight="1" x14ac:dyDescent="0.45">
      <c r="A79"/>
      <c r="B79"/>
    </row>
    <row r="80" spans="1:2" ht="15" customHeight="1" x14ac:dyDescent="0.45">
      <c r="A80"/>
      <c r="B80"/>
    </row>
    <row r="81" spans="1:2" ht="15" customHeight="1" x14ac:dyDescent="0.45">
      <c r="A81"/>
      <c r="B81"/>
    </row>
    <row r="82" spans="1:2" ht="15" customHeight="1" x14ac:dyDescent="0.45">
      <c r="A82"/>
      <c r="B82"/>
    </row>
    <row r="83" spans="1:2" ht="15" customHeight="1" x14ac:dyDescent="0.45">
      <c r="A83"/>
      <c r="B83"/>
    </row>
    <row r="84" spans="1:2" ht="15" customHeight="1" x14ac:dyDescent="0.45">
      <c r="A84"/>
      <c r="B84"/>
    </row>
    <row r="85" spans="1:2" ht="15" customHeight="1" x14ac:dyDescent="0.45">
      <c r="A85"/>
      <c r="B85"/>
    </row>
    <row r="86" spans="1:2" ht="15" customHeight="1" x14ac:dyDescent="0.45">
      <c r="A86"/>
      <c r="B86"/>
    </row>
    <row r="87" spans="1:2" ht="15" customHeight="1" x14ac:dyDescent="0.45">
      <c r="A87"/>
      <c r="B87"/>
    </row>
    <row r="88" spans="1:2" ht="15" customHeight="1" x14ac:dyDescent="0.45">
      <c r="A88"/>
      <c r="B88"/>
    </row>
    <row r="89" spans="1:2" ht="15" customHeight="1" x14ac:dyDescent="0.45">
      <c r="A89"/>
      <c r="B89"/>
    </row>
    <row r="90" spans="1:2" ht="15" customHeight="1" x14ac:dyDescent="0.45">
      <c r="A90"/>
      <c r="B90"/>
    </row>
    <row r="91" spans="1:2" ht="15" customHeight="1" x14ac:dyDescent="0.45">
      <c r="A91"/>
      <c r="B91"/>
    </row>
    <row r="92" spans="1:2" ht="15" customHeight="1" x14ac:dyDescent="0.45">
      <c r="A92"/>
      <c r="B92" t="s">
        <v>488</v>
      </c>
    </row>
    <row r="93" spans="1:2" ht="15" customHeight="1" x14ac:dyDescent="0.45">
      <c r="A93"/>
      <c r="B93" t="s">
        <v>489</v>
      </c>
    </row>
    <row r="94" spans="1:2" ht="15" customHeight="1" x14ac:dyDescent="0.45">
      <c r="A94"/>
      <c r="B94" t="s">
        <v>490</v>
      </c>
    </row>
    <row r="95" spans="1:2" ht="15" customHeight="1" x14ac:dyDescent="0.45">
      <c r="A95"/>
      <c r="B95" t="s">
        <v>491</v>
      </c>
    </row>
    <row r="96" spans="1:2" ht="15" customHeight="1" x14ac:dyDescent="0.45">
      <c r="A96"/>
      <c r="B96"/>
    </row>
    <row r="97" spans="1:2" ht="15" customHeight="1" x14ac:dyDescent="0.45">
      <c r="A97" s="15" t="s">
        <v>116</v>
      </c>
      <c r="B97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65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  <extLst>
    <ext xmlns:x14="http://schemas.microsoft.com/office/spreadsheetml/2009/9/main" uri="{05C60535-1F16-4fd2-B633-F4F36F0B64E0}">
      <x14:sparklineGroups xmlns:xm="http://schemas.microsoft.com/office/excel/2006/main">
        <x14:sparklineGroup manualMax="0" manualMin="0" displayEmptyCellsAs="gap" xr2:uid="{3E5E74DA-89B5-4E65-BB1B-0873902A144F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Pearson!C46:G46</xm:f>
              <xm:sqref>H46</xm:sqref>
            </x14:sparkline>
            <x14:sparkline>
              <xm:f>Pearson!C47:G47</xm:f>
              <xm:sqref>H47</xm:sqref>
            </x14:sparkline>
            <x14:sparkline>
              <xm:f>Pearson!C48:G48</xm:f>
              <xm:sqref>H48</xm:sqref>
            </x14:sparkline>
            <x14:sparkline>
              <xm:f>Pearson!C49:G49</xm:f>
              <xm:sqref>H49</xm:sqref>
            </x14:sparkline>
            <x14:sparkline>
              <xm:f>Pearson!C50:G50</xm:f>
              <xm:sqref>H50</xm:sqref>
            </x14:sparkline>
            <x14:sparkline>
              <xm:f>Pearson!C51:G51</xm:f>
              <xm:sqref>H51</xm:sqref>
            </x14:sparkline>
            <x14:sparkline>
              <xm:f>Pearson!C52:G52</xm:f>
              <xm:sqref>H52</xm:sqref>
            </x14:sparkline>
            <x14:sparkline>
              <xm:f>Pearson!C53:G53</xm:f>
              <xm:sqref>H53</xm:sqref>
            </x14:sparkline>
            <x14:sparkline>
              <xm:f>Pearson!C54:G54</xm:f>
              <xm:sqref>H54</xm:sqref>
            </x14:sparkline>
          </x14:sparklines>
        </x14:sparklineGroup>
      </x14:sparklineGroup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2C11F0-B151-40D5-9B33-2736209BD530}">
  <sheetPr>
    <pageSetUpPr fitToPage="1"/>
  </sheetPr>
  <dimension ref="A1:N86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3.796875" style="16" customWidth="1"/>
    <col min="3" max="5" width="11" customWidth="1"/>
    <col min="6" max="7" width="9.33203125" customWidth="1"/>
  </cols>
  <sheetData>
    <row r="1" spans="1:14" s="51" customFormat="1" ht="45" customHeight="1" x14ac:dyDescent="0.85">
      <c r="A1" s="5" t="str">
        <f>Welcome!A2</f>
        <v>Forensic Accounting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37" customFormat="1" ht="30" customHeight="1" x14ac:dyDescent="0.65">
      <c r="A2" s="14" t="s">
        <v>157</v>
      </c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/>
      <c r="B3"/>
    </row>
    <row r="4" spans="1:14" ht="15" customHeight="1" x14ac:dyDescent="0.45">
      <c r="A4" s="15" t="s">
        <v>66</v>
      </c>
      <c r="B4"/>
    </row>
    <row r="5" spans="1:14" ht="15" customHeight="1" x14ac:dyDescent="0.45">
      <c r="A5"/>
      <c r="B5" s="16" t="s">
        <v>930</v>
      </c>
    </row>
    <row r="6" spans="1:14" ht="15" customHeight="1" x14ac:dyDescent="0.45">
      <c r="A6"/>
      <c r="B6"/>
    </row>
    <row r="7" spans="1:14" ht="15" customHeight="1" x14ac:dyDescent="0.45">
      <c r="A7"/>
      <c r="B7" s="16" t="s">
        <v>165</v>
      </c>
    </row>
    <row r="8" spans="1:14" ht="15" customHeight="1" x14ac:dyDescent="0.45">
      <c r="A8"/>
      <c r="B8" s="16" t="s">
        <v>166</v>
      </c>
    </row>
    <row r="9" spans="1:14" ht="15" customHeight="1" x14ac:dyDescent="0.45">
      <c r="A9"/>
      <c r="B9" s="16" t="s">
        <v>149</v>
      </c>
    </row>
    <row r="10" spans="1:14" ht="15" customHeight="1" x14ac:dyDescent="0.45">
      <c r="A10"/>
      <c r="B10"/>
      <c r="C10" s="103">
        <v>42369</v>
      </c>
      <c r="D10" s="103">
        <v>42735</v>
      </c>
      <c r="E10" s="103">
        <v>43100</v>
      </c>
    </row>
    <row r="11" spans="1:14" ht="15" customHeight="1" x14ac:dyDescent="0.45">
      <c r="A11"/>
      <c r="B11"/>
      <c r="D11" s="16" t="s">
        <v>150</v>
      </c>
      <c r="E11" s="16" t="s">
        <v>151</v>
      </c>
    </row>
    <row r="12" spans="1:14" ht="15" customHeight="1" x14ac:dyDescent="0.45">
      <c r="A12"/>
      <c r="B12" s="16" t="s">
        <v>65</v>
      </c>
      <c r="C12" s="67">
        <v>510.2</v>
      </c>
      <c r="D12" s="67">
        <v>593.5</v>
      </c>
      <c r="E12" s="67">
        <v>876</v>
      </c>
    </row>
    <row r="13" spans="1:14" ht="15" customHeight="1" x14ac:dyDescent="0.45">
      <c r="A13"/>
      <c r="B13" s="16" t="s">
        <v>167</v>
      </c>
      <c r="D13" s="80">
        <f>+D12/C12-1</f>
        <v>0.16326930615444923</v>
      </c>
      <c r="E13" s="80">
        <f>+E12/D12-1</f>
        <v>0.47598989048020224</v>
      </c>
      <c r="F13" s="77" t="str">
        <f t="shared" ref="F13:F59" ca="1" si="0">_xlfn.FORMULATEXT(E13)</f>
        <v>=+E12/D12-1</v>
      </c>
    </row>
    <row r="14" spans="1:14" ht="15" customHeight="1" x14ac:dyDescent="0.45">
      <c r="A14"/>
      <c r="B14" s="16" t="s">
        <v>152</v>
      </c>
      <c r="C14" s="67">
        <v>434.6</v>
      </c>
      <c r="D14" s="67">
        <v>456.4</v>
      </c>
      <c r="E14" s="67">
        <v>578.4</v>
      </c>
    </row>
    <row r="15" spans="1:14" ht="15" customHeight="1" x14ac:dyDescent="0.45">
      <c r="A15"/>
      <c r="B15" s="16" t="s">
        <v>153</v>
      </c>
      <c r="C15">
        <f>+C12-C14</f>
        <v>75.599999999999966</v>
      </c>
      <c r="D15">
        <f>+D12-D14</f>
        <v>137.10000000000002</v>
      </c>
      <c r="E15">
        <f>+E12-E14</f>
        <v>297.60000000000002</v>
      </c>
      <c r="F15" s="77" t="str">
        <f t="shared" ca="1" si="0"/>
        <v>=+E12-E14</v>
      </c>
    </row>
    <row r="16" spans="1:14" ht="15" customHeight="1" x14ac:dyDescent="0.45">
      <c r="A16"/>
      <c r="B16" s="16" t="s">
        <v>160</v>
      </c>
      <c r="C16" s="80">
        <f>+C15/C12</f>
        <v>0.14817718541748329</v>
      </c>
      <c r="D16" s="80">
        <f>+D15/D12</f>
        <v>0.2310025273799495</v>
      </c>
      <c r="E16" s="80">
        <f>+E15/E12</f>
        <v>0.33972602739726032</v>
      </c>
      <c r="F16" s="77" t="str">
        <f t="shared" ca="1" si="0"/>
        <v>=+E15/E12</v>
      </c>
    </row>
    <row r="17" spans="1:6" ht="15" customHeight="1" x14ac:dyDescent="0.45">
      <c r="A17"/>
      <c r="B17" s="16" t="s">
        <v>167</v>
      </c>
      <c r="D17" s="80">
        <f>+D15/C15-1</f>
        <v>0.8134920634920646</v>
      </c>
      <c r="E17" s="80">
        <f>+E15/D15-1</f>
        <v>1.170678336980306</v>
      </c>
      <c r="F17" s="77" t="str">
        <f t="shared" ca="1" si="0"/>
        <v>=+E15/D15-1</v>
      </c>
    </row>
    <row r="18" spans="1:6" ht="15" customHeight="1" x14ac:dyDescent="0.45">
      <c r="A18"/>
      <c r="B18" s="16" t="s">
        <v>154</v>
      </c>
      <c r="C18" s="67">
        <v>93.5</v>
      </c>
      <c r="D18" s="67">
        <v>120.7</v>
      </c>
      <c r="E18" s="67">
        <v>149</v>
      </c>
    </row>
    <row r="19" spans="1:6" ht="15" customHeight="1" x14ac:dyDescent="0.45">
      <c r="A19"/>
      <c r="B19" s="16" t="s">
        <v>156</v>
      </c>
      <c r="C19">
        <f>+C15-C18</f>
        <v>-17.900000000000034</v>
      </c>
      <c r="D19">
        <f>+D15-D18</f>
        <v>16.40000000000002</v>
      </c>
      <c r="E19">
        <f>+E15-E18</f>
        <v>148.60000000000002</v>
      </c>
      <c r="F19" s="77" t="str">
        <f t="shared" ca="1" si="0"/>
        <v>=+E15-E18</v>
      </c>
    </row>
    <row r="20" spans="1:6" ht="15" customHeight="1" x14ac:dyDescent="0.45">
      <c r="A20"/>
      <c r="B20" s="16" t="s">
        <v>168</v>
      </c>
      <c r="C20" s="67">
        <v>89.3</v>
      </c>
      <c r="D20" s="67">
        <v>84.5</v>
      </c>
      <c r="E20" s="67">
        <v>82.2</v>
      </c>
    </row>
    <row r="21" spans="1:6" ht="15" customHeight="1" x14ac:dyDescent="0.45">
      <c r="A21"/>
      <c r="B21" s="16" t="s">
        <v>98</v>
      </c>
      <c r="C21">
        <f>SUM(C19:C20)</f>
        <v>71.399999999999963</v>
      </c>
      <c r="D21">
        <f>SUM(D19:D20)</f>
        <v>100.90000000000002</v>
      </c>
      <c r="E21">
        <f>SUM(E19:E20)</f>
        <v>230.8</v>
      </c>
      <c r="F21" s="77" t="str">
        <f t="shared" ca="1" si="0"/>
        <v>=SUM(E19:E20)</v>
      </c>
    </row>
    <row r="22" spans="1:6" ht="15" customHeight="1" x14ac:dyDescent="0.45">
      <c r="A22"/>
      <c r="B22" s="16" t="s">
        <v>160</v>
      </c>
      <c r="C22" s="80">
        <f>+C21/C12</f>
        <v>0.13994511956095643</v>
      </c>
      <c r="D22" s="80">
        <f>+D21/D12</f>
        <v>0.17000842459983154</v>
      </c>
      <c r="E22" s="80">
        <f>+E21/E12</f>
        <v>0.26347031963470319</v>
      </c>
      <c r="F22" s="77" t="str">
        <f t="shared" ca="1" si="0"/>
        <v>=+E21/E12</v>
      </c>
    </row>
    <row r="23" spans="1:6" ht="15" customHeight="1" x14ac:dyDescent="0.45">
      <c r="A23"/>
      <c r="B23" s="16" t="s">
        <v>169</v>
      </c>
      <c r="C23" s="67">
        <v>122</v>
      </c>
      <c r="D23" s="67">
        <v>116.5</v>
      </c>
      <c r="E23" s="67">
        <v>213.2</v>
      </c>
    </row>
    <row r="24" spans="1:6" ht="15" customHeight="1" x14ac:dyDescent="0.45">
      <c r="A24"/>
      <c r="B24" s="16" t="s">
        <v>170</v>
      </c>
      <c r="C24">
        <f>+C21-C23</f>
        <v>-50.600000000000037</v>
      </c>
      <c r="D24">
        <f>+D21-D23</f>
        <v>-15.59999999999998</v>
      </c>
      <c r="E24">
        <f>+E21-E23</f>
        <v>17.600000000000023</v>
      </c>
      <c r="F24" s="77" t="str">
        <f t="shared" ca="1" si="0"/>
        <v>=+E21-E23</v>
      </c>
    </row>
    <row r="25" spans="1:6" ht="15" customHeight="1" x14ac:dyDescent="0.45">
      <c r="A25"/>
      <c r="B25" s="16" t="s">
        <v>160</v>
      </c>
      <c r="C25" s="80">
        <f>+C24/C12</f>
        <v>-9.9176793414347389E-2</v>
      </c>
      <c r="D25" s="80">
        <f>+D24/D12</f>
        <v>-2.6284751474304938E-2</v>
      </c>
      <c r="E25" s="80">
        <f>+E24/E12</f>
        <v>2.0091324200913269E-2</v>
      </c>
      <c r="F25" s="77" t="str">
        <f t="shared" ca="1" si="0"/>
        <v>=+E24/E12</v>
      </c>
    </row>
    <row r="26" spans="1:6" ht="15" customHeight="1" x14ac:dyDescent="0.45">
      <c r="A26"/>
      <c r="B26" s="16" t="s">
        <v>171</v>
      </c>
      <c r="D26">
        <f>+D32</f>
        <v>-51.800000000000011</v>
      </c>
      <c r="E26">
        <f>+E32</f>
        <v>-40.799999999999983</v>
      </c>
      <c r="F26" s="77" t="str">
        <f t="shared" ca="1" si="0"/>
        <v>=+E32</v>
      </c>
    </row>
    <row r="27" spans="1:6" ht="15" customHeight="1" x14ac:dyDescent="0.45">
      <c r="A27"/>
      <c r="B27" s="16" t="s">
        <v>172</v>
      </c>
      <c r="D27">
        <f>+D24+D26</f>
        <v>-67.399999999999991</v>
      </c>
      <c r="E27">
        <f>+E24+E26</f>
        <v>-23.19999999999996</v>
      </c>
      <c r="F27" s="77" t="str">
        <f t="shared" ca="1" si="0"/>
        <v>=+E24+E26</v>
      </c>
    </row>
    <row r="28" spans="1:6" ht="15" customHeight="1" x14ac:dyDescent="0.45">
      <c r="A28"/>
      <c r="B28" s="16" t="s">
        <v>126</v>
      </c>
      <c r="C28" s="67">
        <v>80.400000000000006</v>
      </c>
      <c r="D28" s="67">
        <v>117.2</v>
      </c>
      <c r="E28" s="67">
        <v>127.8</v>
      </c>
    </row>
    <row r="29" spans="1:6" ht="15" customHeight="1" x14ac:dyDescent="0.45">
      <c r="A29"/>
      <c r="B29" s="16" t="s">
        <v>929</v>
      </c>
      <c r="C29" s="67">
        <v>63.8</v>
      </c>
      <c r="D29" s="67">
        <v>108.3</v>
      </c>
      <c r="E29" s="67">
        <v>100.3</v>
      </c>
    </row>
    <row r="30" spans="1:6" ht="15" customHeight="1" x14ac:dyDescent="0.45">
      <c r="A30"/>
      <c r="B30" s="16" t="s">
        <v>928</v>
      </c>
      <c r="C30" s="67">
        <v>63.6</v>
      </c>
      <c r="D30" s="67">
        <v>93.1</v>
      </c>
      <c r="E30" s="67">
        <v>54.9</v>
      </c>
    </row>
    <row r="31" spans="1:6" ht="15" customHeight="1" x14ac:dyDescent="0.45">
      <c r="A31"/>
      <c r="B31" s="16" t="s">
        <v>173</v>
      </c>
      <c r="C31">
        <f>+C28+C29-C30</f>
        <v>80.599999999999994</v>
      </c>
      <c r="D31">
        <f>+D28+D29-D30</f>
        <v>132.4</v>
      </c>
      <c r="E31">
        <f>+E28+E29-E30</f>
        <v>173.2</v>
      </c>
      <c r="F31" s="77" t="str">
        <f t="shared" ca="1" si="0"/>
        <v>=+E28+E29-E30</v>
      </c>
    </row>
    <row r="32" spans="1:6" ht="15" customHeight="1" x14ac:dyDescent="0.45">
      <c r="A32"/>
      <c r="B32" s="16" t="s">
        <v>171</v>
      </c>
      <c r="D32">
        <f>+C31-D31</f>
        <v>-51.800000000000011</v>
      </c>
      <c r="E32">
        <f>+D31-E31</f>
        <v>-40.799999999999983</v>
      </c>
      <c r="F32" s="77" t="str">
        <f t="shared" ca="1" si="0"/>
        <v>=+D31-E31</v>
      </c>
    </row>
    <row r="33" spans="1:6" ht="15" customHeight="1" x14ac:dyDescent="0.45">
      <c r="A33"/>
      <c r="B33" s="16" t="s">
        <v>163</v>
      </c>
      <c r="C33" s="67">
        <v>132.6</v>
      </c>
      <c r="D33" s="67">
        <v>127.3</v>
      </c>
      <c r="E33" s="67">
        <v>224.3</v>
      </c>
    </row>
    <row r="34" spans="1:6" ht="15" customHeight="1" x14ac:dyDescent="0.45">
      <c r="A34"/>
      <c r="B34" s="16" t="s">
        <v>164</v>
      </c>
      <c r="C34" s="80">
        <f>+C33/C12</f>
        <v>0.25989807918463348</v>
      </c>
      <c r="D34" s="80">
        <f>+D33/D12</f>
        <v>0.21449031171019375</v>
      </c>
      <c r="E34" s="80">
        <f>+E33/E12</f>
        <v>0.25605022831050228</v>
      </c>
      <c r="F34" s="77" t="str">
        <f t="shared" ca="1" si="0"/>
        <v>=+E33/E12</v>
      </c>
    </row>
    <row r="35" spans="1:6" ht="15" customHeight="1" x14ac:dyDescent="0.45">
      <c r="A35"/>
      <c r="B35"/>
    </row>
    <row r="36" spans="1:6" ht="15" customHeight="1" x14ac:dyDescent="0.45">
      <c r="A36"/>
      <c r="B36"/>
      <c r="C36" s="128" t="s">
        <v>158</v>
      </c>
      <c r="D36" s="128"/>
      <c r="E36" s="128"/>
    </row>
    <row r="37" spans="1:6" ht="15" customHeight="1" x14ac:dyDescent="0.45">
      <c r="A37"/>
      <c r="B37"/>
      <c r="C37" s="103">
        <v>42369</v>
      </c>
      <c r="D37" s="103">
        <v>42735</v>
      </c>
      <c r="E37" s="103">
        <v>43100</v>
      </c>
    </row>
    <row r="38" spans="1:6" ht="15" customHeight="1" x14ac:dyDescent="0.45">
      <c r="A38"/>
      <c r="B38" s="16" t="s">
        <v>65</v>
      </c>
      <c r="C38" s="110">
        <v>2854</v>
      </c>
      <c r="D38" s="110">
        <v>3105</v>
      </c>
      <c r="E38" s="110">
        <v>3417</v>
      </c>
    </row>
    <row r="39" spans="1:6" ht="15" customHeight="1" x14ac:dyDescent="0.45">
      <c r="A39"/>
      <c r="B39" s="16" t="s">
        <v>186</v>
      </c>
      <c r="D39" s="79">
        <f>+D38/C38-1</f>
        <v>8.7946741415557028E-2</v>
      </c>
      <c r="E39" s="79">
        <f>+E38/D38-1</f>
        <v>0.10048309178743953</v>
      </c>
      <c r="F39" s="77" t="str">
        <f t="shared" ca="1" si="0"/>
        <v>=+E38/D38-1</v>
      </c>
    </row>
    <row r="40" spans="1:6" ht="15" customHeight="1" x14ac:dyDescent="0.45">
      <c r="A40"/>
      <c r="B40" s="16" t="s">
        <v>159</v>
      </c>
      <c r="C40" s="110">
        <v>719</v>
      </c>
      <c r="D40" s="110">
        <v>843</v>
      </c>
      <c r="E40" s="110">
        <v>1036</v>
      </c>
    </row>
    <row r="41" spans="1:6" ht="15" customHeight="1" x14ac:dyDescent="0.45">
      <c r="A41"/>
      <c r="B41" s="16" t="s">
        <v>160</v>
      </c>
      <c r="C41" s="79">
        <v>0.252</v>
      </c>
      <c r="D41" s="79">
        <v>0.27100000000000002</v>
      </c>
      <c r="E41" s="79">
        <v>0.30299999999999999</v>
      </c>
    </row>
    <row r="42" spans="1:6" ht="15" customHeight="1" x14ac:dyDescent="0.45">
      <c r="A42"/>
      <c r="B42" s="16" t="s">
        <v>161</v>
      </c>
      <c r="C42" s="110">
        <v>154</v>
      </c>
      <c r="D42" s="110">
        <v>141</v>
      </c>
      <c r="E42" s="110">
        <v>185</v>
      </c>
    </row>
    <row r="43" spans="1:6" ht="15" customHeight="1" x14ac:dyDescent="0.45">
      <c r="A43"/>
      <c r="B43" s="16" t="s">
        <v>184</v>
      </c>
      <c r="C43" s="79">
        <f>+C42/C49</f>
        <v>0.21659634317862167</v>
      </c>
      <c r="D43" s="79">
        <f>+D42/D49</f>
        <v>0.21658986175115208</v>
      </c>
      <c r="E43" s="79">
        <f>+E42/E49</f>
        <v>0.24932614555256064</v>
      </c>
      <c r="F43" s="77" t="str">
        <f t="shared" ca="1" si="0"/>
        <v>=+E42/E49</v>
      </c>
    </row>
    <row r="44" spans="1:6" ht="15" customHeight="1" x14ac:dyDescent="0.45">
      <c r="A44"/>
      <c r="B44" s="16" t="s">
        <v>162</v>
      </c>
      <c r="C44" s="110">
        <v>565</v>
      </c>
      <c r="D44" s="110">
        <v>702</v>
      </c>
      <c r="E44" s="110">
        <v>851</v>
      </c>
    </row>
    <row r="45" spans="1:6" ht="15" customHeight="1" x14ac:dyDescent="0.45">
      <c r="A45"/>
      <c r="B45" s="16" t="s">
        <v>160</v>
      </c>
      <c r="C45" s="79">
        <v>0.22</v>
      </c>
      <c r="D45" s="79">
        <v>0.22</v>
      </c>
      <c r="E45" s="79">
        <v>0.25</v>
      </c>
    </row>
    <row r="46" spans="1:6" ht="15" customHeight="1" x14ac:dyDescent="0.45">
      <c r="A46"/>
      <c r="B46" s="16" t="s">
        <v>171</v>
      </c>
      <c r="D46" s="78">
        <f>+D56</f>
        <v>88.5</v>
      </c>
      <c r="E46" s="78">
        <f>+E56</f>
        <v>-41.300000000000068</v>
      </c>
      <c r="F46" s="77" t="str">
        <f t="shared" ca="1" si="0"/>
        <v>=+E56</v>
      </c>
    </row>
    <row r="47" spans="1:6" ht="15" customHeight="1" x14ac:dyDescent="0.45">
      <c r="A47"/>
      <c r="B47" s="16" t="s">
        <v>172</v>
      </c>
      <c r="D47" s="78">
        <f>+D44+D46</f>
        <v>790.5</v>
      </c>
      <c r="E47" s="78">
        <f>+E44+E46</f>
        <v>809.69999999999993</v>
      </c>
      <c r="F47" s="77" t="str">
        <f t="shared" ca="1" si="0"/>
        <v>=+E44+E46</v>
      </c>
    </row>
    <row r="48" spans="1:6" ht="15" customHeight="1" x14ac:dyDescent="0.45">
      <c r="A48"/>
      <c r="B48"/>
    </row>
    <row r="49" spans="1:6" ht="15" customHeight="1" x14ac:dyDescent="0.45">
      <c r="A49"/>
      <c r="B49" s="16" t="s">
        <v>163</v>
      </c>
      <c r="C49" s="110">
        <v>711</v>
      </c>
      <c r="D49" s="110">
        <v>651</v>
      </c>
      <c r="E49" s="110">
        <v>742</v>
      </c>
    </row>
    <row r="50" spans="1:6" ht="15" customHeight="1" x14ac:dyDescent="0.45">
      <c r="A50"/>
      <c r="B50" s="16" t="s">
        <v>164</v>
      </c>
      <c r="C50" s="79">
        <f>C49/C38</f>
        <v>0.2491240364400841</v>
      </c>
      <c r="D50" s="79">
        <f>D49/D38</f>
        <v>0.20966183574879227</v>
      </c>
      <c r="E50" s="79">
        <f>E49/E38</f>
        <v>0.21714954638571846</v>
      </c>
      <c r="F50" s="77" t="str">
        <f ca="1">_xlfn.FORMULATEXT(E50)</f>
        <v>=E49/E38</v>
      </c>
    </row>
    <row r="51" spans="1:6" ht="15" customHeight="1" x14ac:dyDescent="0.45">
      <c r="A51"/>
      <c r="B51"/>
    </row>
    <row r="52" spans="1:6" ht="15" customHeight="1" x14ac:dyDescent="0.45">
      <c r="A52"/>
      <c r="B52" s="16" t="s">
        <v>126</v>
      </c>
      <c r="C52" s="110">
        <v>295.39999999999998</v>
      </c>
      <c r="D52" s="110">
        <v>324</v>
      </c>
      <c r="E52" s="110">
        <v>393.8</v>
      </c>
    </row>
    <row r="53" spans="1:6" ht="15" customHeight="1" x14ac:dyDescent="0.45">
      <c r="A53"/>
      <c r="B53" s="16" t="s">
        <v>929</v>
      </c>
      <c r="C53" s="110">
        <v>463</v>
      </c>
      <c r="D53" s="110">
        <v>453.3</v>
      </c>
      <c r="E53" s="110">
        <v>417.4</v>
      </c>
    </row>
    <row r="54" spans="1:6" ht="15" customHeight="1" x14ac:dyDescent="0.45">
      <c r="A54"/>
      <c r="B54" s="16" t="s">
        <v>928</v>
      </c>
      <c r="C54" s="110">
        <v>507.5</v>
      </c>
      <c r="D54" s="110">
        <v>614.9</v>
      </c>
      <c r="E54" s="110">
        <v>607.5</v>
      </c>
    </row>
    <row r="55" spans="1:6" ht="15" customHeight="1" x14ac:dyDescent="0.45">
      <c r="A55"/>
      <c r="B55" s="16" t="s">
        <v>173</v>
      </c>
      <c r="C55" s="78">
        <f>+C52+C53-C54</f>
        <v>250.89999999999998</v>
      </c>
      <c r="D55" s="78">
        <f>+D52+D53-D54</f>
        <v>162.39999999999998</v>
      </c>
      <c r="E55" s="78">
        <f>+E52+E53-E54</f>
        <v>203.70000000000005</v>
      </c>
      <c r="F55" s="77" t="str">
        <f t="shared" ca="1" si="0"/>
        <v>=+E52+E53-E54</v>
      </c>
    </row>
    <row r="56" spans="1:6" ht="15" customHeight="1" x14ac:dyDescent="0.45">
      <c r="A56"/>
      <c r="B56" s="16" t="s">
        <v>171</v>
      </c>
      <c r="D56" s="78">
        <f>+C55-D55</f>
        <v>88.5</v>
      </c>
      <c r="E56" s="78">
        <f>+D55-E55</f>
        <v>-41.300000000000068</v>
      </c>
      <c r="F56" s="77" t="str">
        <f t="shared" ca="1" si="0"/>
        <v>=+D55-E55</v>
      </c>
    </row>
    <row r="57" spans="1:6" ht="15" customHeight="1" x14ac:dyDescent="0.45">
      <c r="A57"/>
      <c r="B57"/>
    </row>
    <row r="58" spans="1:6" ht="15" customHeight="1" x14ac:dyDescent="0.45">
      <c r="A58"/>
      <c r="B58" s="16" t="s">
        <v>520</v>
      </c>
      <c r="C58" s="78">
        <f>60%*C33</f>
        <v>79.559999999999988</v>
      </c>
      <c r="D58" s="78">
        <f>60%*D33</f>
        <v>76.38</v>
      </c>
      <c r="E58" s="78">
        <f>60%*E33</f>
        <v>134.58000000000001</v>
      </c>
      <c r="F58" s="77" t="str">
        <f t="shared" ca="1" si="0"/>
        <v>=60%*E33</v>
      </c>
    </row>
    <row r="59" spans="1:6" ht="15" customHeight="1" x14ac:dyDescent="0.45">
      <c r="A59"/>
      <c r="B59" s="16" t="s">
        <v>185</v>
      </c>
      <c r="C59" s="78">
        <f>+C24+C58</f>
        <v>28.959999999999951</v>
      </c>
      <c r="D59" s="78">
        <f>+D24+D58</f>
        <v>60.780000000000015</v>
      </c>
      <c r="E59" s="78">
        <f>+E24+E58</f>
        <v>152.18000000000004</v>
      </c>
      <c r="F59" s="77" t="str">
        <f t="shared" ca="1" si="0"/>
        <v>=+E24+E58</v>
      </c>
    </row>
    <row r="60" spans="1:6" ht="15" customHeight="1" x14ac:dyDescent="0.45">
      <c r="A60"/>
      <c r="B60"/>
    </row>
    <row r="61" spans="1:6" ht="15" customHeight="1" x14ac:dyDescent="0.45">
      <c r="A61"/>
      <c r="B61" s="16" t="s">
        <v>174</v>
      </c>
    </row>
    <row r="62" spans="1:6" ht="15" customHeight="1" x14ac:dyDescent="0.45">
      <c r="A62"/>
      <c r="B62" s="16" t="s">
        <v>177</v>
      </c>
      <c r="C62" s="67">
        <v>22869</v>
      </c>
    </row>
    <row r="63" spans="1:6" ht="15" customHeight="1" x14ac:dyDescent="0.45">
      <c r="A63"/>
      <c r="B63" s="16" t="s">
        <v>176</v>
      </c>
      <c r="C63" s="67">
        <v>24579</v>
      </c>
    </row>
    <row r="64" spans="1:6" ht="15" customHeight="1" x14ac:dyDescent="0.45">
      <c r="A64"/>
      <c r="B64" s="16" t="s">
        <v>178</v>
      </c>
      <c r="C64">
        <f>+C63/E40</f>
        <v>23.724903474903474</v>
      </c>
      <c r="D64" t="s">
        <v>179</v>
      </c>
    </row>
    <row r="65" spans="1:8" ht="15" customHeight="1" x14ac:dyDescent="0.45">
      <c r="A65"/>
      <c r="B65" s="16" t="s">
        <v>180</v>
      </c>
      <c r="C65">
        <f>+C64*E21</f>
        <v>5475.7077220077217</v>
      </c>
      <c r="D65">
        <f>+C64*E59</f>
        <v>3610.4558108108117</v>
      </c>
      <c r="E65" t="str">
        <f ca="1">_xlfn.FORMULATEXT(D65)</f>
        <v>=+C64*E59</v>
      </c>
    </row>
    <row r="66" spans="1:8" ht="15" customHeight="1" x14ac:dyDescent="0.45">
      <c r="A66"/>
      <c r="B66" s="16" t="s">
        <v>175</v>
      </c>
      <c r="C66">
        <f>4505-3600</f>
        <v>905</v>
      </c>
      <c r="D66">
        <f>+C66</f>
        <v>905</v>
      </c>
      <c r="E66" t="str">
        <f t="shared" ref="E66:E69" ca="1" si="1">_xlfn.FORMULATEXT(D66)</f>
        <v>=+C66</v>
      </c>
    </row>
    <row r="67" spans="1:8" ht="15" customHeight="1" x14ac:dyDescent="0.45">
      <c r="A67"/>
      <c r="B67" s="16" t="s">
        <v>181</v>
      </c>
      <c r="C67">
        <f>+C65-C66</f>
        <v>4570.7077220077217</v>
      </c>
      <c r="D67">
        <f>+D65-D66</f>
        <v>2705.4558108108117</v>
      </c>
      <c r="E67" t="str">
        <f t="shared" ca="1" si="1"/>
        <v>=+D65-D66</v>
      </c>
    </row>
    <row r="68" spans="1:8" ht="15" customHeight="1" x14ac:dyDescent="0.45">
      <c r="A68"/>
      <c r="B68" s="16" t="s">
        <v>182</v>
      </c>
      <c r="C68" s="67">
        <v>228</v>
      </c>
      <c r="D68" s="67">
        <v>228</v>
      </c>
    </row>
    <row r="69" spans="1:8" ht="15" customHeight="1" x14ac:dyDescent="0.45">
      <c r="A69"/>
      <c r="B69" s="16" t="s">
        <v>183</v>
      </c>
      <c r="C69">
        <f>+C67/C68</f>
        <v>20.046963693016323</v>
      </c>
      <c r="D69">
        <f>+D67/D68</f>
        <v>11.866034257942157</v>
      </c>
      <c r="E69" t="str">
        <f t="shared" ca="1" si="1"/>
        <v>=+D67/D68</v>
      </c>
    </row>
    <row r="70" spans="1:8" ht="15" customHeight="1" x14ac:dyDescent="0.45">
      <c r="A70"/>
      <c r="B70"/>
    </row>
    <row r="71" spans="1:8" ht="15" customHeight="1" x14ac:dyDescent="0.45">
      <c r="A71"/>
      <c r="B71"/>
    </row>
    <row r="72" spans="1:8" ht="15" customHeight="1" x14ac:dyDescent="0.45">
      <c r="A72"/>
      <c r="B72"/>
    </row>
    <row r="73" spans="1:8" ht="15" customHeight="1" x14ac:dyDescent="0.45">
      <c r="A73"/>
      <c r="B73"/>
      <c r="H73" t="s">
        <v>927</v>
      </c>
    </row>
    <row r="74" spans="1:8" ht="15" customHeight="1" x14ac:dyDescent="0.45">
      <c r="A74"/>
      <c r="B74"/>
      <c r="H74" t="s">
        <v>926</v>
      </c>
    </row>
    <row r="75" spans="1:8" ht="15" customHeight="1" x14ac:dyDescent="0.45">
      <c r="A75"/>
      <c r="B75"/>
    </row>
    <row r="76" spans="1:8" ht="15" customHeight="1" x14ac:dyDescent="0.45">
      <c r="A76"/>
      <c r="B76"/>
    </row>
    <row r="77" spans="1:8" ht="15" customHeight="1" x14ac:dyDescent="0.45">
      <c r="A77"/>
      <c r="B77"/>
    </row>
    <row r="78" spans="1:8" ht="15" customHeight="1" x14ac:dyDescent="0.45">
      <c r="A78"/>
      <c r="B78"/>
    </row>
    <row r="79" spans="1:8" ht="15" customHeight="1" x14ac:dyDescent="0.45">
      <c r="A79"/>
      <c r="B79"/>
    </row>
    <row r="80" spans="1:8" ht="15" customHeight="1" x14ac:dyDescent="0.45">
      <c r="A80"/>
      <c r="B80"/>
    </row>
    <row r="81" spans="1:2" ht="15" customHeight="1" x14ac:dyDescent="0.45">
      <c r="A81"/>
      <c r="B81"/>
    </row>
    <row r="82" spans="1:2" ht="15" customHeight="1" x14ac:dyDescent="0.45">
      <c r="A82"/>
      <c r="B82"/>
    </row>
    <row r="83" spans="1:2" ht="15" customHeight="1" x14ac:dyDescent="0.45">
      <c r="A83"/>
      <c r="B83"/>
    </row>
    <row r="84" spans="1:2" ht="15" customHeight="1" x14ac:dyDescent="0.45">
      <c r="A84"/>
      <c r="B84"/>
    </row>
    <row r="85" spans="1:2" ht="15" customHeight="1" x14ac:dyDescent="0.45">
      <c r="A85"/>
      <c r="B85"/>
    </row>
    <row r="86" spans="1:2" ht="15" customHeight="1" x14ac:dyDescent="0.45">
      <c r="A86" s="15" t="s">
        <v>116</v>
      </c>
      <c r="B86"/>
    </row>
  </sheetData>
  <mergeCells count="1">
    <mergeCell ref="C36:E36"/>
  </mergeCells>
  <printOptions headings="1" gridLines="1"/>
  <pageMargins left="0.70866141732283472" right="0.70866141732283472" top="0.74803149606299213" bottom="0.74803149606299213" header="0.31496062992125984" footer="0.31496062992125984"/>
  <pageSetup paperSize="9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4A5F0-175D-4901-9126-01140BF85C3B}">
  <sheetPr>
    <pageSetUpPr fitToPage="1"/>
  </sheetPr>
  <dimension ref="A1:N142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1.6640625" style="16" customWidth="1"/>
    <col min="3" max="5" width="11" customWidth="1"/>
    <col min="6" max="7" width="9.33203125" customWidth="1"/>
  </cols>
  <sheetData>
    <row r="1" spans="1:14" s="88" customFormat="1" ht="45" customHeight="1" x14ac:dyDescent="0.85">
      <c r="A1" s="5" t="str">
        <f>Welcome!A2</f>
        <v>Forensic Accounting</v>
      </c>
      <c r="B1" s="87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90" customFormat="1" ht="30" customHeight="1" x14ac:dyDescent="0.65">
      <c r="A2" s="14" t="s">
        <v>496</v>
      </c>
      <c r="B2" s="89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/>
      <c r="B3"/>
    </row>
    <row r="4" spans="1:14" ht="15" customHeight="1" x14ac:dyDescent="0.45">
      <c r="A4" s="15" t="s">
        <v>66</v>
      </c>
      <c r="B4"/>
    </row>
    <row r="5" spans="1:14" ht="15" customHeight="1" x14ac:dyDescent="0.45">
      <c r="A5"/>
      <c r="B5" s="16" t="s">
        <v>616</v>
      </c>
    </row>
    <row r="6" spans="1:14" ht="15" customHeight="1" x14ac:dyDescent="0.45">
      <c r="A6"/>
      <c r="B6" s="16" t="s">
        <v>497</v>
      </c>
    </row>
    <row r="7" spans="1:14" ht="15" customHeight="1" x14ac:dyDescent="0.45">
      <c r="A7"/>
      <c r="B7"/>
    </row>
    <row r="8" spans="1:14" ht="15" customHeight="1" x14ac:dyDescent="0.45">
      <c r="A8"/>
      <c r="B8"/>
    </row>
    <row r="9" spans="1:14" ht="15" customHeight="1" x14ac:dyDescent="0.45">
      <c r="A9"/>
      <c r="B9"/>
    </row>
    <row r="10" spans="1:14" ht="15" customHeight="1" x14ac:dyDescent="0.45">
      <c r="A10"/>
      <c r="B10"/>
    </row>
    <row r="11" spans="1:14" ht="15" customHeight="1" x14ac:dyDescent="0.45">
      <c r="A11"/>
      <c r="B11"/>
    </row>
    <row r="12" spans="1:14" ht="15" customHeight="1" x14ac:dyDescent="0.45">
      <c r="A12"/>
      <c r="B12"/>
    </row>
    <row r="13" spans="1:14" ht="15" customHeight="1" x14ac:dyDescent="0.45">
      <c r="A13"/>
      <c r="B13"/>
    </row>
    <row r="14" spans="1:14" ht="15" customHeight="1" x14ac:dyDescent="0.45">
      <c r="A14"/>
      <c r="B14"/>
    </row>
    <row r="15" spans="1:14" ht="15" customHeight="1" x14ac:dyDescent="0.45">
      <c r="A15"/>
      <c r="B15"/>
    </row>
    <row r="16" spans="1:14" ht="15" customHeight="1" x14ac:dyDescent="0.45">
      <c r="A16"/>
      <c r="B16"/>
    </row>
    <row r="17" spans="1:2" ht="15" customHeight="1" x14ac:dyDescent="0.45">
      <c r="A17"/>
      <c r="B17"/>
    </row>
    <row r="18" spans="1:2" ht="15" customHeight="1" x14ac:dyDescent="0.45">
      <c r="A18"/>
      <c r="B18"/>
    </row>
    <row r="19" spans="1:2" ht="15" customHeight="1" x14ac:dyDescent="0.45">
      <c r="A19"/>
      <c r="B19"/>
    </row>
    <row r="20" spans="1:2" ht="15" customHeight="1" x14ac:dyDescent="0.45">
      <c r="A20"/>
      <c r="B20"/>
    </row>
    <row r="21" spans="1:2" ht="15" customHeight="1" x14ac:dyDescent="0.45">
      <c r="A21"/>
      <c r="B21"/>
    </row>
    <row r="22" spans="1:2" ht="15" customHeight="1" x14ac:dyDescent="0.45">
      <c r="A22"/>
      <c r="B22"/>
    </row>
    <row r="23" spans="1:2" ht="15" customHeight="1" x14ac:dyDescent="0.45">
      <c r="A23"/>
      <c r="B23"/>
    </row>
    <row r="24" spans="1:2" ht="15" customHeight="1" x14ac:dyDescent="0.45">
      <c r="A24"/>
      <c r="B24"/>
    </row>
    <row r="25" spans="1:2" ht="15" customHeight="1" x14ac:dyDescent="0.45">
      <c r="A25"/>
      <c r="B25"/>
    </row>
    <row r="26" spans="1:2" ht="15" customHeight="1" x14ac:dyDescent="0.45">
      <c r="A26"/>
      <c r="B26"/>
    </row>
    <row r="27" spans="1:2" ht="15" customHeight="1" x14ac:dyDescent="0.45">
      <c r="A27"/>
      <c r="B27"/>
    </row>
    <row r="28" spans="1:2" ht="15" customHeight="1" x14ac:dyDescent="0.45">
      <c r="A28"/>
      <c r="B28"/>
    </row>
    <row r="29" spans="1:2" ht="15" customHeight="1" x14ac:dyDescent="0.45">
      <c r="A29"/>
      <c r="B29"/>
    </row>
    <row r="30" spans="1:2" ht="15" customHeight="1" x14ac:dyDescent="0.45">
      <c r="A30"/>
      <c r="B30"/>
    </row>
    <row r="31" spans="1:2" ht="15" customHeight="1" x14ac:dyDescent="0.45">
      <c r="A31"/>
      <c r="B31"/>
    </row>
    <row r="32" spans="1:2" ht="15" customHeight="1" x14ac:dyDescent="0.45">
      <c r="A32"/>
      <c r="B32"/>
    </row>
    <row r="33" spans="1:2" ht="15" customHeight="1" x14ac:dyDescent="0.45">
      <c r="A33"/>
      <c r="B33"/>
    </row>
    <row r="34" spans="1:2" ht="15" customHeight="1" x14ac:dyDescent="0.45">
      <c r="A34"/>
      <c r="B34"/>
    </row>
    <row r="35" spans="1:2" ht="15" customHeight="1" x14ac:dyDescent="0.45">
      <c r="A35"/>
      <c r="B35"/>
    </row>
    <row r="36" spans="1:2" ht="15" customHeight="1" x14ac:dyDescent="0.45">
      <c r="A36"/>
      <c r="B36"/>
    </row>
    <row r="37" spans="1:2" ht="15" customHeight="1" x14ac:dyDescent="0.45">
      <c r="A37"/>
      <c r="B37"/>
    </row>
    <row r="38" spans="1:2" ht="15" customHeight="1" x14ac:dyDescent="0.45">
      <c r="A38"/>
      <c r="B38"/>
    </row>
    <row r="39" spans="1:2" ht="15" customHeight="1" x14ac:dyDescent="0.45">
      <c r="A39"/>
      <c r="B39"/>
    </row>
    <row r="40" spans="1:2" ht="15" customHeight="1" x14ac:dyDescent="0.45">
      <c r="A40"/>
      <c r="B40"/>
    </row>
    <row r="41" spans="1:2" ht="15" customHeight="1" x14ac:dyDescent="0.45">
      <c r="A41"/>
      <c r="B41"/>
    </row>
    <row r="42" spans="1:2" ht="15" customHeight="1" x14ac:dyDescent="0.45">
      <c r="A42"/>
      <c r="B42"/>
    </row>
    <row r="43" spans="1:2" ht="15" customHeight="1" x14ac:dyDescent="0.45">
      <c r="A43"/>
      <c r="B43"/>
    </row>
    <row r="44" spans="1:2" ht="15" customHeight="1" x14ac:dyDescent="0.45">
      <c r="A44"/>
      <c r="B44"/>
    </row>
    <row r="45" spans="1:2" ht="15" customHeight="1" x14ac:dyDescent="0.45">
      <c r="A45"/>
      <c r="B45"/>
    </row>
    <row r="46" spans="1:2" ht="15" customHeight="1" x14ac:dyDescent="0.45">
      <c r="A46"/>
      <c r="B46"/>
    </row>
    <row r="47" spans="1:2" ht="15" customHeight="1" x14ac:dyDescent="0.45">
      <c r="A47"/>
      <c r="B47"/>
    </row>
    <row r="48" spans="1:2" ht="15" customHeight="1" x14ac:dyDescent="0.45">
      <c r="A48"/>
      <c r="B48"/>
    </row>
    <row r="49" spans="1:7" ht="15" customHeight="1" x14ac:dyDescent="0.45">
      <c r="A49"/>
      <c r="B49"/>
    </row>
    <row r="50" spans="1:7" ht="15" customHeight="1" x14ac:dyDescent="0.45">
      <c r="A50"/>
      <c r="B50"/>
      <c r="E50" s="70">
        <v>42643</v>
      </c>
      <c r="F50" s="70">
        <v>42185</v>
      </c>
      <c r="G50" t="s">
        <v>108</v>
      </c>
    </row>
    <row r="51" spans="1:7" ht="15" customHeight="1" x14ac:dyDescent="0.45">
      <c r="A51"/>
      <c r="B51" s="16" t="s">
        <v>620</v>
      </c>
      <c r="E51" s="67">
        <v>1442</v>
      </c>
      <c r="F51" s="67">
        <v>959</v>
      </c>
      <c r="G51" s="80">
        <f>E51/F51-1</f>
        <v>0.50364963503649629</v>
      </c>
    </row>
    <row r="52" spans="1:7" ht="15" customHeight="1" x14ac:dyDescent="0.45">
      <c r="A52"/>
      <c r="B52" s="16" t="s">
        <v>619</v>
      </c>
      <c r="E52" s="98">
        <f>238/1685</f>
        <v>0.14124629080118695</v>
      </c>
      <c r="F52" s="98">
        <f>96/1210</f>
        <v>7.9338842975206617E-2</v>
      </c>
    </row>
    <row r="53" spans="1:7" ht="15" customHeight="1" x14ac:dyDescent="0.45">
      <c r="A53"/>
      <c r="B53" s="16" t="s">
        <v>187</v>
      </c>
      <c r="E53">
        <f>E51*(1-E52)</f>
        <v>1238.3228486646885</v>
      </c>
      <c r="F53">
        <f>F51*(1-F52)</f>
        <v>882.91404958677685</v>
      </c>
    </row>
    <row r="54" spans="1:7" ht="15" customHeight="1" x14ac:dyDescent="0.45">
      <c r="A54"/>
      <c r="B54"/>
    </row>
    <row r="55" spans="1:7" ht="15" customHeight="1" x14ac:dyDescent="0.45">
      <c r="A55"/>
      <c r="B55" s="16" t="s">
        <v>498</v>
      </c>
      <c r="E55" s="67">
        <v>1475</v>
      </c>
      <c r="F55" s="67">
        <v>1475</v>
      </c>
    </row>
    <row r="56" spans="1:7" ht="15" customHeight="1" x14ac:dyDescent="0.45">
      <c r="A56"/>
      <c r="B56" s="16" t="s">
        <v>622</v>
      </c>
      <c r="E56" s="67">
        <v>186</v>
      </c>
      <c r="F56" s="67">
        <v>90</v>
      </c>
    </row>
    <row r="57" spans="1:7" ht="15" customHeight="1" x14ac:dyDescent="0.45">
      <c r="A57"/>
      <c r="B57" s="16" t="s">
        <v>617</v>
      </c>
      <c r="E57" s="67">
        <v>-520</v>
      </c>
      <c r="F57" s="67">
        <v>-341</v>
      </c>
    </row>
    <row r="58" spans="1:7" ht="15" customHeight="1" x14ac:dyDescent="0.45">
      <c r="A58"/>
      <c r="B58" s="16" t="s">
        <v>618</v>
      </c>
      <c r="E58" s="67">
        <v>-167</v>
      </c>
      <c r="F58" s="67">
        <v>-19</v>
      </c>
    </row>
    <row r="59" spans="1:7" ht="15" customHeight="1" x14ac:dyDescent="0.45">
      <c r="A59"/>
      <c r="B59" s="16" t="s">
        <v>621</v>
      </c>
      <c r="E59">
        <f>SUM(E55:E58)</f>
        <v>974</v>
      </c>
      <c r="F59">
        <f>SUM(F55:F58)</f>
        <v>1205</v>
      </c>
      <c r="G59" s="80">
        <f>E59/F59-1</f>
        <v>-0.19170124481327799</v>
      </c>
    </row>
    <row r="60" spans="1:7" ht="15" customHeight="1" x14ac:dyDescent="0.45">
      <c r="A60"/>
      <c r="B60"/>
    </row>
    <row r="61" spans="1:7" ht="15" customHeight="1" x14ac:dyDescent="0.45">
      <c r="A61"/>
      <c r="B61" s="16" t="s">
        <v>624</v>
      </c>
      <c r="E61" s="80">
        <f>E59/E53</f>
        <v>0.7865477093072184</v>
      </c>
      <c r="F61" s="80">
        <f>F59/F53</f>
        <v>1.3647987599290854</v>
      </c>
    </row>
    <row r="62" spans="1:7" ht="15" customHeight="1" x14ac:dyDescent="0.45">
      <c r="A62"/>
      <c r="B62"/>
    </row>
    <row r="63" spans="1:7" ht="15" customHeight="1" x14ac:dyDescent="0.45">
      <c r="A63"/>
      <c r="B63" t="s">
        <v>499</v>
      </c>
    </row>
    <row r="64" spans="1:7" ht="15" customHeight="1" x14ac:dyDescent="0.45">
      <c r="A64"/>
      <c r="B64"/>
    </row>
    <row r="65" spans="1:2" ht="15" customHeight="1" x14ac:dyDescent="0.45">
      <c r="A65"/>
      <c r="B65"/>
    </row>
    <row r="66" spans="1:2" ht="15" customHeight="1" x14ac:dyDescent="0.45">
      <c r="A66" s="15" t="s">
        <v>72</v>
      </c>
      <c r="B66"/>
    </row>
    <row r="67" spans="1:2" ht="15" customHeight="1" x14ac:dyDescent="0.45">
      <c r="A67"/>
      <c r="B67" s="16" t="s">
        <v>500</v>
      </c>
    </row>
    <row r="68" spans="1:2" ht="15" customHeight="1" x14ac:dyDescent="0.45">
      <c r="A68"/>
      <c r="B68" s="16" t="s">
        <v>501</v>
      </c>
    </row>
    <row r="69" spans="1:2" ht="15" customHeight="1" x14ac:dyDescent="0.45">
      <c r="A69"/>
      <c r="B69"/>
    </row>
    <row r="70" spans="1:2" ht="15" customHeight="1" x14ac:dyDescent="0.45">
      <c r="A70"/>
      <c r="B70"/>
    </row>
    <row r="71" spans="1:2" ht="15" customHeight="1" x14ac:dyDescent="0.45">
      <c r="A71"/>
      <c r="B71"/>
    </row>
    <row r="72" spans="1:2" ht="15" customHeight="1" x14ac:dyDescent="0.45">
      <c r="A72"/>
      <c r="B72"/>
    </row>
    <row r="73" spans="1:2" ht="15" customHeight="1" x14ac:dyDescent="0.45">
      <c r="A73"/>
      <c r="B73"/>
    </row>
    <row r="74" spans="1:2" ht="15" customHeight="1" x14ac:dyDescent="0.45">
      <c r="A74"/>
      <c r="B74"/>
    </row>
    <row r="75" spans="1:2" ht="15" customHeight="1" x14ac:dyDescent="0.45">
      <c r="A75"/>
      <c r="B75"/>
    </row>
    <row r="76" spans="1:2" ht="15" customHeight="1" x14ac:dyDescent="0.45">
      <c r="A76"/>
      <c r="B76"/>
    </row>
    <row r="77" spans="1:2" ht="15" customHeight="1" x14ac:dyDescent="0.45">
      <c r="A77"/>
      <c r="B77"/>
    </row>
    <row r="78" spans="1:2" ht="15" customHeight="1" x14ac:dyDescent="0.45">
      <c r="A78"/>
      <c r="B78"/>
    </row>
    <row r="79" spans="1:2" ht="15" customHeight="1" x14ac:dyDescent="0.45">
      <c r="A79"/>
      <c r="B79"/>
    </row>
    <row r="80" spans="1:2" ht="15" customHeight="1" x14ac:dyDescent="0.45">
      <c r="A80"/>
      <c r="B80"/>
    </row>
    <row r="81" spans="1:2" ht="15" customHeight="1" x14ac:dyDescent="0.45">
      <c r="A81"/>
      <c r="B81"/>
    </row>
    <row r="82" spans="1:2" ht="15" customHeight="1" x14ac:dyDescent="0.45">
      <c r="A82"/>
      <c r="B82"/>
    </row>
    <row r="83" spans="1:2" ht="15" customHeight="1" x14ac:dyDescent="0.45">
      <c r="A83"/>
      <c r="B83"/>
    </row>
    <row r="84" spans="1:2" ht="15" customHeight="1" x14ac:dyDescent="0.45">
      <c r="A84"/>
      <c r="B84"/>
    </row>
    <row r="85" spans="1:2" ht="15" customHeight="1" x14ac:dyDescent="0.45">
      <c r="A85"/>
      <c r="B85"/>
    </row>
    <row r="86" spans="1:2" ht="15" customHeight="1" x14ac:dyDescent="0.45">
      <c r="A86"/>
      <c r="B86"/>
    </row>
    <row r="87" spans="1:2" ht="15" customHeight="1" x14ac:dyDescent="0.45">
      <c r="A87"/>
      <c r="B87"/>
    </row>
    <row r="88" spans="1:2" ht="15" customHeight="1" x14ac:dyDescent="0.45">
      <c r="A88"/>
      <c r="B88"/>
    </row>
    <row r="89" spans="1:2" ht="15" customHeight="1" x14ac:dyDescent="0.45">
      <c r="A89"/>
      <c r="B89"/>
    </row>
    <row r="90" spans="1:2" ht="15" customHeight="1" x14ac:dyDescent="0.45">
      <c r="A90"/>
      <c r="B90"/>
    </row>
    <row r="91" spans="1:2" ht="15" customHeight="1" x14ac:dyDescent="0.45">
      <c r="A91"/>
      <c r="B91"/>
    </row>
    <row r="92" spans="1:2" ht="15" customHeight="1" x14ac:dyDescent="0.45">
      <c r="A92"/>
      <c r="B92"/>
    </row>
    <row r="93" spans="1:2" ht="15" customHeight="1" x14ac:dyDescent="0.45">
      <c r="A93"/>
      <c r="B93"/>
    </row>
    <row r="94" spans="1:2" ht="15" customHeight="1" x14ac:dyDescent="0.45">
      <c r="A94"/>
      <c r="B94"/>
    </row>
    <row r="95" spans="1:2" ht="15" customHeight="1" x14ac:dyDescent="0.45">
      <c r="A95"/>
      <c r="B95"/>
    </row>
    <row r="96" spans="1:2" ht="15" customHeight="1" x14ac:dyDescent="0.45">
      <c r="A96"/>
      <c r="B96"/>
    </row>
    <row r="97" spans="1:7" ht="15" customHeight="1" x14ac:dyDescent="0.45">
      <c r="A97"/>
      <c r="B97"/>
    </row>
    <row r="98" spans="1:7" ht="15" customHeight="1" x14ac:dyDescent="0.45">
      <c r="A98"/>
      <c r="B98"/>
    </row>
    <row r="99" spans="1:7" ht="15" customHeight="1" x14ac:dyDescent="0.45">
      <c r="A99"/>
      <c r="B99"/>
      <c r="E99" s="70">
        <v>42643</v>
      </c>
      <c r="F99" s="70">
        <v>42185</v>
      </c>
      <c r="G99" t="s">
        <v>108</v>
      </c>
    </row>
    <row r="100" spans="1:7" ht="15" customHeight="1" x14ac:dyDescent="0.45">
      <c r="A100"/>
      <c r="B100" s="16" t="s">
        <v>502</v>
      </c>
      <c r="E100">
        <v>228</v>
      </c>
      <c r="F100">
        <v>456</v>
      </c>
      <c r="G100" s="80">
        <f>E100/F100-1</f>
        <v>-0.5</v>
      </c>
    </row>
    <row r="101" spans="1:7" ht="15" customHeight="1" x14ac:dyDescent="0.45">
      <c r="A101"/>
      <c r="B101" s="16" t="s">
        <v>503</v>
      </c>
      <c r="E101">
        <v>989</v>
      </c>
      <c r="F101">
        <v>538</v>
      </c>
      <c r="G101" s="80">
        <f>E101/F101-1</f>
        <v>0.8382899628252789</v>
      </c>
    </row>
    <row r="102" spans="1:7" ht="15" customHeight="1" x14ac:dyDescent="0.45">
      <c r="A102"/>
      <c r="B102" s="16" t="s">
        <v>504</v>
      </c>
      <c r="E102">
        <f>SUM(E100:E101)</f>
        <v>1217</v>
      </c>
      <c r="F102">
        <f>SUM(F100:F101)</f>
        <v>994</v>
      </c>
      <c r="G102" s="80">
        <f>E102/F102-1</f>
        <v>0.2243460764587526</v>
      </c>
    </row>
    <row r="103" spans="1:7" ht="15" customHeight="1" x14ac:dyDescent="0.45">
      <c r="A103"/>
      <c r="B103"/>
    </row>
    <row r="104" spans="1:7" ht="15" customHeight="1" x14ac:dyDescent="0.45">
      <c r="A104"/>
      <c r="B104" s="16" t="s">
        <v>505</v>
      </c>
    </row>
    <row r="105" spans="1:7" ht="15" customHeight="1" x14ac:dyDescent="0.45">
      <c r="A105"/>
      <c r="B105"/>
    </row>
    <row r="106" spans="1:7" ht="15" customHeight="1" x14ac:dyDescent="0.45">
      <c r="A106" s="15" t="s">
        <v>76</v>
      </c>
      <c r="B106"/>
    </row>
    <row r="107" spans="1:7" ht="15" customHeight="1" x14ac:dyDescent="0.45">
      <c r="A107"/>
      <c r="B107" s="16" t="s">
        <v>506</v>
      </c>
    </row>
    <row r="108" spans="1:7" ht="15" customHeight="1" x14ac:dyDescent="0.45">
      <c r="A108"/>
      <c r="B108"/>
    </row>
    <row r="109" spans="1:7" ht="15" customHeight="1" x14ac:dyDescent="0.45">
      <c r="A109"/>
      <c r="B109" s="16" t="s">
        <v>507</v>
      </c>
    </row>
    <row r="110" spans="1:7" ht="15" customHeight="1" x14ac:dyDescent="0.45">
      <c r="A110"/>
      <c r="B110" s="16" t="s">
        <v>508</v>
      </c>
    </row>
    <row r="111" spans="1:7" ht="15" customHeight="1" x14ac:dyDescent="0.45">
      <c r="A111"/>
      <c r="B111" s="16" t="s">
        <v>509</v>
      </c>
    </row>
    <row r="112" spans="1:7" ht="15" customHeight="1" x14ac:dyDescent="0.45">
      <c r="A112"/>
      <c r="B112" s="16" t="s">
        <v>510</v>
      </c>
    </row>
    <row r="113" spans="1:2" ht="15" customHeight="1" x14ac:dyDescent="0.45">
      <c r="A113"/>
      <c r="B113" s="16" t="s">
        <v>511</v>
      </c>
    </row>
    <row r="114" spans="1:2" ht="15" customHeight="1" x14ac:dyDescent="0.45">
      <c r="A114"/>
      <c r="B114" s="16" t="s">
        <v>512</v>
      </c>
    </row>
    <row r="115" spans="1:2" ht="15" customHeight="1" x14ac:dyDescent="0.45">
      <c r="A115"/>
      <c r="B115"/>
    </row>
    <row r="116" spans="1:2" ht="15" customHeight="1" x14ac:dyDescent="0.45">
      <c r="A116"/>
      <c r="B116"/>
    </row>
    <row r="117" spans="1:2" ht="15" customHeight="1" x14ac:dyDescent="0.45">
      <c r="A117"/>
      <c r="B117"/>
    </row>
    <row r="118" spans="1:2" ht="15" customHeight="1" x14ac:dyDescent="0.45">
      <c r="A118"/>
      <c r="B118"/>
    </row>
    <row r="119" spans="1:2" ht="15" customHeight="1" x14ac:dyDescent="0.45">
      <c r="A119"/>
      <c r="B119"/>
    </row>
    <row r="120" spans="1:2" ht="15" customHeight="1" x14ac:dyDescent="0.45">
      <c r="A120"/>
      <c r="B120"/>
    </row>
    <row r="121" spans="1:2" ht="15" customHeight="1" x14ac:dyDescent="0.45">
      <c r="A121"/>
      <c r="B121"/>
    </row>
    <row r="122" spans="1:2" ht="15" customHeight="1" x14ac:dyDescent="0.45">
      <c r="A122"/>
      <c r="B122"/>
    </row>
    <row r="123" spans="1:2" ht="15" customHeight="1" x14ac:dyDescent="0.45">
      <c r="A123"/>
      <c r="B123"/>
    </row>
    <row r="124" spans="1:2" ht="15" customHeight="1" x14ac:dyDescent="0.45">
      <c r="A124"/>
      <c r="B124"/>
    </row>
    <row r="125" spans="1:2" ht="15" customHeight="1" x14ac:dyDescent="0.45">
      <c r="A125"/>
      <c r="B125"/>
    </row>
    <row r="126" spans="1:2" ht="15" customHeight="1" x14ac:dyDescent="0.45">
      <c r="A126"/>
      <c r="B126"/>
    </row>
    <row r="127" spans="1:2" ht="15" customHeight="1" x14ac:dyDescent="0.45">
      <c r="A127"/>
      <c r="B127"/>
    </row>
    <row r="128" spans="1:2" ht="15" customHeight="1" x14ac:dyDescent="0.45">
      <c r="A128"/>
      <c r="B128"/>
    </row>
    <row r="129" spans="1:2" ht="15" customHeight="1" x14ac:dyDescent="0.45">
      <c r="A129"/>
      <c r="B129"/>
    </row>
    <row r="130" spans="1:2" ht="15" customHeight="1" x14ac:dyDescent="0.45">
      <c r="A130"/>
      <c r="B130"/>
    </row>
    <row r="131" spans="1:2" ht="15" customHeight="1" x14ac:dyDescent="0.45">
      <c r="A131"/>
      <c r="B131"/>
    </row>
    <row r="132" spans="1:2" ht="15" customHeight="1" x14ac:dyDescent="0.45">
      <c r="A132"/>
      <c r="B132"/>
    </row>
    <row r="133" spans="1:2" ht="15" customHeight="1" x14ac:dyDescent="0.45">
      <c r="A133"/>
      <c r="B133"/>
    </row>
    <row r="134" spans="1:2" ht="15" customHeight="1" x14ac:dyDescent="0.45">
      <c r="A134"/>
      <c r="B134"/>
    </row>
    <row r="135" spans="1:2" ht="15" customHeight="1" x14ac:dyDescent="0.45">
      <c r="A135"/>
      <c r="B135"/>
    </row>
    <row r="136" spans="1:2" ht="15" customHeight="1" x14ac:dyDescent="0.45">
      <c r="A136"/>
      <c r="B136"/>
    </row>
    <row r="137" spans="1:2" ht="15" customHeight="1" x14ac:dyDescent="0.45">
      <c r="A137"/>
      <c r="B137" s="16" t="s">
        <v>513</v>
      </c>
    </row>
    <row r="138" spans="1:2" ht="15" customHeight="1" x14ac:dyDescent="0.45">
      <c r="A138"/>
      <c r="B138" s="16" t="s">
        <v>514</v>
      </c>
    </row>
    <row r="139" spans="1:2" ht="15" customHeight="1" x14ac:dyDescent="0.45">
      <c r="A139"/>
      <c r="B139" s="16" t="s">
        <v>515</v>
      </c>
    </row>
    <row r="140" spans="1:2" ht="15" customHeight="1" x14ac:dyDescent="0.45">
      <c r="A140"/>
      <c r="B140" s="16" t="s">
        <v>516</v>
      </c>
    </row>
    <row r="141" spans="1:2" ht="15" customHeight="1" x14ac:dyDescent="0.45">
      <c r="A141"/>
      <c r="B141"/>
    </row>
    <row r="142" spans="1:2" ht="15" customHeight="1" x14ac:dyDescent="0.45">
      <c r="A142" s="15" t="s">
        <v>116</v>
      </c>
      <c r="B142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85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F5B68-87C2-4D44-B94C-107CD94E364A}">
  <sheetPr>
    <pageSetUpPr fitToPage="1"/>
  </sheetPr>
  <dimension ref="A1:N143"/>
  <sheetViews>
    <sheetView workbookViewId="0"/>
  </sheetViews>
  <sheetFormatPr defaultRowHeight="14.25" outlineLevelRow="1" x14ac:dyDescent="0.45"/>
  <cols>
    <col min="1" max="1" width="1.46484375" customWidth="1"/>
    <col min="2" max="2" width="41.6640625" customWidth="1"/>
    <col min="3" max="7" width="9.06640625" customWidth="1"/>
  </cols>
  <sheetData>
    <row r="1" spans="1:14" s="88" customFormat="1" ht="45" customHeight="1" x14ac:dyDescent="0.85">
      <c r="A1" s="5" t="str">
        <f>Welcome!A2</f>
        <v>Forensic Accounting</v>
      </c>
      <c r="B1" s="87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90" customFormat="1" ht="30" customHeight="1" x14ac:dyDescent="0.65">
      <c r="A2" s="14" t="s">
        <v>623</v>
      </c>
      <c r="B2" s="89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/>
    <row r="4" spans="1:14" ht="15" customHeight="1" x14ac:dyDescent="0.45">
      <c r="A4" s="15" t="s">
        <v>66</v>
      </c>
    </row>
    <row r="5" spans="1:14" ht="15" customHeight="1" x14ac:dyDescent="0.45">
      <c r="B5" s="16" t="s">
        <v>675</v>
      </c>
    </row>
    <row r="6" spans="1:14" ht="15" customHeight="1" x14ac:dyDescent="0.45">
      <c r="B6" s="16" t="s">
        <v>740</v>
      </c>
    </row>
    <row r="7" spans="1:14" ht="15" customHeight="1" x14ac:dyDescent="0.45"/>
    <row r="8" spans="1:14" ht="15" customHeight="1" x14ac:dyDescent="0.45">
      <c r="B8" s="113" t="s">
        <v>715</v>
      </c>
      <c r="C8" s="103">
        <v>42369</v>
      </c>
      <c r="D8" s="103">
        <v>42735</v>
      </c>
      <c r="E8" s="103">
        <v>43100</v>
      </c>
    </row>
    <row r="9" spans="1:14" ht="15" customHeight="1" x14ac:dyDescent="0.45">
      <c r="B9" s="16" t="s">
        <v>211</v>
      </c>
      <c r="C9" s="100">
        <v>3351.2</v>
      </c>
      <c r="D9" s="100">
        <v>4082.3</v>
      </c>
      <c r="E9" s="100">
        <v>4282.3</v>
      </c>
    </row>
    <row r="10" spans="1:14" ht="15" customHeight="1" x14ac:dyDescent="0.45">
      <c r="B10" s="16" t="s">
        <v>696</v>
      </c>
      <c r="C10" s="100">
        <v>-75.3</v>
      </c>
      <c r="D10" s="100">
        <v>-90.9</v>
      </c>
      <c r="E10" s="100">
        <v>-153.5</v>
      </c>
    </row>
    <row r="11" spans="1:14" ht="15" customHeight="1" x14ac:dyDescent="0.45">
      <c r="B11" s="16" t="s">
        <v>697</v>
      </c>
      <c r="C11">
        <f>SUM(C9:C10)</f>
        <v>3275.8999999999996</v>
      </c>
      <c r="D11">
        <f>SUM(D9:D10)</f>
        <v>3991.4</v>
      </c>
      <c r="E11">
        <f>SUM(E9:E10)</f>
        <v>4128.8</v>
      </c>
    </row>
    <row r="12" spans="1:14" ht="15" customHeight="1" x14ac:dyDescent="0.45"/>
    <row r="13" spans="1:14" ht="15" customHeight="1" x14ac:dyDescent="0.45">
      <c r="B13" s="16" t="s">
        <v>726</v>
      </c>
      <c r="C13" s="100">
        <v>282.89999999999998</v>
      </c>
      <c r="D13" s="100">
        <v>382.1</v>
      </c>
      <c r="E13" s="100">
        <v>383.4</v>
      </c>
    </row>
    <row r="14" spans="1:14" ht="15" customHeight="1" x14ac:dyDescent="0.45">
      <c r="B14" s="16" t="s">
        <v>728</v>
      </c>
      <c r="C14" s="100">
        <v>0</v>
      </c>
      <c r="D14" s="100">
        <v>-25.8</v>
      </c>
      <c r="E14" s="100">
        <v>-94.7</v>
      </c>
      <c r="F14" s="16" t="s">
        <v>727</v>
      </c>
    </row>
    <row r="15" spans="1:14" ht="15" customHeight="1" x14ac:dyDescent="0.45">
      <c r="B15" s="16" t="s">
        <v>122</v>
      </c>
      <c r="C15">
        <f>SUM(C13:C14)</f>
        <v>282.89999999999998</v>
      </c>
      <c r="D15">
        <f>SUM(D13:D14)</f>
        <v>356.3</v>
      </c>
      <c r="E15">
        <f>SUM(E13:E14)</f>
        <v>288.7</v>
      </c>
    </row>
    <row r="16" spans="1:14" ht="15" customHeight="1" x14ac:dyDescent="0.45"/>
    <row r="17" spans="2:6" x14ac:dyDescent="0.45">
      <c r="B17" s="113" t="s">
        <v>641</v>
      </c>
      <c r="C17" s="103">
        <v>42369</v>
      </c>
      <c r="D17" s="103">
        <v>42735</v>
      </c>
      <c r="E17" s="103">
        <v>43100</v>
      </c>
    </row>
    <row r="18" spans="2:6" x14ac:dyDescent="0.45">
      <c r="B18" s="16" t="s">
        <v>602</v>
      </c>
      <c r="C18" s="67">
        <v>103.7</v>
      </c>
      <c r="D18" s="67">
        <v>141.1</v>
      </c>
      <c r="E18" s="67">
        <v>145.6</v>
      </c>
      <c r="F18" s="16" t="s">
        <v>719</v>
      </c>
    </row>
    <row r="19" spans="2:6" hidden="1" outlineLevel="1" x14ac:dyDescent="0.45">
      <c r="B19" s="16" t="s">
        <v>729</v>
      </c>
      <c r="C19" s="67">
        <v>0</v>
      </c>
      <c r="D19" s="67">
        <v>-23.1</v>
      </c>
      <c r="E19" s="67">
        <f>-26.3-60.4</f>
        <v>-86.7</v>
      </c>
    </row>
    <row r="20" spans="2:6" hidden="1" outlineLevel="1" x14ac:dyDescent="0.45">
      <c r="B20" s="16" t="s">
        <v>631</v>
      </c>
      <c r="C20" s="67">
        <v>0</v>
      </c>
      <c r="D20" s="67">
        <v>-10.6</v>
      </c>
      <c r="E20" s="67">
        <v>0</v>
      </c>
    </row>
    <row r="21" spans="2:6" hidden="1" outlineLevel="1" x14ac:dyDescent="0.45">
      <c r="B21" s="16" t="s">
        <v>632</v>
      </c>
      <c r="C21" s="67">
        <v>0</v>
      </c>
      <c r="D21" s="67">
        <f>-5+1.7</f>
        <v>-3.3</v>
      </c>
      <c r="E21" s="67">
        <f>40-7.6-5.5</f>
        <v>26.9</v>
      </c>
    </row>
    <row r="22" spans="2:6" hidden="1" outlineLevel="1" x14ac:dyDescent="0.45">
      <c r="B22" s="16" t="s">
        <v>626</v>
      </c>
      <c r="C22" s="67">
        <v>-11.2</v>
      </c>
      <c r="D22" s="67">
        <v>-21.5</v>
      </c>
      <c r="E22" s="67">
        <v>-22.3</v>
      </c>
      <c r="F22" s="16" t="s">
        <v>733</v>
      </c>
    </row>
    <row r="23" spans="2:6" hidden="1" outlineLevel="1" x14ac:dyDescent="0.45">
      <c r="B23" s="16" t="s">
        <v>627</v>
      </c>
      <c r="C23" s="67">
        <v>-13.5</v>
      </c>
      <c r="D23" s="67">
        <v>0</v>
      </c>
      <c r="E23" s="67">
        <v>0</v>
      </c>
    </row>
    <row r="24" spans="2:6" hidden="1" outlineLevel="1" x14ac:dyDescent="0.45">
      <c r="B24" s="16" t="s">
        <v>628</v>
      </c>
      <c r="C24" s="67">
        <v>-8.4</v>
      </c>
      <c r="D24" s="67">
        <v>-49.9</v>
      </c>
      <c r="E24" s="67">
        <v>0</v>
      </c>
    </row>
    <row r="25" spans="2:6" hidden="1" outlineLevel="1" x14ac:dyDescent="0.45">
      <c r="B25" s="16" t="s">
        <v>633</v>
      </c>
      <c r="C25" s="67">
        <v>0</v>
      </c>
      <c r="D25" s="67">
        <v>-35.6</v>
      </c>
      <c r="E25" s="67">
        <v>-11.1</v>
      </c>
      <c r="F25" s="16" t="s">
        <v>720</v>
      </c>
    </row>
    <row r="26" spans="2:6" hidden="1" outlineLevel="1" x14ac:dyDescent="0.45">
      <c r="B26" s="16" t="s">
        <v>634</v>
      </c>
      <c r="C26" s="67">
        <v>0</v>
      </c>
      <c r="D26" s="67">
        <v>0</v>
      </c>
      <c r="E26" s="67">
        <v>-8</v>
      </c>
    </row>
    <row r="27" spans="2:6" hidden="1" outlineLevel="1" x14ac:dyDescent="0.45">
      <c r="B27" s="16" t="s">
        <v>640</v>
      </c>
      <c r="C27" s="67">
        <v>0</v>
      </c>
      <c r="D27" s="67">
        <v>0</v>
      </c>
      <c r="E27" s="67">
        <v>-2.2000000000000002</v>
      </c>
    </row>
    <row r="28" spans="2:6" hidden="1" outlineLevel="1" x14ac:dyDescent="0.45">
      <c r="B28" s="16" t="s">
        <v>635</v>
      </c>
      <c r="C28" s="67">
        <v>-6.3</v>
      </c>
      <c r="D28" s="67">
        <v>0</v>
      </c>
      <c r="E28" s="67">
        <v>6</v>
      </c>
    </row>
    <row r="29" spans="2:6" hidden="1" outlineLevel="1" x14ac:dyDescent="0.45">
      <c r="B29" s="16" t="s">
        <v>629</v>
      </c>
      <c r="C29" s="67">
        <v>-3.4</v>
      </c>
      <c r="D29" s="67">
        <v>0</v>
      </c>
      <c r="E29" s="67">
        <v>0</v>
      </c>
    </row>
    <row r="30" spans="2:6" hidden="1" outlineLevel="1" x14ac:dyDescent="0.45">
      <c r="B30" s="16" t="s">
        <v>630</v>
      </c>
      <c r="C30" s="67">
        <v>0</v>
      </c>
      <c r="D30" s="67">
        <v>-4.5</v>
      </c>
      <c r="E30" s="67">
        <v>0</v>
      </c>
    </row>
    <row r="31" spans="2:6" collapsed="1" x14ac:dyDescent="0.45">
      <c r="B31" s="16" t="s">
        <v>672</v>
      </c>
      <c r="C31">
        <f>SUM(C18:C30)</f>
        <v>60.9</v>
      </c>
      <c r="D31">
        <f>SUM(D18:D30)</f>
        <v>-7.3999999999999915</v>
      </c>
      <c r="E31">
        <f>SUM(E18:E30)</f>
        <v>48.199999999999982</v>
      </c>
    </row>
    <row r="32" spans="2:6" x14ac:dyDescent="0.45">
      <c r="B32" s="16" t="s">
        <v>636</v>
      </c>
    </row>
    <row r="33" spans="2:6" x14ac:dyDescent="0.45">
      <c r="B33" s="16" t="s">
        <v>637</v>
      </c>
      <c r="C33" s="67">
        <v>7.9</v>
      </c>
      <c r="D33" s="67">
        <v>14.2</v>
      </c>
      <c r="E33" s="67">
        <v>23.5</v>
      </c>
      <c r="F33" s="16" t="s">
        <v>718</v>
      </c>
    </row>
    <row r="34" spans="2:6" x14ac:dyDescent="0.45">
      <c r="B34" s="16" t="s">
        <v>639</v>
      </c>
      <c r="C34" s="67">
        <v>14.8</v>
      </c>
      <c r="D34" s="67">
        <v>2.6</v>
      </c>
      <c r="E34" s="67">
        <v>5.4</v>
      </c>
    </row>
    <row r="37" spans="2:6" x14ac:dyDescent="0.45">
      <c r="B37" s="113" t="s">
        <v>669</v>
      </c>
      <c r="C37" s="103">
        <v>42369</v>
      </c>
      <c r="D37" s="103">
        <v>42735</v>
      </c>
      <c r="E37" s="103">
        <v>43100</v>
      </c>
    </row>
    <row r="38" spans="2:6" hidden="1" outlineLevel="1" x14ac:dyDescent="0.45">
      <c r="B38" s="16" t="s">
        <v>642</v>
      </c>
      <c r="C38" s="67">
        <v>13.7</v>
      </c>
      <c r="D38" s="67">
        <f>-34.9+8.5</f>
        <v>-26.4</v>
      </c>
      <c r="E38" s="67">
        <f>25.8-1.8</f>
        <v>24</v>
      </c>
    </row>
    <row r="39" spans="2:6" hidden="1" outlineLevel="1" x14ac:dyDescent="0.45">
      <c r="B39" s="16" t="s">
        <v>625</v>
      </c>
      <c r="C39" s="67">
        <v>54.5</v>
      </c>
      <c r="D39" s="67">
        <v>127</v>
      </c>
      <c r="E39" s="67">
        <v>75.099999999999994</v>
      </c>
    </row>
    <row r="40" spans="2:6" hidden="1" outlineLevel="1" x14ac:dyDescent="0.45">
      <c r="B40" s="16" t="s">
        <v>643</v>
      </c>
      <c r="C40" s="67">
        <v>21.4</v>
      </c>
      <c r="D40" s="67">
        <v>27.5</v>
      </c>
      <c r="E40" s="67">
        <v>22.5</v>
      </c>
    </row>
    <row r="41" spans="2:6" hidden="1" outlineLevel="1" x14ac:dyDescent="0.45">
      <c r="B41" s="16" t="s">
        <v>644</v>
      </c>
      <c r="C41" s="67">
        <v>-7.9</v>
      </c>
      <c r="D41" s="67">
        <v>-14.2</v>
      </c>
      <c r="E41" s="67">
        <v>-23.5</v>
      </c>
    </row>
    <row r="42" spans="2:6" hidden="1" outlineLevel="1" x14ac:dyDescent="0.45">
      <c r="B42" s="16" t="s">
        <v>645</v>
      </c>
      <c r="C42" s="67">
        <v>-0.1</v>
      </c>
      <c r="D42" s="67">
        <v>1.2</v>
      </c>
      <c r="E42" s="67">
        <v>2.7</v>
      </c>
    </row>
    <row r="43" spans="2:6" hidden="1" outlineLevel="1" x14ac:dyDescent="0.45">
      <c r="B43" s="16" t="s">
        <v>646</v>
      </c>
      <c r="C43" s="67">
        <v>3.4</v>
      </c>
      <c r="D43" s="67">
        <v>5.6</v>
      </c>
      <c r="E43" s="67">
        <v>2.7</v>
      </c>
    </row>
    <row r="44" spans="2:6" hidden="1" outlineLevel="1" x14ac:dyDescent="0.45">
      <c r="B44" s="16" t="s">
        <v>647</v>
      </c>
      <c r="C44" s="67">
        <v>13.6</v>
      </c>
      <c r="D44" s="67">
        <v>27.8</v>
      </c>
      <c r="E44" s="67">
        <v>30.1</v>
      </c>
    </row>
    <row r="45" spans="2:6" hidden="1" outlineLevel="1" x14ac:dyDescent="0.45">
      <c r="B45" s="16" t="s">
        <v>648</v>
      </c>
      <c r="C45" s="67">
        <v>-4.5999999999999996</v>
      </c>
      <c r="D45" s="67">
        <v>-4.7</v>
      </c>
      <c r="E45" s="67">
        <v>-4.7</v>
      </c>
    </row>
    <row r="46" spans="2:6" hidden="1" outlineLevel="1" x14ac:dyDescent="0.45">
      <c r="B46" s="16" t="s">
        <v>649</v>
      </c>
      <c r="C46" s="67">
        <v>28.9</v>
      </c>
      <c r="D46" s="67">
        <v>21.8</v>
      </c>
      <c r="E46" s="67">
        <v>19.7</v>
      </c>
    </row>
    <row r="47" spans="2:6" hidden="1" outlineLevel="1" x14ac:dyDescent="0.45">
      <c r="B47" s="16" t="s">
        <v>638</v>
      </c>
      <c r="C47" s="67">
        <v>-14.8</v>
      </c>
      <c r="D47" s="67">
        <v>-2.6</v>
      </c>
      <c r="E47" s="67">
        <v>-5.4</v>
      </c>
    </row>
    <row r="48" spans="2:6" hidden="1" outlineLevel="1" x14ac:dyDescent="0.45">
      <c r="B48" s="16" t="s">
        <v>650</v>
      </c>
      <c r="C48" s="67">
        <v>2.1</v>
      </c>
      <c r="D48" s="67">
        <v>7.2</v>
      </c>
      <c r="E48" s="67">
        <v>-1</v>
      </c>
    </row>
    <row r="49" spans="2:6" hidden="1" outlineLevel="1" x14ac:dyDescent="0.45">
      <c r="B49" s="16" t="s">
        <v>651</v>
      </c>
      <c r="C49" s="67">
        <v>-18.7</v>
      </c>
      <c r="D49" s="67">
        <v>-25.1</v>
      </c>
      <c r="E49" s="67">
        <v>-31.3</v>
      </c>
    </row>
    <row r="50" spans="2:6" hidden="1" outlineLevel="1" x14ac:dyDescent="0.45">
      <c r="B50" s="16" t="s">
        <v>652</v>
      </c>
      <c r="C50" s="67">
        <v>-205.5</v>
      </c>
      <c r="D50" s="67">
        <v>57.8</v>
      </c>
      <c r="E50" s="67">
        <v>-51.2</v>
      </c>
    </row>
    <row r="51" spans="2:6" hidden="1" outlineLevel="1" x14ac:dyDescent="0.45">
      <c r="B51" s="16" t="s">
        <v>653</v>
      </c>
      <c r="C51" s="67">
        <v>88</v>
      </c>
      <c r="D51" s="67">
        <v>8.6999999999999993</v>
      </c>
      <c r="E51" s="67">
        <v>-47.2</v>
      </c>
      <c r="F51" s="16" t="s">
        <v>731</v>
      </c>
    </row>
    <row r="52" spans="2:6" hidden="1" outlineLevel="1" x14ac:dyDescent="0.45">
      <c r="B52" s="16" t="s">
        <v>654</v>
      </c>
      <c r="C52" s="67">
        <v>192.8</v>
      </c>
      <c r="D52" s="67">
        <v>39.700000000000003</v>
      </c>
      <c r="E52" s="67">
        <v>72.599999999999994</v>
      </c>
    </row>
    <row r="53" spans="2:6" hidden="1" outlineLevel="1" x14ac:dyDescent="0.45">
      <c r="B53" s="16" t="s">
        <v>655</v>
      </c>
      <c r="C53" s="67">
        <v>-28.3</v>
      </c>
      <c r="D53" s="67">
        <v>-3.7</v>
      </c>
      <c r="E53" s="67">
        <v>-22.9</v>
      </c>
      <c r="F53" s="16" t="s">
        <v>730</v>
      </c>
    </row>
    <row r="54" spans="2:6" hidden="1" outlineLevel="1" x14ac:dyDescent="0.45">
      <c r="B54" s="16" t="s">
        <v>658</v>
      </c>
      <c r="C54" s="67">
        <v>-18.8</v>
      </c>
      <c r="D54" s="67">
        <v>-83</v>
      </c>
      <c r="E54" s="67">
        <v>66.599999999999994</v>
      </c>
    </row>
    <row r="55" spans="2:6" hidden="1" outlineLevel="1" x14ac:dyDescent="0.45">
      <c r="B55" s="16" t="s">
        <v>656</v>
      </c>
      <c r="C55" s="67">
        <v>3.5</v>
      </c>
      <c r="D55" s="67">
        <v>2.8</v>
      </c>
      <c r="E55" s="67">
        <v>23.2</v>
      </c>
    </row>
    <row r="56" spans="2:6" hidden="1" outlineLevel="1" x14ac:dyDescent="0.45">
      <c r="B56" s="16" t="s">
        <v>657</v>
      </c>
      <c r="C56" s="67">
        <v>1.7</v>
      </c>
      <c r="D56" s="67">
        <v>0.8</v>
      </c>
      <c r="E56" s="67">
        <v>1.8</v>
      </c>
    </row>
    <row r="57" spans="2:6" hidden="1" outlineLevel="1" x14ac:dyDescent="0.45">
      <c r="B57" s="16" t="s">
        <v>659</v>
      </c>
      <c r="C57" s="67">
        <v>-3.5</v>
      </c>
      <c r="D57" s="67">
        <v>-1.8</v>
      </c>
      <c r="E57" s="67">
        <v>-3.8</v>
      </c>
    </row>
    <row r="58" spans="2:6" collapsed="1" x14ac:dyDescent="0.45">
      <c r="B58" s="16" t="s">
        <v>661</v>
      </c>
      <c r="C58">
        <f>SUM(C38:C57)</f>
        <v>121.4</v>
      </c>
      <c r="D58">
        <f>SUM(D38:D57)</f>
        <v>166.40000000000003</v>
      </c>
      <c r="E58">
        <f>SUM(E38:E57)</f>
        <v>149.99999999999997</v>
      </c>
    </row>
    <row r="60" spans="2:6" x14ac:dyDescent="0.45">
      <c r="B60" s="16" t="s">
        <v>662</v>
      </c>
      <c r="C60" s="67">
        <v>2</v>
      </c>
      <c r="D60" s="67">
        <v>10.6</v>
      </c>
      <c r="E60" s="67">
        <v>1.4</v>
      </c>
    </row>
    <row r="61" spans="2:6" x14ac:dyDescent="0.45">
      <c r="B61" s="16" t="s">
        <v>663</v>
      </c>
      <c r="C61" s="67">
        <v>13.9</v>
      </c>
      <c r="D61" s="67">
        <v>20.399999999999999</v>
      </c>
      <c r="E61" s="67">
        <v>26</v>
      </c>
    </row>
    <row r="62" spans="2:6" x14ac:dyDescent="0.45">
      <c r="B62" s="16" t="s">
        <v>664</v>
      </c>
      <c r="C62" s="67">
        <v>-19.8</v>
      </c>
      <c r="D62" s="67">
        <v>-14.1</v>
      </c>
      <c r="E62" s="67">
        <v>-15.8</v>
      </c>
    </row>
    <row r="63" spans="2:6" x14ac:dyDescent="0.45">
      <c r="B63" s="16" t="s">
        <v>665</v>
      </c>
      <c r="C63" s="67">
        <v>-22.6</v>
      </c>
      <c r="D63" s="67">
        <v>-38.1</v>
      </c>
      <c r="E63" s="67">
        <v>-44.4</v>
      </c>
      <c r="F63" s="16" t="s">
        <v>732</v>
      </c>
    </row>
    <row r="64" spans="2:6" x14ac:dyDescent="0.45">
      <c r="B64" s="16" t="s">
        <v>666</v>
      </c>
      <c r="C64" s="67">
        <v>-12.6</v>
      </c>
      <c r="D64" s="67">
        <v>0</v>
      </c>
      <c r="E64" s="67">
        <v>0</v>
      </c>
    </row>
    <row r="65" spans="2:6" x14ac:dyDescent="0.45">
      <c r="B65" s="16" t="s">
        <v>668</v>
      </c>
      <c r="C65" s="67">
        <v>-262.60000000000002</v>
      </c>
      <c r="D65" s="67">
        <v>0</v>
      </c>
      <c r="E65" s="67">
        <v>0</v>
      </c>
    </row>
    <row r="66" spans="2:6" x14ac:dyDescent="0.45">
      <c r="B66" s="16" t="s">
        <v>667</v>
      </c>
      <c r="C66" s="67">
        <v>-35.6</v>
      </c>
      <c r="D66" s="67">
        <v>-49.3</v>
      </c>
      <c r="E66" s="67">
        <v>-49.3</v>
      </c>
    </row>
    <row r="67" spans="2:6" x14ac:dyDescent="0.45">
      <c r="B67" s="16" t="s">
        <v>917</v>
      </c>
      <c r="C67" s="67">
        <v>32.200000000000003</v>
      </c>
      <c r="D67" s="67">
        <v>0</v>
      </c>
      <c r="E67" s="67">
        <v>0</v>
      </c>
    </row>
    <row r="68" spans="2:6" x14ac:dyDescent="0.45">
      <c r="B68" s="16" t="s">
        <v>660</v>
      </c>
      <c r="C68">
        <f>SUM(C60:C67)</f>
        <v>-305.10000000000008</v>
      </c>
      <c r="D68">
        <f>SUM(D60:D67)</f>
        <v>-70.5</v>
      </c>
      <c r="E68">
        <f>SUM(E60:E67)</f>
        <v>-82.1</v>
      </c>
    </row>
    <row r="71" spans="2:6" x14ac:dyDescent="0.45">
      <c r="B71" s="16" t="s">
        <v>723</v>
      </c>
      <c r="C71">
        <f>C31-C34</f>
        <v>46.099999999999994</v>
      </c>
      <c r="D71">
        <f>D31-D34</f>
        <v>-9.9999999999999911</v>
      </c>
      <c r="E71">
        <f>E31-E34</f>
        <v>42.799999999999983</v>
      </c>
      <c r="F71" s="16" t="s">
        <v>724</v>
      </c>
    </row>
    <row r="72" spans="2:6" x14ac:dyDescent="0.45">
      <c r="B72" s="16" t="s">
        <v>602</v>
      </c>
      <c r="C72">
        <f>C18</f>
        <v>103.7</v>
      </c>
      <c r="D72">
        <f t="shared" ref="D72:E72" si="0">D18</f>
        <v>141.1</v>
      </c>
      <c r="E72">
        <f t="shared" si="0"/>
        <v>145.6</v>
      </c>
    </row>
    <row r="73" spans="2:6" x14ac:dyDescent="0.45">
      <c r="B73" s="16" t="s">
        <v>722</v>
      </c>
      <c r="C73" s="80">
        <f>C71/C72</f>
        <v>0.44455159112825449</v>
      </c>
      <c r="D73" s="80">
        <f t="shared" ref="D73:E73" si="1">D71/D72</f>
        <v>-7.0871722182848984E-2</v>
      </c>
      <c r="E73" s="80">
        <f t="shared" si="1"/>
        <v>0.29395604395604386</v>
      </c>
    </row>
    <row r="75" spans="2:6" x14ac:dyDescent="0.45">
      <c r="B75" s="16" t="s">
        <v>568</v>
      </c>
      <c r="C75">
        <f>C58-C57-C56+C62+C63</f>
        <v>80.800000000000011</v>
      </c>
      <c r="D75">
        <f>D58-D57-D56+D62+D63</f>
        <v>115.20000000000005</v>
      </c>
      <c r="E75">
        <f>E58-E57-E56+E62+E63</f>
        <v>91.799999999999955</v>
      </c>
      <c r="F75" s="16" t="s">
        <v>725</v>
      </c>
    </row>
    <row r="76" spans="2:6" x14ac:dyDescent="0.45">
      <c r="B76" s="16" t="s">
        <v>602</v>
      </c>
      <c r="C76">
        <f>C18</f>
        <v>103.7</v>
      </c>
      <c r="D76">
        <f>D18</f>
        <v>141.1</v>
      </c>
      <c r="E76">
        <f>E18</f>
        <v>145.6</v>
      </c>
    </row>
    <row r="77" spans="2:6" x14ac:dyDescent="0.45">
      <c r="B77" s="16" t="s">
        <v>670</v>
      </c>
      <c r="C77" s="80">
        <f>C75/C76</f>
        <v>0.77917068466730965</v>
      </c>
      <c r="D77" s="80">
        <f>D75/D76</f>
        <v>0.81644223954642137</v>
      </c>
      <c r="E77" s="80">
        <f>E75/E76</f>
        <v>0.63049450549450525</v>
      </c>
    </row>
    <row r="79" spans="2:6" x14ac:dyDescent="0.45">
      <c r="B79" s="16" t="s">
        <v>673</v>
      </c>
      <c r="C79">
        <f>C58-C50-C51-C52</f>
        <v>46.099999999999966</v>
      </c>
      <c r="D79">
        <f>D58-D50-D51-D52</f>
        <v>60.200000000000031</v>
      </c>
      <c r="E79">
        <f>E58-E50-E51-E52</f>
        <v>175.79999999999998</v>
      </c>
    </row>
    <row r="80" spans="2:6" x14ac:dyDescent="0.45">
      <c r="B80" s="16" t="s">
        <v>674</v>
      </c>
      <c r="C80">
        <f>C58+C60+C61</f>
        <v>137.30000000000001</v>
      </c>
      <c r="D80">
        <f>D58+D60+D61</f>
        <v>197.40000000000003</v>
      </c>
      <c r="E80">
        <f>E58+E60+E61</f>
        <v>177.39999999999998</v>
      </c>
    </row>
    <row r="81" spans="1:6" x14ac:dyDescent="0.45">
      <c r="B81" s="16" t="s">
        <v>671</v>
      </c>
      <c r="C81" s="80">
        <f>C79/C80</f>
        <v>0.33576110706482126</v>
      </c>
      <c r="D81" s="80">
        <f>D79/D80</f>
        <v>0.30496453900709231</v>
      </c>
      <c r="E81" s="80">
        <f>E79/E80</f>
        <v>0.99098083427282979</v>
      </c>
      <c r="F81" s="16" t="s">
        <v>734</v>
      </c>
    </row>
    <row r="83" spans="1:6" ht="15.75" x14ac:dyDescent="0.45">
      <c r="A83" s="15" t="s">
        <v>72</v>
      </c>
    </row>
    <row r="84" spans="1:6" x14ac:dyDescent="0.45">
      <c r="B84" s="16" t="s">
        <v>698</v>
      </c>
    </row>
    <row r="85" spans="1:6" x14ac:dyDescent="0.45">
      <c r="B85" s="16" t="s">
        <v>695</v>
      </c>
    </row>
    <row r="87" spans="1:6" x14ac:dyDescent="0.45">
      <c r="B87" s="113" t="s">
        <v>676</v>
      </c>
    </row>
    <row r="88" spans="1:6" x14ac:dyDescent="0.45">
      <c r="C88" s="101">
        <v>2015</v>
      </c>
      <c r="D88" s="101">
        <v>2016</v>
      </c>
      <c r="E88" s="101">
        <v>2017</v>
      </c>
    </row>
    <row r="89" spans="1:6" x14ac:dyDescent="0.45">
      <c r="B89" s="16" t="s">
        <v>677</v>
      </c>
      <c r="C89" s="67">
        <v>83.7</v>
      </c>
      <c r="D89" s="67">
        <v>63.8</v>
      </c>
      <c r="E89" s="67">
        <v>80.5</v>
      </c>
    </row>
    <row r="90" spans="1:6" x14ac:dyDescent="0.45">
      <c r="B90" s="16" t="s">
        <v>735</v>
      </c>
      <c r="C90" s="67">
        <v>-4.4000000000000004</v>
      </c>
      <c r="D90" s="67">
        <v>27.9</v>
      </c>
      <c r="E90" s="67">
        <v>50.1</v>
      </c>
      <c r="F90" s="16" t="s">
        <v>737</v>
      </c>
    </row>
    <row r="91" spans="1:6" x14ac:dyDescent="0.45">
      <c r="B91" s="16" t="s">
        <v>736</v>
      </c>
      <c r="C91" s="67">
        <v>19.100000000000001</v>
      </c>
      <c r="D91" s="67">
        <v>0</v>
      </c>
      <c r="E91" s="67">
        <v>-7.4</v>
      </c>
    </row>
    <row r="92" spans="1:6" x14ac:dyDescent="0.45">
      <c r="B92" s="16" t="s">
        <v>678</v>
      </c>
      <c r="C92" s="67">
        <v>-31.2</v>
      </c>
      <c r="D92" s="67">
        <v>-16.3</v>
      </c>
      <c r="E92" s="67">
        <v>-55.7</v>
      </c>
    </row>
    <row r="93" spans="1:6" x14ac:dyDescent="0.45">
      <c r="B93" s="16" t="s">
        <v>679</v>
      </c>
      <c r="C93" s="67">
        <v>4.4000000000000004</v>
      </c>
      <c r="D93" s="67">
        <v>2.8</v>
      </c>
      <c r="E93" s="67">
        <v>3.1</v>
      </c>
    </row>
    <row r="94" spans="1:6" x14ac:dyDescent="0.45">
      <c r="B94" s="16" t="s">
        <v>680</v>
      </c>
      <c r="C94" s="67">
        <v>-12.9</v>
      </c>
      <c r="D94" s="67">
        <v>2.2999999999999998</v>
      </c>
      <c r="E94" s="67">
        <v>8.6999999999999993</v>
      </c>
    </row>
    <row r="95" spans="1:6" x14ac:dyDescent="0.45">
      <c r="B95" s="16" t="s">
        <v>681</v>
      </c>
      <c r="C95">
        <f>SUM(C89:C94)</f>
        <v>58.70000000000001</v>
      </c>
      <c r="D95">
        <f>SUM(D89:D94)</f>
        <v>80.499999999999986</v>
      </c>
      <c r="E95">
        <f>SUM(E89:E94)</f>
        <v>79.299999999999983</v>
      </c>
      <c r="F95" s="16" t="s">
        <v>738</v>
      </c>
    </row>
    <row r="97" spans="2:2" x14ac:dyDescent="0.45">
      <c r="B97" s="113" t="s">
        <v>745</v>
      </c>
    </row>
    <row r="119" spans="1:5" x14ac:dyDescent="0.45">
      <c r="B119" s="16" t="s">
        <v>746</v>
      </c>
    </row>
    <row r="122" spans="1:5" ht="15.75" x14ac:dyDescent="0.45">
      <c r="A122" s="15" t="s">
        <v>76</v>
      </c>
    </row>
    <row r="123" spans="1:5" x14ac:dyDescent="0.45">
      <c r="B123" s="16" t="s">
        <v>686</v>
      </c>
    </row>
    <row r="124" spans="1:5" x14ac:dyDescent="0.45">
      <c r="B124" s="16" t="s">
        <v>682</v>
      </c>
    </row>
    <row r="126" spans="1:5" x14ac:dyDescent="0.45">
      <c r="C126" s="101">
        <v>2015</v>
      </c>
      <c r="D126" s="101">
        <v>2016</v>
      </c>
      <c r="E126" s="101">
        <v>2017</v>
      </c>
    </row>
    <row r="127" spans="1:5" x14ac:dyDescent="0.45">
      <c r="B127" s="16" t="s">
        <v>685</v>
      </c>
      <c r="C127">
        <f>C33</f>
        <v>7.9</v>
      </c>
      <c r="D127">
        <f>D33</f>
        <v>14.2</v>
      </c>
      <c r="E127">
        <f>E33</f>
        <v>23.5</v>
      </c>
    </row>
    <row r="128" spans="1:5" x14ac:dyDescent="0.45">
      <c r="B128" s="16" t="s">
        <v>683</v>
      </c>
      <c r="C128">
        <f>C18</f>
        <v>103.7</v>
      </c>
      <c r="D128">
        <f>D18</f>
        <v>141.1</v>
      </c>
      <c r="E128">
        <f>E18</f>
        <v>145.6</v>
      </c>
    </row>
    <row r="129" spans="1:5" x14ac:dyDescent="0.45">
      <c r="B129" s="16" t="s">
        <v>684</v>
      </c>
      <c r="C129" s="80">
        <f>C127/C128</f>
        <v>7.6181292189006752E-2</v>
      </c>
      <c r="D129" s="80">
        <f>D127/D128</f>
        <v>0.10063784549964563</v>
      </c>
      <c r="E129" s="80">
        <f>E127/E128</f>
        <v>0.16140109890109891</v>
      </c>
    </row>
    <row r="131" spans="1:5" x14ac:dyDescent="0.45">
      <c r="B131" s="16" t="s">
        <v>687</v>
      </c>
      <c r="C131">
        <f>C55</f>
        <v>3.5</v>
      </c>
      <c r="D131">
        <f>D55</f>
        <v>2.8</v>
      </c>
      <c r="E131">
        <f>E55</f>
        <v>23.2</v>
      </c>
    </row>
    <row r="132" spans="1:5" x14ac:dyDescent="0.45">
      <c r="B132" s="16" t="s">
        <v>688</v>
      </c>
      <c r="C132">
        <f>C58</f>
        <v>121.4</v>
      </c>
      <c r="D132">
        <f>D58</f>
        <v>166.40000000000003</v>
      </c>
      <c r="E132">
        <f>E58</f>
        <v>149.99999999999997</v>
      </c>
    </row>
    <row r="133" spans="1:5" x14ac:dyDescent="0.45">
      <c r="B133" s="16" t="s">
        <v>689</v>
      </c>
      <c r="C133" s="80">
        <f>C131/C132</f>
        <v>2.8830313014827018E-2</v>
      </c>
      <c r="D133" s="80">
        <f>D131/D132</f>
        <v>1.6826923076923073E-2</v>
      </c>
      <c r="E133" s="80">
        <f>E131/E132</f>
        <v>0.1546666666666667</v>
      </c>
    </row>
    <row r="135" spans="1:5" x14ac:dyDescent="0.45">
      <c r="B135" s="16" t="s">
        <v>690</v>
      </c>
    </row>
    <row r="136" spans="1:5" x14ac:dyDescent="0.45">
      <c r="B136" s="16" t="s">
        <v>691</v>
      </c>
    </row>
    <row r="137" spans="1:5" x14ac:dyDescent="0.45">
      <c r="B137" s="16" t="s">
        <v>692</v>
      </c>
    </row>
    <row r="139" spans="1:5" x14ac:dyDescent="0.45">
      <c r="B139" s="16" t="s">
        <v>717</v>
      </c>
    </row>
    <row r="140" spans="1:5" x14ac:dyDescent="0.45">
      <c r="B140" s="16" t="s">
        <v>693</v>
      </c>
    </row>
    <row r="141" spans="1:5" x14ac:dyDescent="0.45">
      <c r="B141" s="16" t="s">
        <v>694</v>
      </c>
    </row>
    <row r="143" spans="1:5" ht="15.75" x14ac:dyDescent="0.45">
      <c r="A143" s="15" t="s">
        <v>116</v>
      </c>
    </row>
  </sheetData>
  <sortState xmlns:xlrd2="http://schemas.microsoft.com/office/spreadsheetml/2017/richdata2" ref="A19:I30">
    <sortCondition ref="A19"/>
  </sortState>
  <printOptions headings="1" gridLines="1"/>
  <pageMargins left="0.70866141732283472" right="0.70866141732283472" top="0.74803149606299213" bottom="0.74803149606299213" header="0.31496062992125984" footer="0.31496062992125984"/>
  <pageSetup paperSize="9" scale="71" fitToHeight="0" orientation="landscape" horizontalDpi="300" verticalDpi="3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97BC0-765C-41C1-AC95-872EAE3340F7}">
  <sheetPr>
    <pageSetUpPr fitToPage="1"/>
  </sheetPr>
  <dimension ref="A1:N130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3.796875" style="16" customWidth="1"/>
    <col min="3" max="3" width="9.1328125" customWidth="1"/>
    <col min="4" max="5" width="9.33203125" customWidth="1"/>
    <col min="6" max="8" width="11" customWidth="1"/>
    <col min="11" max="11" width="9.1328125" style="86"/>
  </cols>
  <sheetData>
    <row r="1" spans="1:14" s="51" customFormat="1" ht="45" customHeight="1" x14ac:dyDescent="0.85">
      <c r="A1" s="5" t="str">
        <f>Welcome!A2</f>
        <v>Forensic Accounting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37" customFormat="1" ht="30" customHeight="1" x14ac:dyDescent="0.65">
      <c r="A2" s="14" t="s">
        <v>366</v>
      </c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/>
      <c r="B3"/>
      <c r="K3"/>
    </row>
    <row r="4" spans="1:14" ht="15" customHeight="1" x14ac:dyDescent="0.45">
      <c r="A4" s="15" t="s">
        <v>66</v>
      </c>
      <c r="B4"/>
      <c r="K4"/>
    </row>
    <row r="5" spans="1:14" ht="15" customHeight="1" x14ac:dyDescent="0.45">
      <c r="A5"/>
      <c r="B5" s="16" t="s">
        <v>790</v>
      </c>
      <c r="K5"/>
    </row>
    <row r="6" spans="1:14" ht="15" customHeight="1" x14ac:dyDescent="0.45">
      <c r="A6"/>
      <c r="B6" s="16" t="s">
        <v>415</v>
      </c>
      <c r="K6"/>
    </row>
    <row r="7" spans="1:14" ht="15" customHeight="1" x14ac:dyDescent="0.45">
      <c r="A7"/>
      <c r="B7"/>
      <c r="K7"/>
    </row>
    <row r="8" spans="1:14" ht="15" customHeight="1" x14ac:dyDescent="0.45">
      <c r="A8"/>
      <c r="B8" s="16" t="s">
        <v>383</v>
      </c>
      <c r="K8"/>
    </row>
    <row r="9" spans="1:14" ht="15" customHeight="1" x14ac:dyDescent="0.45">
      <c r="A9"/>
      <c r="B9" s="16" t="s">
        <v>384</v>
      </c>
      <c r="K9"/>
    </row>
    <row r="10" spans="1:14" ht="15" customHeight="1" x14ac:dyDescent="0.45">
      <c r="A10"/>
      <c r="B10" s="16" t="s">
        <v>385</v>
      </c>
      <c r="K10"/>
    </row>
    <row r="11" spans="1:14" ht="15" customHeight="1" x14ac:dyDescent="0.45">
      <c r="A11"/>
      <c r="B11" s="16" t="s">
        <v>386</v>
      </c>
      <c r="K11"/>
    </row>
    <row r="12" spans="1:14" ht="15" customHeight="1" x14ac:dyDescent="0.45">
      <c r="A12"/>
      <c r="B12"/>
      <c r="K12"/>
    </row>
    <row r="13" spans="1:14" ht="15" customHeight="1" x14ac:dyDescent="0.45">
      <c r="A13"/>
      <c r="B13"/>
      <c r="C13" s="70">
        <v>41639</v>
      </c>
      <c r="D13" s="70">
        <v>42004</v>
      </c>
      <c r="E13" s="70">
        <v>42369</v>
      </c>
      <c r="F13" s="70">
        <v>42735</v>
      </c>
      <c r="G13" s="70">
        <v>43100</v>
      </c>
      <c r="K13"/>
    </row>
    <row r="14" spans="1:14" ht="15" customHeight="1" x14ac:dyDescent="0.45">
      <c r="A14"/>
      <c r="B14" s="16" t="s">
        <v>367</v>
      </c>
      <c r="C14" s="67">
        <v>2581.9</v>
      </c>
      <c r="D14" s="67">
        <v>3305.3</v>
      </c>
      <c r="E14" s="67">
        <v>3628.9</v>
      </c>
      <c r="F14" s="67">
        <v>3685.2</v>
      </c>
      <c r="G14" s="67">
        <v>3666.9</v>
      </c>
      <c r="K14"/>
    </row>
    <row r="15" spans="1:14" ht="15" customHeight="1" x14ac:dyDescent="0.45">
      <c r="A15"/>
      <c r="B15" s="16" t="s">
        <v>368</v>
      </c>
      <c r="C15" s="67">
        <v>-389.3</v>
      </c>
      <c r="D15" s="67">
        <v>-392.3</v>
      </c>
      <c r="E15" s="67">
        <v>-424.3</v>
      </c>
      <c r="F15" s="67">
        <v>-440.6</v>
      </c>
      <c r="G15" s="67">
        <v>-416.1</v>
      </c>
      <c r="K15"/>
    </row>
    <row r="16" spans="1:14" ht="15" customHeight="1" x14ac:dyDescent="0.45">
      <c r="A16"/>
      <c r="B16" s="16" t="s">
        <v>369</v>
      </c>
      <c r="C16">
        <f>SUM(C14:C15)</f>
        <v>2192.6</v>
      </c>
      <c r="D16">
        <f>SUM(D14:D15)</f>
        <v>2913</v>
      </c>
      <c r="E16">
        <f>SUM(E14:E15)</f>
        <v>3204.6</v>
      </c>
      <c r="F16">
        <f>SUM(F14:F15)</f>
        <v>3244.6</v>
      </c>
      <c r="G16">
        <f>SUM(G14:G15)</f>
        <v>3250.8</v>
      </c>
      <c r="K16"/>
    </row>
    <row r="17" spans="1:11" ht="15" customHeight="1" x14ac:dyDescent="0.45">
      <c r="A17"/>
      <c r="B17" s="16" t="s">
        <v>370</v>
      </c>
      <c r="C17" s="67">
        <v>-1927</v>
      </c>
      <c r="D17" s="67">
        <v>-2583.6999999999998</v>
      </c>
      <c r="E17" s="67">
        <v>-2781.9</v>
      </c>
      <c r="F17" s="67">
        <v>-2966.8</v>
      </c>
      <c r="G17" s="67">
        <v>-2963.2</v>
      </c>
      <c r="K17"/>
    </row>
    <row r="18" spans="1:11" ht="15" customHeight="1" x14ac:dyDescent="0.45">
      <c r="A18"/>
      <c r="B18" s="16" t="s">
        <v>122</v>
      </c>
      <c r="C18">
        <f>SUM(C16:C17)</f>
        <v>265.59999999999991</v>
      </c>
      <c r="D18">
        <f>SUM(D16:D17)</f>
        <v>329.30000000000018</v>
      </c>
      <c r="E18">
        <f>SUM(E16:E17)</f>
        <v>422.69999999999982</v>
      </c>
      <c r="F18">
        <f>SUM(F16:F17)</f>
        <v>277.79999999999973</v>
      </c>
      <c r="G18">
        <f>SUM(G16:G17)</f>
        <v>287.60000000000036</v>
      </c>
      <c r="K18"/>
    </row>
    <row r="19" spans="1:11" ht="15" customHeight="1" x14ac:dyDescent="0.45">
      <c r="A19"/>
      <c r="B19" s="16" t="s">
        <v>371</v>
      </c>
      <c r="C19" s="67">
        <v>-196.2</v>
      </c>
      <c r="D19" s="67">
        <v>-228.7</v>
      </c>
      <c r="E19" s="67">
        <v>-313.5</v>
      </c>
      <c r="F19" s="67">
        <v>-346.9</v>
      </c>
      <c r="G19" s="67">
        <v>-425.7</v>
      </c>
      <c r="K19"/>
    </row>
    <row r="20" spans="1:11" ht="15" customHeight="1" x14ac:dyDescent="0.45">
      <c r="A20"/>
      <c r="B20" s="16" t="s">
        <v>372</v>
      </c>
      <c r="C20" s="67">
        <v>-8.8000000000000007</v>
      </c>
      <c r="D20" s="67">
        <v>-24.4</v>
      </c>
      <c r="E20" s="67">
        <v>-31</v>
      </c>
      <c r="F20" s="67">
        <v>-29.8</v>
      </c>
      <c r="G20" s="67">
        <v>-21.5</v>
      </c>
      <c r="K20"/>
    </row>
    <row r="21" spans="1:11" ht="15" customHeight="1" x14ac:dyDescent="0.45">
      <c r="A21"/>
      <c r="B21" s="16" t="s">
        <v>373</v>
      </c>
      <c r="C21" s="67">
        <v>-2.6</v>
      </c>
      <c r="D21" s="67">
        <v>-19.8</v>
      </c>
      <c r="E21" s="67">
        <v>-4.8</v>
      </c>
      <c r="F21" s="67">
        <v>0</v>
      </c>
      <c r="G21" s="67">
        <v>-60</v>
      </c>
      <c r="K21"/>
    </row>
    <row r="22" spans="1:11" ht="15" customHeight="1" x14ac:dyDescent="0.45">
      <c r="A22"/>
      <c r="B22" s="16" t="s">
        <v>374</v>
      </c>
      <c r="C22">
        <f>SUM(C19:C21)</f>
        <v>-207.6</v>
      </c>
      <c r="D22">
        <f>SUM(D19:D21)</f>
        <v>-272.89999999999998</v>
      </c>
      <c r="E22">
        <f>SUM(E19:E21)</f>
        <v>-349.3</v>
      </c>
      <c r="F22">
        <f>SUM(F19:F21)</f>
        <v>-376.7</v>
      </c>
      <c r="G22">
        <f>SUM(G19:G21)</f>
        <v>-507.2</v>
      </c>
      <c r="K22"/>
    </row>
    <row r="23" spans="1:11" ht="15" customHeight="1" x14ac:dyDescent="0.45">
      <c r="A23"/>
      <c r="B23" s="16" t="s">
        <v>375</v>
      </c>
      <c r="C23" s="67">
        <v>-1.5</v>
      </c>
      <c r="D23" s="67">
        <v>0</v>
      </c>
      <c r="E23" s="67">
        <v>0</v>
      </c>
      <c r="F23" s="67">
        <v>0</v>
      </c>
      <c r="G23" s="67">
        <v>0</v>
      </c>
      <c r="K23"/>
    </row>
    <row r="24" spans="1:11" ht="15" customHeight="1" x14ac:dyDescent="0.45">
      <c r="A24"/>
      <c r="B24" s="16" t="s">
        <v>125</v>
      </c>
      <c r="C24">
        <f>SUM(C18,C22:C23)</f>
        <v>56.499999999999915</v>
      </c>
      <c r="D24">
        <f>SUM(D18,D22:D23)</f>
        <v>56.400000000000205</v>
      </c>
      <c r="E24">
        <f>SUM(E18,E22:E23)</f>
        <v>73.399999999999807</v>
      </c>
      <c r="F24">
        <f>SUM(F18,F22:F23)</f>
        <v>-98.900000000000261</v>
      </c>
      <c r="G24">
        <f>SUM(G18,G22:G23)</f>
        <v>-219.59999999999962</v>
      </c>
      <c r="K24"/>
    </row>
    <row r="25" spans="1:11" ht="15" customHeight="1" x14ac:dyDescent="0.45">
      <c r="A25"/>
      <c r="B25" s="16" t="s">
        <v>376</v>
      </c>
      <c r="C25" s="67">
        <v>17.3</v>
      </c>
      <c r="D25" s="67">
        <v>16.600000000000001</v>
      </c>
      <c r="E25" s="67">
        <v>22.6</v>
      </c>
      <c r="F25" s="67">
        <v>22.6</v>
      </c>
      <c r="G25" s="67">
        <v>-5.0999999999999996</v>
      </c>
      <c r="K25"/>
    </row>
    <row r="26" spans="1:11" ht="15" customHeight="1" x14ac:dyDescent="0.45">
      <c r="A26"/>
      <c r="B26" s="16" t="s">
        <v>372</v>
      </c>
      <c r="C26" s="67">
        <v>-0.1</v>
      </c>
      <c r="D26" s="67">
        <v>-0.1</v>
      </c>
      <c r="E26" s="67">
        <v>-0.1</v>
      </c>
      <c r="F26" s="67">
        <v>-0.1</v>
      </c>
      <c r="G26" s="67">
        <v>-0.1</v>
      </c>
      <c r="K26"/>
    </row>
    <row r="27" spans="1:11" ht="15" customHeight="1" x14ac:dyDescent="0.45">
      <c r="A27"/>
      <c r="B27" s="16" t="s">
        <v>377</v>
      </c>
      <c r="C27">
        <f>SUM(C25:C26)</f>
        <v>17.2</v>
      </c>
      <c r="D27">
        <f>SUM(D25:D26)</f>
        <v>16.5</v>
      </c>
      <c r="E27">
        <f>SUM(E25:E26)</f>
        <v>22.5</v>
      </c>
      <c r="F27">
        <f>SUM(F25:F26)</f>
        <v>22.5</v>
      </c>
      <c r="G27">
        <f>SUM(G25:G26)</f>
        <v>-5.1999999999999993</v>
      </c>
      <c r="K27"/>
    </row>
    <row r="28" spans="1:11" ht="15" customHeight="1" x14ac:dyDescent="0.45">
      <c r="A28"/>
      <c r="B28" s="16" t="s">
        <v>378</v>
      </c>
      <c r="C28">
        <f>SUM(C24,C27)</f>
        <v>73.699999999999918</v>
      </c>
      <c r="D28">
        <f>SUM(D24,D27)</f>
        <v>72.900000000000205</v>
      </c>
      <c r="E28">
        <f>SUM(E24,E27)</f>
        <v>95.899999999999807</v>
      </c>
      <c r="F28">
        <f>SUM(F24,F27)</f>
        <v>-76.400000000000261</v>
      </c>
      <c r="G28">
        <f>SUM(G24,G27)</f>
        <v>-224.79999999999961</v>
      </c>
      <c r="K28"/>
    </row>
    <row r="29" spans="1:11" ht="15" customHeight="1" x14ac:dyDescent="0.45">
      <c r="A29"/>
      <c r="B29" s="16" t="s">
        <v>379</v>
      </c>
      <c r="C29" s="67">
        <v>3.6</v>
      </c>
      <c r="D29" s="67">
        <v>5</v>
      </c>
      <c r="E29" s="67">
        <v>4.7</v>
      </c>
      <c r="F29" s="67">
        <v>5.6</v>
      </c>
      <c r="G29" s="67">
        <v>8.8000000000000007</v>
      </c>
      <c r="K29"/>
    </row>
    <row r="30" spans="1:11" ht="15" customHeight="1" x14ac:dyDescent="0.45">
      <c r="A30"/>
      <c r="B30" s="16" t="s">
        <v>380</v>
      </c>
      <c r="C30" s="67">
        <v>-9.1999999999999993</v>
      </c>
      <c r="D30" s="67">
        <v>-16</v>
      </c>
      <c r="E30" s="67">
        <v>-21.1</v>
      </c>
      <c r="F30" s="67">
        <v>-23.3</v>
      </c>
      <c r="G30" s="67">
        <v>-28.4</v>
      </c>
      <c r="K30"/>
    </row>
    <row r="31" spans="1:11" ht="15" customHeight="1" x14ac:dyDescent="0.45">
      <c r="A31"/>
      <c r="B31" s="16" t="s">
        <v>258</v>
      </c>
      <c r="C31">
        <f>SUM(C28:C30)</f>
        <v>68.099999999999909</v>
      </c>
      <c r="D31">
        <f>SUM(D28:D30)</f>
        <v>61.900000000000205</v>
      </c>
      <c r="E31">
        <f>SUM(E28:E30)</f>
        <v>79.499999999999801</v>
      </c>
      <c r="F31">
        <f>SUM(F28:F30)</f>
        <v>-94.100000000000264</v>
      </c>
      <c r="G31">
        <f>SUM(G28:G30)</f>
        <v>-244.39999999999961</v>
      </c>
      <c r="K31"/>
    </row>
    <row r="32" spans="1:11" ht="15" customHeight="1" x14ac:dyDescent="0.45">
      <c r="A32"/>
      <c r="B32" s="16" t="s">
        <v>381</v>
      </c>
      <c r="C32" s="67">
        <v>-13.1</v>
      </c>
      <c r="D32" s="67">
        <v>-12</v>
      </c>
      <c r="E32" s="67">
        <v>-9.3000000000000007</v>
      </c>
      <c r="F32" s="67">
        <v>-7.5</v>
      </c>
      <c r="G32" s="67">
        <v>-10</v>
      </c>
      <c r="K32"/>
    </row>
    <row r="33" spans="1:11" ht="15" customHeight="1" x14ac:dyDescent="0.45">
      <c r="A33"/>
      <c r="B33" s="16" t="s">
        <v>382</v>
      </c>
      <c r="C33">
        <f>SUM(C31:C32)</f>
        <v>54.999999999999908</v>
      </c>
      <c r="D33">
        <f>SUM(D31:D32)</f>
        <v>49.900000000000205</v>
      </c>
      <c r="E33">
        <f>SUM(E31:E32)</f>
        <v>70.199999999999804</v>
      </c>
      <c r="F33">
        <f>SUM(F31:F32)</f>
        <v>-101.60000000000026</v>
      </c>
      <c r="G33">
        <f>SUM(G31:G32)</f>
        <v>-254.39999999999961</v>
      </c>
      <c r="K33"/>
    </row>
    <row r="34" spans="1:11" ht="15" customHeight="1" x14ac:dyDescent="0.45">
      <c r="A34"/>
      <c r="B34"/>
      <c r="K34"/>
    </row>
    <row r="35" spans="1:11" ht="15" customHeight="1" x14ac:dyDescent="0.45">
      <c r="A35"/>
      <c r="B35" s="16" t="s">
        <v>388</v>
      </c>
      <c r="C35" s="67">
        <f>8.8+1.9+31.9</f>
        <v>42.6</v>
      </c>
      <c r="D35" s="67">
        <f>24.4+3.7+35.6</f>
        <v>63.7</v>
      </c>
      <c r="E35" s="67">
        <f>31+1.3+34.8</f>
        <v>67.099999999999994</v>
      </c>
      <c r="F35" s="67">
        <f>29.8+1.4+37.6</f>
        <v>68.8</v>
      </c>
      <c r="G35" s="67">
        <f>21.5+1.6+39.5</f>
        <v>62.6</v>
      </c>
      <c r="K35"/>
    </row>
    <row r="36" spans="1:11" ht="15" customHeight="1" x14ac:dyDescent="0.45">
      <c r="A36"/>
      <c r="B36"/>
      <c r="K36"/>
    </row>
    <row r="37" spans="1:11" ht="15" customHeight="1" x14ac:dyDescent="0.45">
      <c r="A37"/>
      <c r="B37" s="16" t="s">
        <v>387</v>
      </c>
      <c r="D37" s="80">
        <f>D16/C16-1</f>
        <v>0.32855970081182173</v>
      </c>
      <c r="E37" s="80">
        <f>E16/D16-1</f>
        <v>0.10010298661174044</v>
      </c>
      <c r="F37" s="80">
        <f>F16/E16-1</f>
        <v>1.2482057043000649E-2</v>
      </c>
      <c r="G37" s="80">
        <f>G16/F16-1</f>
        <v>1.9108672871850363E-3</v>
      </c>
      <c r="K37" s="16"/>
    </row>
    <row r="38" spans="1:11" ht="15" customHeight="1" x14ac:dyDescent="0.45">
      <c r="A38"/>
      <c r="B38" s="16" t="s">
        <v>97</v>
      </c>
      <c r="C38">
        <f>C24-C21</f>
        <v>59.099999999999916</v>
      </c>
      <c r="D38">
        <f>D24-D21</f>
        <v>76.200000000000202</v>
      </c>
      <c r="E38">
        <f>E24-E21</f>
        <v>78.199999999999804</v>
      </c>
      <c r="F38">
        <f>F24-F21</f>
        <v>-98.900000000000261</v>
      </c>
      <c r="G38">
        <f>G24-G21</f>
        <v>-159.59999999999962</v>
      </c>
      <c r="K38"/>
    </row>
    <row r="39" spans="1:11" ht="15" customHeight="1" x14ac:dyDescent="0.45">
      <c r="A39"/>
      <c r="B39" s="16" t="s">
        <v>296</v>
      </c>
      <c r="C39" s="80">
        <f>C38/C16</f>
        <v>2.6954300830064726E-2</v>
      </c>
      <c r="D39" s="80">
        <f>D38/D16</f>
        <v>2.61585993820804E-2</v>
      </c>
      <c r="E39" s="80">
        <f>E38/E16</f>
        <v>2.440242151906628E-2</v>
      </c>
      <c r="F39" s="80">
        <f>F38/F16</f>
        <v>-3.0481415274610204E-2</v>
      </c>
      <c r="G39" s="80">
        <f>G38/G16</f>
        <v>-4.9095607235142003E-2</v>
      </c>
      <c r="K39" s="16"/>
    </row>
    <row r="40" spans="1:11" ht="15" customHeight="1" x14ac:dyDescent="0.45">
      <c r="A40"/>
      <c r="B40" s="16" t="s">
        <v>98</v>
      </c>
      <c r="C40">
        <f>C38+C35</f>
        <v>101.69999999999992</v>
      </c>
      <c r="D40">
        <f>D38+D35</f>
        <v>139.9000000000002</v>
      </c>
      <c r="E40">
        <f>E38+E35</f>
        <v>145.29999999999978</v>
      </c>
      <c r="F40">
        <f>F38+F35</f>
        <v>-30.100000000000264</v>
      </c>
      <c r="G40">
        <f>G38+G35</f>
        <v>-96.999999999999631</v>
      </c>
      <c r="K40"/>
    </row>
    <row r="41" spans="1:11" ht="15" customHeight="1" x14ac:dyDescent="0.45">
      <c r="A41"/>
      <c r="B41" s="16" t="s">
        <v>389</v>
      </c>
      <c r="C41" s="80">
        <f>C40/C16</f>
        <v>4.6383289245644402E-2</v>
      </c>
      <c r="D41" s="80">
        <f>D40/D16</f>
        <v>4.8026089941640988E-2</v>
      </c>
      <c r="E41" s="80">
        <f>E40/E16</f>
        <v>4.5341072208699928E-2</v>
      </c>
      <c r="F41" s="80">
        <f>F40/F16</f>
        <v>-9.2769524748814239E-3</v>
      </c>
      <c r="G41" s="80">
        <f>G40/G16</f>
        <v>-2.9838808908576236E-2</v>
      </c>
      <c r="K41"/>
    </row>
    <row r="42" spans="1:11" ht="15" customHeight="1" x14ac:dyDescent="0.45">
      <c r="A42"/>
      <c r="B42"/>
      <c r="K42"/>
    </row>
    <row r="43" spans="1:11" ht="15" customHeight="1" x14ac:dyDescent="0.45">
      <c r="A43" s="15" t="s">
        <v>72</v>
      </c>
      <c r="B43"/>
      <c r="K43"/>
    </row>
    <row r="44" spans="1:11" ht="15" customHeight="1" x14ac:dyDescent="0.45">
      <c r="A44"/>
      <c r="B44" s="16" t="s">
        <v>390</v>
      </c>
      <c r="K44"/>
    </row>
    <row r="45" spans="1:11" ht="15" customHeight="1" x14ac:dyDescent="0.45">
      <c r="A45"/>
      <c r="B45"/>
      <c r="K45"/>
    </row>
    <row r="46" spans="1:11" ht="15" customHeight="1" x14ac:dyDescent="0.45">
      <c r="A46"/>
      <c r="B46"/>
      <c r="C46" s="70">
        <v>41639</v>
      </c>
      <c r="D46" s="70">
        <v>42004</v>
      </c>
      <c r="E46" s="70">
        <v>42369</v>
      </c>
      <c r="F46" s="70">
        <v>42735</v>
      </c>
      <c r="G46" s="70">
        <v>43100</v>
      </c>
      <c r="K46"/>
    </row>
    <row r="47" spans="1:11" ht="15" customHeight="1" x14ac:dyDescent="0.45">
      <c r="A47"/>
      <c r="B47" s="16" t="s">
        <v>391</v>
      </c>
      <c r="C47" s="67">
        <v>248</v>
      </c>
      <c r="D47" s="67">
        <v>427.1</v>
      </c>
      <c r="E47" s="67">
        <v>428.6</v>
      </c>
      <c r="F47" s="67">
        <v>437</v>
      </c>
      <c r="G47" s="67">
        <v>372.9</v>
      </c>
      <c r="K47"/>
    </row>
    <row r="48" spans="1:11" ht="15" customHeight="1" x14ac:dyDescent="0.45">
      <c r="A48"/>
      <c r="B48" s="16" t="s">
        <v>392</v>
      </c>
      <c r="C48" s="67">
        <v>38.6</v>
      </c>
      <c r="D48" s="67">
        <v>117.3</v>
      </c>
      <c r="E48" s="67">
        <v>91.6</v>
      </c>
      <c r="F48" s="67">
        <v>77</v>
      </c>
      <c r="G48" s="67">
        <v>54.5</v>
      </c>
      <c r="K48"/>
    </row>
    <row r="49" spans="1:11" ht="15" customHeight="1" x14ac:dyDescent="0.45">
      <c r="A49"/>
      <c r="B49" s="16" t="s">
        <v>393</v>
      </c>
      <c r="C49" s="67">
        <v>155.9</v>
      </c>
      <c r="D49" s="67">
        <v>194.7</v>
      </c>
      <c r="E49" s="67">
        <v>218.1</v>
      </c>
      <c r="F49" s="67">
        <v>250.4</v>
      </c>
      <c r="G49" s="67">
        <v>228.6</v>
      </c>
      <c r="K49" s="16"/>
    </row>
    <row r="50" spans="1:11" ht="15" customHeight="1" x14ac:dyDescent="0.45">
      <c r="A50"/>
      <c r="B50" s="16" t="s">
        <v>394</v>
      </c>
      <c r="C50" s="67">
        <v>20.6</v>
      </c>
      <c r="D50" s="67">
        <v>42.7</v>
      </c>
      <c r="E50" s="67">
        <v>40.9</v>
      </c>
      <c r="F50" s="67">
        <v>41.6</v>
      </c>
      <c r="G50" s="67">
        <v>46.5</v>
      </c>
      <c r="K50"/>
    </row>
    <row r="51" spans="1:11" ht="15" customHeight="1" x14ac:dyDescent="0.45">
      <c r="A51"/>
      <c r="B51" s="16" t="s">
        <v>395</v>
      </c>
      <c r="C51" s="67">
        <v>73.900000000000006</v>
      </c>
      <c r="D51" s="67">
        <v>77.2</v>
      </c>
      <c r="E51" s="67">
        <v>91</v>
      </c>
      <c r="F51" s="67">
        <v>85.3</v>
      </c>
      <c r="G51" s="67">
        <v>78.400000000000006</v>
      </c>
      <c r="K51"/>
    </row>
    <row r="52" spans="1:11" ht="15" customHeight="1" x14ac:dyDescent="0.45">
      <c r="A52"/>
      <c r="B52" s="16" t="s">
        <v>407</v>
      </c>
      <c r="C52" s="67">
        <v>0</v>
      </c>
      <c r="D52" s="67">
        <v>0</v>
      </c>
      <c r="E52" s="67">
        <v>17.2</v>
      </c>
      <c r="F52" s="67">
        <v>0</v>
      </c>
      <c r="G52" s="67">
        <v>0</v>
      </c>
      <c r="K52"/>
    </row>
    <row r="53" spans="1:11" ht="15" customHeight="1" x14ac:dyDescent="0.45">
      <c r="A53"/>
      <c r="B53" s="16" t="s">
        <v>396</v>
      </c>
      <c r="C53" s="67">
        <v>21</v>
      </c>
      <c r="D53" s="67">
        <v>1.7</v>
      </c>
      <c r="E53" s="67">
        <v>1.3</v>
      </c>
      <c r="F53" s="67">
        <v>18.600000000000001</v>
      </c>
      <c r="G53" s="67">
        <v>23.4</v>
      </c>
      <c r="K53"/>
    </row>
    <row r="54" spans="1:11" ht="15" customHeight="1" x14ac:dyDescent="0.45">
      <c r="A54"/>
      <c r="B54" s="16" t="s">
        <v>918</v>
      </c>
      <c r="C54">
        <f>SUM(C47:C53)</f>
        <v>558</v>
      </c>
      <c r="D54">
        <f>SUM(D47:D53)</f>
        <v>860.7</v>
      </c>
      <c r="E54">
        <f>SUM(E47:E53)</f>
        <v>888.7</v>
      </c>
      <c r="F54">
        <f>SUM(F47:F53)</f>
        <v>909.9</v>
      </c>
      <c r="G54">
        <f>SUM(G47:G53)</f>
        <v>804.3</v>
      </c>
      <c r="K54"/>
    </row>
    <row r="55" spans="1:11" ht="15" customHeight="1" x14ac:dyDescent="0.45">
      <c r="A55"/>
      <c r="B55" s="16" t="s">
        <v>32</v>
      </c>
      <c r="C55" s="67">
        <v>30.7</v>
      </c>
      <c r="D55" s="67">
        <v>48.6</v>
      </c>
      <c r="E55" s="67">
        <v>40.1</v>
      </c>
      <c r="F55" s="67">
        <v>36.5</v>
      </c>
      <c r="G55" s="67">
        <v>34</v>
      </c>
      <c r="K55"/>
    </row>
    <row r="56" spans="1:11" ht="15" customHeight="1" x14ac:dyDescent="0.45">
      <c r="A56"/>
      <c r="B56" s="16" t="s">
        <v>213</v>
      </c>
      <c r="C56" s="67">
        <v>486.1</v>
      </c>
      <c r="D56" s="67">
        <v>679.4</v>
      </c>
      <c r="E56" s="67">
        <v>774.9</v>
      </c>
      <c r="F56" s="67">
        <v>724.4</v>
      </c>
      <c r="G56" s="67">
        <v>722</v>
      </c>
      <c r="K56"/>
    </row>
    <row r="57" spans="1:11" ht="15" customHeight="1" x14ac:dyDescent="0.45">
      <c r="A57"/>
      <c r="B57" s="16" t="s">
        <v>408</v>
      </c>
      <c r="C57" s="67">
        <v>0</v>
      </c>
      <c r="D57" s="67">
        <v>5.3</v>
      </c>
      <c r="E57" s="67">
        <v>25.1</v>
      </c>
      <c r="F57" s="67">
        <v>67.099999999999994</v>
      </c>
      <c r="G57" s="67">
        <v>0</v>
      </c>
      <c r="K57"/>
    </row>
    <row r="58" spans="1:11" ht="15" customHeight="1" x14ac:dyDescent="0.45">
      <c r="A58"/>
      <c r="B58" s="16" t="s">
        <v>397</v>
      </c>
      <c r="C58" s="67">
        <v>79.7</v>
      </c>
      <c r="D58" s="67">
        <v>82.1</v>
      </c>
      <c r="E58" s="67">
        <v>86.1</v>
      </c>
      <c r="F58" s="67">
        <v>113.3</v>
      </c>
      <c r="G58" s="67">
        <v>155.1</v>
      </c>
      <c r="K58"/>
    </row>
    <row r="59" spans="1:11" ht="15" customHeight="1" x14ac:dyDescent="0.45">
      <c r="A59"/>
      <c r="B59" s="16" t="s">
        <v>209</v>
      </c>
      <c r="C59">
        <f>SUM(C54:C58)</f>
        <v>1154.5000000000002</v>
      </c>
      <c r="D59">
        <f>SUM(D54:D58)</f>
        <v>1676.1</v>
      </c>
      <c r="E59">
        <f>SUM(E54:E58)</f>
        <v>1814.8999999999999</v>
      </c>
      <c r="F59">
        <f>SUM(F54:F58)</f>
        <v>1851.1999999999998</v>
      </c>
      <c r="G59">
        <f>SUM(G54:G58)</f>
        <v>1715.3999999999999</v>
      </c>
      <c r="K59"/>
    </row>
    <row r="60" spans="1:11" ht="15" customHeight="1" x14ac:dyDescent="0.45">
      <c r="A60"/>
      <c r="B60" s="16" t="s">
        <v>398</v>
      </c>
      <c r="C60" s="67">
        <v>27.4</v>
      </c>
      <c r="D60" s="67">
        <v>5.5</v>
      </c>
      <c r="E60" s="67">
        <v>15.5</v>
      </c>
      <c r="F60" s="67">
        <v>11.1</v>
      </c>
      <c r="G60" s="67">
        <v>6.8</v>
      </c>
      <c r="K60"/>
    </row>
    <row r="61" spans="1:11" ht="15" customHeight="1" x14ac:dyDescent="0.45">
      <c r="A61"/>
      <c r="B61" s="16" t="s">
        <v>214</v>
      </c>
      <c r="C61" s="67">
        <v>592.29999999999995</v>
      </c>
      <c r="D61" s="67">
        <v>754</v>
      </c>
      <c r="E61" s="67">
        <v>788</v>
      </c>
      <c r="F61" s="67">
        <v>899.3</v>
      </c>
      <c r="G61" s="67">
        <v>798.6</v>
      </c>
      <c r="K61"/>
    </row>
    <row r="62" spans="1:11" ht="15" customHeight="1" x14ac:dyDescent="0.45">
      <c r="A62"/>
      <c r="B62" s="16" t="s">
        <v>399</v>
      </c>
      <c r="C62" s="67">
        <v>5.3</v>
      </c>
      <c r="D62" s="67">
        <v>1</v>
      </c>
      <c r="E62" s="67">
        <v>6.1</v>
      </c>
      <c r="F62" s="67">
        <v>2.6</v>
      </c>
      <c r="G62" s="67">
        <v>7.2</v>
      </c>
      <c r="K62"/>
    </row>
    <row r="63" spans="1:11" ht="15" customHeight="1" x14ac:dyDescent="0.45">
      <c r="A63"/>
      <c r="B63" s="16" t="s">
        <v>400</v>
      </c>
      <c r="C63" s="67">
        <v>18.100000000000001</v>
      </c>
      <c r="D63" s="67">
        <v>35.700000000000003</v>
      </c>
      <c r="E63" s="67">
        <v>27.4</v>
      </c>
      <c r="F63" s="67">
        <v>21.8</v>
      </c>
      <c r="G63" s="67">
        <v>50.2</v>
      </c>
      <c r="K63"/>
    </row>
    <row r="64" spans="1:11" ht="15" customHeight="1" x14ac:dyDescent="0.45">
      <c r="A64"/>
      <c r="B64" s="16" t="s">
        <v>312</v>
      </c>
      <c r="C64">
        <f>SUM(C60:C63)</f>
        <v>643.09999999999991</v>
      </c>
      <c r="D64">
        <f>SUM(D60:D63)</f>
        <v>796.2</v>
      </c>
      <c r="E64">
        <f>SUM(E60:E63)</f>
        <v>837</v>
      </c>
      <c r="F64">
        <f>SUM(F60:F63)</f>
        <v>934.8</v>
      </c>
      <c r="G64">
        <f>SUM(G60:G63)</f>
        <v>862.80000000000007</v>
      </c>
      <c r="K64"/>
    </row>
    <row r="65" spans="1:11" ht="15" customHeight="1" x14ac:dyDescent="0.45">
      <c r="A65"/>
      <c r="B65" s="16" t="s">
        <v>401</v>
      </c>
      <c r="C65" s="67">
        <v>90</v>
      </c>
      <c r="D65" s="67">
        <v>362.8</v>
      </c>
      <c r="E65" s="67">
        <v>406.1</v>
      </c>
      <c r="F65" s="67">
        <v>449.4</v>
      </c>
      <c r="G65" s="67">
        <v>647.5</v>
      </c>
      <c r="K65"/>
    </row>
    <row r="66" spans="1:11" ht="15" customHeight="1" x14ac:dyDescent="0.45">
      <c r="A66"/>
      <c r="B66" s="16" t="s">
        <v>214</v>
      </c>
      <c r="C66" s="67">
        <v>13.5</v>
      </c>
      <c r="D66" s="67">
        <v>14.8</v>
      </c>
      <c r="E66" s="67">
        <v>15.9</v>
      </c>
      <c r="F66" s="67">
        <v>16.600000000000001</v>
      </c>
      <c r="G66" s="67">
        <v>14.5</v>
      </c>
      <c r="K66"/>
    </row>
    <row r="67" spans="1:11" ht="15" customHeight="1" x14ac:dyDescent="0.45">
      <c r="A67"/>
      <c r="B67" s="16" t="s">
        <v>402</v>
      </c>
      <c r="C67" s="67">
        <v>29.9</v>
      </c>
      <c r="D67" s="67">
        <v>33.5</v>
      </c>
      <c r="E67" s="67">
        <v>43.3</v>
      </c>
      <c r="F67" s="67">
        <v>42.9</v>
      </c>
      <c r="G67" s="67">
        <v>80</v>
      </c>
      <c r="K67"/>
    </row>
    <row r="68" spans="1:11" ht="15" customHeight="1" x14ac:dyDescent="0.45">
      <c r="A68"/>
      <c r="B68" s="16" t="s">
        <v>403</v>
      </c>
      <c r="C68" s="67">
        <v>7.7</v>
      </c>
      <c r="D68" s="67">
        <v>4.8</v>
      </c>
      <c r="E68" s="67">
        <v>0</v>
      </c>
      <c r="F68" s="67">
        <v>52.4</v>
      </c>
      <c r="G68" s="67">
        <v>48</v>
      </c>
      <c r="K68"/>
    </row>
    <row r="69" spans="1:11" ht="15" customHeight="1" x14ac:dyDescent="0.45">
      <c r="A69"/>
      <c r="B69" s="16" t="s">
        <v>314</v>
      </c>
      <c r="C69">
        <f>SUM(C64:C68)</f>
        <v>784.19999999999993</v>
      </c>
      <c r="D69">
        <f>SUM(D64:D68)</f>
        <v>1212.0999999999999</v>
      </c>
      <c r="E69">
        <f>SUM(E64:E68)</f>
        <v>1302.3</v>
      </c>
      <c r="F69">
        <f>SUM(F64:F68)</f>
        <v>1496.1</v>
      </c>
      <c r="G69">
        <f>SUM(G64:G68)</f>
        <v>1652.8000000000002</v>
      </c>
      <c r="K69"/>
    </row>
    <row r="70" spans="1:11" ht="15" customHeight="1" x14ac:dyDescent="0.45">
      <c r="A70"/>
      <c r="B70" s="16" t="s">
        <v>315</v>
      </c>
      <c r="C70" s="67">
        <f>12.9+115+0.1+49+2.4+22.3+-2.9</f>
        <v>198.8</v>
      </c>
      <c r="D70" s="67">
        <f>14.4+115.3+0.1+121.4+3.9+35-3</f>
        <v>287.10000000000002</v>
      </c>
      <c r="E70" s="67">
        <f>14.5+116.5+0.1+121.4+2+42.3-1.5</f>
        <v>295.3</v>
      </c>
      <c r="F70" s="67">
        <f>14.6+116.5+0.1+121.4+-8.8+109.7-1.9</f>
        <v>351.6</v>
      </c>
      <c r="G70" s="67">
        <f>14.6+116.5+0.1+121.4+-5.9+74.5-1.9</f>
        <v>319.3</v>
      </c>
      <c r="K70"/>
    </row>
    <row r="71" spans="1:11" ht="15" customHeight="1" x14ac:dyDescent="0.45">
      <c r="A71"/>
      <c r="B71" s="16" t="s">
        <v>404</v>
      </c>
      <c r="C71" s="67">
        <v>161.6</v>
      </c>
      <c r="D71" s="67">
        <v>165.3</v>
      </c>
      <c r="E71" s="67">
        <v>205.2</v>
      </c>
      <c r="F71" s="67">
        <v>-9.4</v>
      </c>
      <c r="G71" s="67">
        <v>-272</v>
      </c>
      <c r="K71"/>
    </row>
    <row r="72" spans="1:11" ht="15" customHeight="1" x14ac:dyDescent="0.45">
      <c r="A72"/>
      <c r="B72" s="16" t="s">
        <v>405</v>
      </c>
      <c r="C72" s="67">
        <v>9.9</v>
      </c>
      <c r="D72" s="67">
        <v>11.6</v>
      </c>
      <c r="E72" s="67">
        <v>12.1</v>
      </c>
      <c r="F72" s="67">
        <v>12.9</v>
      </c>
      <c r="G72" s="67">
        <v>15.3</v>
      </c>
      <c r="K72"/>
    </row>
    <row r="73" spans="1:11" ht="15" customHeight="1" x14ac:dyDescent="0.45">
      <c r="A73"/>
      <c r="B73" s="16" t="s">
        <v>406</v>
      </c>
      <c r="C73">
        <f>SUM(C70:C72)</f>
        <v>370.29999999999995</v>
      </c>
      <c r="D73">
        <f>SUM(D70:D72)</f>
        <v>464.00000000000006</v>
      </c>
      <c r="E73">
        <f>SUM(E70:E72)</f>
        <v>512.6</v>
      </c>
      <c r="F73">
        <f>SUM(F70:F72)</f>
        <v>355.1</v>
      </c>
      <c r="G73">
        <f>SUM(G70:G72)</f>
        <v>62.600000000000009</v>
      </c>
      <c r="K73"/>
    </row>
    <row r="74" spans="1:11" ht="15" customHeight="1" x14ac:dyDescent="0.45">
      <c r="A74"/>
      <c r="B74" s="16" t="s">
        <v>317</v>
      </c>
      <c r="C74">
        <f>C73+C69</f>
        <v>1154.5</v>
      </c>
      <c r="D74">
        <f>D73+D69</f>
        <v>1676.1</v>
      </c>
      <c r="E74">
        <f>E73+E69</f>
        <v>1814.9</v>
      </c>
      <c r="F74">
        <f>F73+F69</f>
        <v>1851.1999999999998</v>
      </c>
      <c r="G74">
        <f>G73+G69</f>
        <v>1715.4</v>
      </c>
      <c r="K74"/>
    </row>
    <row r="75" spans="1:11" customFormat="1" ht="15" customHeight="1" x14ac:dyDescent="0.45"/>
    <row r="76" spans="1:11" ht="15" customHeight="1" x14ac:dyDescent="0.45">
      <c r="A76"/>
      <c r="B76" s="16" t="s">
        <v>133</v>
      </c>
      <c r="C76">
        <f>C74-C59</f>
        <v>0</v>
      </c>
      <c r="D76">
        <f>D74-D59</f>
        <v>0</v>
      </c>
      <c r="E76">
        <f>E74-E59</f>
        <v>0</v>
      </c>
      <c r="F76">
        <f>F74-F59</f>
        <v>0</v>
      </c>
      <c r="G76">
        <f>G74-G59</f>
        <v>0</v>
      </c>
      <c r="K76"/>
    </row>
    <row r="77" spans="1:11" customFormat="1" ht="15" customHeight="1" x14ac:dyDescent="0.45"/>
    <row r="78" spans="1:11" ht="15" customHeight="1" x14ac:dyDescent="0.45">
      <c r="A78"/>
      <c r="B78" s="16" t="s">
        <v>409</v>
      </c>
      <c r="C78">
        <f>SUM(C60,C65)</f>
        <v>117.4</v>
      </c>
      <c r="D78">
        <f>SUM(D60,D65)</f>
        <v>368.3</v>
      </c>
      <c r="E78">
        <f>SUM(E60,E65)</f>
        <v>421.6</v>
      </c>
      <c r="F78">
        <f>SUM(F60,F65)</f>
        <v>460.5</v>
      </c>
      <c r="G78">
        <f>SUM(G60,G65)</f>
        <v>654.29999999999995</v>
      </c>
      <c r="K78"/>
    </row>
    <row r="79" spans="1:11" ht="15" customHeight="1" x14ac:dyDescent="0.45">
      <c r="A79"/>
      <c r="B79" s="16" t="s">
        <v>175</v>
      </c>
      <c r="C79">
        <f>C78-C58</f>
        <v>37.700000000000003</v>
      </c>
      <c r="D79">
        <f>D78-D58</f>
        <v>286.20000000000005</v>
      </c>
      <c r="E79">
        <f>E78-E58</f>
        <v>335.5</v>
      </c>
      <c r="F79">
        <f>F78-F58</f>
        <v>347.2</v>
      </c>
      <c r="G79">
        <f>G78-G58</f>
        <v>499.19999999999993</v>
      </c>
      <c r="K79"/>
    </row>
    <row r="80" spans="1:11" ht="15" customHeight="1" x14ac:dyDescent="0.45">
      <c r="A80"/>
      <c r="B80" s="16" t="s">
        <v>413</v>
      </c>
      <c r="D80" s="80">
        <f t="shared" ref="D80:G81" si="0">D78/C78-1</f>
        <v>2.1371379897785348</v>
      </c>
      <c r="E80" s="80">
        <f t="shared" si="0"/>
        <v>0.1447189790931307</v>
      </c>
      <c r="F80" s="80">
        <f t="shared" si="0"/>
        <v>9.2267552182163204E-2</v>
      </c>
      <c r="G80" s="80">
        <f t="shared" si="0"/>
        <v>0.42084690553745929</v>
      </c>
      <c r="K80"/>
    </row>
    <row r="81" spans="1:11" ht="15" customHeight="1" x14ac:dyDescent="0.45">
      <c r="A81"/>
      <c r="B81" s="16" t="s">
        <v>414</v>
      </c>
      <c r="D81" s="80">
        <f t="shared" si="0"/>
        <v>6.5915119363395229</v>
      </c>
      <c r="E81" s="80">
        <f t="shared" si="0"/>
        <v>0.17225716282320036</v>
      </c>
      <c r="F81" s="80">
        <f t="shared" si="0"/>
        <v>3.4873323397913492E-2</v>
      </c>
      <c r="G81" s="80">
        <f t="shared" si="0"/>
        <v>0.43778801843317949</v>
      </c>
      <c r="K81" s="16"/>
    </row>
    <row r="82" spans="1:11" ht="15" customHeight="1" x14ac:dyDescent="0.45">
      <c r="A82"/>
      <c r="B82" s="16" t="s">
        <v>98</v>
      </c>
      <c r="C82">
        <f>C40</f>
        <v>101.69999999999992</v>
      </c>
      <c r="D82">
        <f>D40</f>
        <v>139.9000000000002</v>
      </c>
      <c r="E82">
        <f>E40</f>
        <v>145.29999999999978</v>
      </c>
      <c r="F82">
        <f>F40</f>
        <v>-30.100000000000264</v>
      </c>
      <c r="G82">
        <f>G40</f>
        <v>-96.999999999999631</v>
      </c>
      <c r="K82"/>
    </row>
    <row r="83" spans="1:11" ht="15" customHeight="1" x14ac:dyDescent="0.45">
      <c r="A83"/>
      <c r="B83" s="16" t="s">
        <v>410</v>
      </c>
      <c r="C83">
        <f>C78/C82</f>
        <v>1.1543756145526067</v>
      </c>
      <c r="D83">
        <f>D78/D82</f>
        <v>2.6325947105075014</v>
      </c>
      <c r="E83">
        <f>E78/E82</f>
        <v>2.9015829318651112</v>
      </c>
      <c r="F83">
        <f>F78/F82</f>
        <v>-15.299003322259003</v>
      </c>
      <c r="G83">
        <f>G78/G82</f>
        <v>-6.7453608247422929</v>
      </c>
      <c r="K83"/>
    </row>
    <row r="84" spans="1:11" ht="15" customHeight="1" x14ac:dyDescent="0.45">
      <c r="A84"/>
      <c r="B84"/>
      <c r="K84"/>
    </row>
    <row r="85" spans="1:11" ht="15" customHeight="1" x14ac:dyDescent="0.45">
      <c r="A85"/>
      <c r="B85" s="16" t="s">
        <v>411</v>
      </c>
      <c r="C85">
        <f>C30*-1</f>
        <v>9.1999999999999993</v>
      </c>
      <c r="D85">
        <f>D30*-1</f>
        <v>16</v>
      </c>
      <c r="E85">
        <f>E30*-1</f>
        <v>21.1</v>
      </c>
      <c r="F85">
        <f>F30*-1</f>
        <v>23.3</v>
      </c>
      <c r="G85">
        <f>G30*-1</f>
        <v>28.4</v>
      </c>
      <c r="K85" s="16"/>
    </row>
    <row r="86" spans="1:11" ht="15" customHeight="1" x14ac:dyDescent="0.45">
      <c r="A86"/>
      <c r="B86" s="16" t="s">
        <v>412</v>
      </c>
      <c r="C86">
        <f>C83/C85</f>
        <v>0.12547561027745727</v>
      </c>
      <c r="D86">
        <f>D83/D85</f>
        <v>0.16453716940671884</v>
      </c>
      <c r="E86">
        <f>E83/E85</f>
        <v>0.13751577876137966</v>
      </c>
      <c r="F86">
        <f>F83/F85</f>
        <v>-0.65660958464630914</v>
      </c>
      <c r="G86">
        <f>G83/G85</f>
        <v>-0.23751270509655961</v>
      </c>
      <c r="K86"/>
    </row>
    <row r="87" spans="1:11" ht="15" customHeight="1" x14ac:dyDescent="0.45">
      <c r="A87"/>
      <c r="B87"/>
      <c r="K87"/>
    </row>
    <row r="88" spans="1:11" ht="15" customHeight="1" x14ac:dyDescent="0.45">
      <c r="A88" s="15" t="s">
        <v>76</v>
      </c>
      <c r="B88"/>
      <c r="K88"/>
    </row>
    <row r="89" spans="1:11" ht="15" customHeight="1" x14ac:dyDescent="0.45">
      <c r="A89"/>
      <c r="B89" s="16" t="s">
        <v>919</v>
      </c>
      <c r="K89"/>
    </row>
    <row r="90" spans="1:11" ht="15" customHeight="1" x14ac:dyDescent="0.45">
      <c r="A90"/>
      <c r="B90"/>
      <c r="K90"/>
    </row>
    <row r="91" spans="1:11" ht="15" customHeight="1" x14ac:dyDescent="0.45">
      <c r="A91"/>
      <c r="B91"/>
      <c r="C91" s="70">
        <v>41639</v>
      </c>
      <c r="D91" s="70">
        <v>42004</v>
      </c>
      <c r="E91" s="70">
        <v>42369</v>
      </c>
      <c r="F91" s="70">
        <v>42735</v>
      </c>
      <c r="G91" s="70">
        <v>43100</v>
      </c>
      <c r="K91"/>
    </row>
    <row r="92" spans="1:11" ht="15" customHeight="1" x14ac:dyDescent="0.45">
      <c r="A92"/>
      <c r="B92" s="16" t="s">
        <v>71</v>
      </c>
      <c r="C92">
        <f>C73</f>
        <v>370.29999999999995</v>
      </c>
      <c r="D92">
        <f>D73</f>
        <v>464.00000000000006</v>
      </c>
      <c r="E92">
        <f>E73</f>
        <v>512.6</v>
      </c>
      <c r="F92">
        <f>F73</f>
        <v>355.1</v>
      </c>
      <c r="G92">
        <f>G73</f>
        <v>62.600000000000009</v>
      </c>
      <c r="K92"/>
    </row>
    <row r="93" spans="1:11" ht="15" customHeight="1" x14ac:dyDescent="0.45">
      <c r="A93"/>
      <c r="B93" s="16" t="s">
        <v>175</v>
      </c>
      <c r="C93">
        <f>C79</f>
        <v>37.700000000000003</v>
      </c>
      <c r="D93">
        <f>D79</f>
        <v>286.20000000000005</v>
      </c>
      <c r="E93">
        <f>E79</f>
        <v>335.5</v>
      </c>
      <c r="F93">
        <f>F79</f>
        <v>347.2</v>
      </c>
      <c r="G93">
        <f>G79</f>
        <v>499.19999999999993</v>
      </c>
      <c r="K93"/>
    </row>
    <row r="94" spans="1:11" ht="15" customHeight="1" x14ac:dyDescent="0.45">
      <c r="A94"/>
      <c r="B94" s="16" t="s">
        <v>420</v>
      </c>
      <c r="C94">
        <f>SUM(C92:C93)</f>
        <v>407.99999999999994</v>
      </c>
      <c r="D94">
        <f>SUM(D92:D93)</f>
        <v>750.2</v>
      </c>
      <c r="E94">
        <f>SUM(E92:E93)</f>
        <v>848.1</v>
      </c>
      <c r="F94">
        <f>SUM(F92:F93)</f>
        <v>702.3</v>
      </c>
      <c r="G94">
        <f>SUM(G92:G93)</f>
        <v>561.79999999999995</v>
      </c>
      <c r="K94"/>
    </row>
    <row r="95" spans="1:11" ht="15" customHeight="1" x14ac:dyDescent="0.45">
      <c r="A95"/>
      <c r="B95" s="16" t="s">
        <v>97</v>
      </c>
      <c r="C95">
        <f>C38</f>
        <v>59.099999999999916</v>
      </c>
      <c r="D95">
        <f>D38</f>
        <v>76.200000000000202</v>
      </c>
      <c r="E95">
        <f>E38</f>
        <v>78.199999999999804</v>
      </c>
      <c r="F95">
        <f>F38</f>
        <v>-98.900000000000261</v>
      </c>
      <c r="G95">
        <f>G38</f>
        <v>-159.59999999999962</v>
      </c>
      <c r="K95"/>
    </row>
    <row r="96" spans="1:11" ht="15" customHeight="1" x14ac:dyDescent="0.45">
      <c r="A96"/>
      <c r="B96" s="16" t="s">
        <v>187</v>
      </c>
      <c r="C96">
        <f>C95*(1+C32/C31)</f>
        <v>47.731277533039567</v>
      </c>
      <c r="D96">
        <f>D95*(1+D32/D31)</f>
        <v>61.427786752827352</v>
      </c>
      <c r="E96">
        <f>E95*(1+E32/E31)</f>
        <v>69.052075471697918</v>
      </c>
      <c r="F96">
        <f>F95*(1+F32/F31)</f>
        <v>-106.78257173220004</v>
      </c>
      <c r="G96">
        <f>G95*(1+G32/G31)</f>
        <v>-166.13027823240549</v>
      </c>
      <c r="K96"/>
    </row>
    <row r="97" spans="1:11" ht="15" customHeight="1" x14ac:dyDescent="0.45">
      <c r="A97"/>
      <c r="B97" s="16" t="s">
        <v>189</v>
      </c>
      <c r="C97" s="80">
        <f>C96/C94</f>
        <v>0.11698842532607738</v>
      </c>
      <c r="D97" s="80">
        <f>D96/D94</f>
        <v>8.1881880502302523E-2</v>
      </c>
      <c r="E97" s="80">
        <f>E96/E94</f>
        <v>8.1419732899066052E-2</v>
      </c>
      <c r="F97" s="80">
        <f>F96/F94</f>
        <v>-0.152046948216147</v>
      </c>
      <c r="G97" s="80">
        <f>G96/G94</f>
        <v>-0.29571071241083213</v>
      </c>
      <c r="K97" s="16"/>
    </row>
    <row r="98" spans="1:11" ht="15" customHeight="1" x14ac:dyDescent="0.45">
      <c r="A98"/>
      <c r="B98"/>
      <c r="K98"/>
    </row>
    <row r="99" spans="1:11" ht="15" customHeight="1" x14ac:dyDescent="0.45">
      <c r="A99"/>
      <c r="B99" s="16" t="s">
        <v>421</v>
      </c>
      <c r="C99" s="80">
        <f>C16/C94</f>
        <v>5.3740196078431381</v>
      </c>
      <c r="D99" s="80">
        <f>D16/D94</f>
        <v>3.8829645427885895</v>
      </c>
      <c r="E99" s="80">
        <f>E16/E94</f>
        <v>3.7785638486027588</v>
      </c>
      <c r="F99" s="80">
        <f>F16/F94</f>
        <v>4.6199629787839953</v>
      </c>
      <c r="G99" s="80">
        <f>G16/G94</f>
        <v>5.7864008543965832</v>
      </c>
      <c r="K99" s="16"/>
    </row>
    <row r="100" spans="1:11" ht="15" customHeight="1" x14ac:dyDescent="0.45">
      <c r="A100"/>
      <c r="B100" s="16" t="s">
        <v>422</v>
      </c>
      <c r="C100" s="80">
        <f>C96/C16</f>
        <v>2.1769259113855501E-2</v>
      </c>
      <c r="D100" s="80">
        <f>D96/D16</f>
        <v>2.1087465414633487E-2</v>
      </c>
      <c r="E100" s="80">
        <f>E96/E16</f>
        <v>2.1547798624383049E-2</v>
      </c>
      <c r="F100" s="80">
        <f>F96/F16</f>
        <v>-3.2910858574924505E-2</v>
      </c>
      <c r="G100" s="80">
        <f>G96/G16</f>
        <v>-5.1104429135106891E-2</v>
      </c>
      <c r="K100" s="16"/>
    </row>
    <row r="101" spans="1:11" ht="15" customHeight="1" x14ac:dyDescent="0.45">
      <c r="A101"/>
      <c r="B101"/>
      <c r="K101"/>
    </row>
    <row r="102" spans="1:11" ht="15" customHeight="1" x14ac:dyDescent="0.45">
      <c r="A102" s="15" t="s">
        <v>79</v>
      </c>
      <c r="B102"/>
      <c r="K102"/>
    </row>
    <row r="103" spans="1:11" ht="15" customHeight="1" x14ac:dyDescent="0.45">
      <c r="A103"/>
      <c r="B103" s="16" t="s">
        <v>423</v>
      </c>
      <c r="K103"/>
    </row>
    <row r="104" spans="1:11" ht="15" customHeight="1" x14ac:dyDescent="0.45">
      <c r="A104"/>
      <c r="B104" s="16" t="s">
        <v>424</v>
      </c>
      <c r="K104"/>
    </row>
    <row r="105" spans="1:11" ht="15" customHeight="1" x14ac:dyDescent="0.45">
      <c r="A105"/>
      <c r="B105" s="16" t="s">
        <v>427</v>
      </c>
      <c r="K105"/>
    </row>
    <row r="106" spans="1:11" ht="15" customHeight="1" x14ac:dyDescent="0.45">
      <c r="A106"/>
      <c r="B106"/>
      <c r="K106"/>
    </row>
    <row r="107" spans="1:11" ht="15" customHeight="1" x14ac:dyDescent="0.45">
      <c r="A107"/>
      <c r="B107"/>
      <c r="C107" s="70">
        <v>42735</v>
      </c>
      <c r="D107" s="70">
        <v>43100</v>
      </c>
      <c r="K107"/>
    </row>
    <row r="108" spans="1:11" ht="15" customHeight="1" x14ac:dyDescent="0.45">
      <c r="A108"/>
      <c r="B108" s="16" t="s">
        <v>425</v>
      </c>
      <c r="C108" s="80">
        <f>$E$97</f>
        <v>8.1419732899066052E-2</v>
      </c>
      <c r="D108" s="80">
        <f>$E$97</f>
        <v>8.1419732899066052E-2</v>
      </c>
      <c r="K108"/>
    </row>
    <row r="109" spans="1:11" ht="15" customHeight="1" x14ac:dyDescent="0.45">
      <c r="A109"/>
      <c r="B109" s="16" t="s">
        <v>432</v>
      </c>
      <c r="C109" s="80">
        <f>F99</f>
        <v>4.6199629787839953</v>
      </c>
      <c r="D109" s="80">
        <f>G99</f>
        <v>5.7864008543965832</v>
      </c>
      <c r="K109"/>
    </row>
    <row r="110" spans="1:11" ht="15" customHeight="1" x14ac:dyDescent="0.45">
      <c r="A110"/>
      <c r="B110" s="16" t="s">
        <v>426</v>
      </c>
      <c r="C110" s="80">
        <f>C108/C109</f>
        <v>1.7623460030516579E-2</v>
      </c>
      <c r="D110" s="80">
        <f>D108/D109</f>
        <v>1.407087668964418E-2</v>
      </c>
      <c r="K110"/>
    </row>
    <row r="111" spans="1:11" ht="15" customHeight="1" x14ac:dyDescent="0.45">
      <c r="A111"/>
      <c r="B111"/>
      <c r="K111"/>
    </row>
    <row r="112" spans="1:11" ht="15" customHeight="1" x14ac:dyDescent="0.45">
      <c r="A112"/>
      <c r="B112" s="16" t="s">
        <v>65</v>
      </c>
      <c r="C112">
        <f>F16</f>
        <v>3244.6</v>
      </c>
      <c r="D112">
        <f>G16</f>
        <v>3250.8</v>
      </c>
      <c r="K112"/>
    </row>
    <row r="113" spans="1:11" ht="15" customHeight="1" x14ac:dyDescent="0.45">
      <c r="A113"/>
      <c r="B113" s="16" t="s">
        <v>428</v>
      </c>
      <c r="C113">
        <f>C110*C112</f>
        <v>57.181078415014092</v>
      </c>
      <c r="D113">
        <f>D110*D112</f>
        <v>45.741605942695301</v>
      </c>
      <c r="K113"/>
    </row>
    <row r="114" spans="1:11" ht="15" customHeight="1" x14ac:dyDescent="0.45">
      <c r="A114"/>
      <c r="B114" s="16" t="s">
        <v>519</v>
      </c>
      <c r="C114" s="84">
        <v>0.2</v>
      </c>
      <c r="D114" s="84">
        <v>0.2</v>
      </c>
      <c r="K114"/>
    </row>
    <row r="115" spans="1:11" ht="15" customHeight="1" x14ac:dyDescent="0.45">
      <c r="A115"/>
      <c r="B115" s="16" t="s">
        <v>429</v>
      </c>
      <c r="C115">
        <f>+C113/(1-C114)</f>
        <v>71.476348018767609</v>
      </c>
      <c r="D115">
        <f>+D113/(1-D114)</f>
        <v>57.177007428369123</v>
      </c>
      <c r="K115"/>
    </row>
    <row r="116" spans="1:11" ht="15" customHeight="1" x14ac:dyDescent="0.45">
      <c r="A116"/>
      <c r="B116" s="16" t="s">
        <v>430</v>
      </c>
      <c r="C116">
        <f>F38</f>
        <v>-98.900000000000261</v>
      </c>
      <c r="D116">
        <f>G38</f>
        <v>-159.59999999999962</v>
      </c>
      <c r="K116"/>
    </row>
    <row r="117" spans="1:11" ht="15" customHeight="1" x14ac:dyDescent="0.45">
      <c r="A117"/>
      <c r="B117" s="16" t="s">
        <v>431</v>
      </c>
      <c r="C117">
        <f>C115-C116</f>
        <v>170.37634801876789</v>
      </c>
      <c r="D117">
        <f>D115-D116</f>
        <v>216.77700742836873</v>
      </c>
      <c r="K117" s="16"/>
    </row>
    <row r="118" spans="1:11" ht="15" customHeight="1" x14ac:dyDescent="0.45">
      <c r="A118"/>
      <c r="B118"/>
      <c r="K118"/>
    </row>
    <row r="119" spans="1:11" ht="15" customHeight="1" x14ac:dyDescent="0.45">
      <c r="A119" s="15" t="s">
        <v>116</v>
      </c>
      <c r="B119"/>
      <c r="K119"/>
    </row>
    <row r="120" spans="1:11" ht="15" customHeight="1" x14ac:dyDescent="0.45">
      <c r="A120"/>
      <c r="B120"/>
      <c r="K120"/>
    </row>
    <row r="121" spans="1:11" ht="15" customHeight="1" x14ac:dyDescent="0.45">
      <c r="A121"/>
      <c r="B121"/>
      <c r="K121"/>
    </row>
    <row r="122" spans="1:11" ht="15" customHeight="1" x14ac:dyDescent="0.45">
      <c r="A122"/>
      <c r="B122"/>
      <c r="K122"/>
    </row>
    <row r="123" spans="1:11" ht="15" customHeight="1" x14ac:dyDescent="0.45">
      <c r="A123"/>
      <c r="B123"/>
      <c r="K123"/>
    </row>
    <row r="124" spans="1:11" ht="15" customHeight="1" x14ac:dyDescent="0.45">
      <c r="A124"/>
      <c r="B124"/>
      <c r="K124"/>
    </row>
    <row r="125" spans="1:11" ht="15" customHeight="1" x14ac:dyDescent="0.45">
      <c r="A125"/>
      <c r="B125"/>
      <c r="K125"/>
    </row>
    <row r="126" spans="1:11" ht="15" customHeight="1" x14ac:dyDescent="0.45">
      <c r="A126"/>
      <c r="B126"/>
      <c r="K126"/>
    </row>
    <row r="127" spans="1:11" ht="15" customHeight="1" x14ac:dyDescent="0.45">
      <c r="A127"/>
      <c r="B127"/>
      <c r="K127"/>
    </row>
    <row r="128" spans="1:11" ht="15" customHeight="1" x14ac:dyDescent="0.45">
      <c r="A128"/>
      <c r="B128"/>
      <c r="K128"/>
    </row>
    <row r="129" customFormat="1" ht="15" customHeight="1" x14ac:dyDescent="0.45"/>
    <row r="130" customFormat="1" ht="15" customHeight="1" x14ac:dyDescent="0.45"/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62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9D9E7-7195-4D19-A401-F329FCB1B5CF}">
  <sheetPr>
    <pageSetUpPr fitToPage="1"/>
  </sheetPr>
  <dimension ref="A1:N169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3.796875" style="16" customWidth="1"/>
    <col min="3" max="3" width="9.53125" customWidth="1"/>
    <col min="4" max="5" width="9.33203125" customWidth="1"/>
    <col min="6" max="8" width="11" customWidth="1"/>
    <col min="11" max="11" width="9.1328125" style="16"/>
  </cols>
  <sheetData>
    <row r="1" spans="1:14" s="51" customFormat="1" ht="45" customHeight="1" x14ac:dyDescent="0.85">
      <c r="A1" s="5" t="str">
        <f>Welcome!A2</f>
        <v>Forensic Accounting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37" customFormat="1" ht="30" customHeight="1" x14ac:dyDescent="0.65">
      <c r="A2" s="14" t="s">
        <v>192</v>
      </c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/>
      <c r="B3"/>
      <c r="K3"/>
    </row>
    <row r="4" spans="1:14" ht="15" customHeight="1" x14ac:dyDescent="0.45">
      <c r="A4" s="15" t="s">
        <v>66</v>
      </c>
      <c r="B4"/>
      <c r="K4"/>
    </row>
    <row r="5" spans="1:14" ht="15" customHeight="1" x14ac:dyDescent="0.45">
      <c r="A5"/>
      <c r="B5" s="16" t="s">
        <v>299</v>
      </c>
      <c r="K5"/>
    </row>
    <row r="6" spans="1:14" ht="15" customHeight="1" x14ac:dyDescent="0.45">
      <c r="A6"/>
      <c r="B6" s="16" t="s">
        <v>298</v>
      </c>
      <c r="K6"/>
    </row>
    <row r="7" spans="1:14" ht="15" customHeight="1" x14ac:dyDescent="0.45">
      <c r="A7"/>
      <c r="B7"/>
      <c r="K7"/>
    </row>
    <row r="8" spans="1:14" ht="15" customHeight="1" x14ac:dyDescent="0.45">
      <c r="A8"/>
      <c r="B8"/>
      <c r="C8" s="70">
        <v>41729</v>
      </c>
      <c r="D8" s="70">
        <v>42094</v>
      </c>
      <c r="E8" s="70">
        <v>42460</v>
      </c>
      <c r="F8" s="70">
        <v>42825</v>
      </c>
      <c r="G8" s="70">
        <v>43190</v>
      </c>
      <c r="H8" s="70">
        <v>43373</v>
      </c>
      <c r="K8"/>
    </row>
    <row r="9" spans="1:14" ht="15" customHeight="1" x14ac:dyDescent="0.45">
      <c r="A9"/>
      <c r="B9" s="16" t="s">
        <v>65</v>
      </c>
      <c r="C9" s="67">
        <v>620.5</v>
      </c>
      <c r="D9" s="67">
        <v>574.1</v>
      </c>
      <c r="E9" s="67">
        <v>623.79999999999995</v>
      </c>
      <c r="F9" s="67">
        <v>707.4</v>
      </c>
      <c r="G9" s="67">
        <v>752.6</v>
      </c>
      <c r="H9" s="67">
        <v>743.3</v>
      </c>
      <c r="K9"/>
    </row>
    <row r="10" spans="1:14" ht="15" customHeight="1" x14ac:dyDescent="0.45">
      <c r="A10"/>
      <c r="B10" s="16" t="s">
        <v>297</v>
      </c>
      <c r="D10" s="80">
        <f>D9/C9-1</f>
        <v>-7.4778404512489849E-2</v>
      </c>
      <c r="E10" s="80">
        <f>E9/D9-1</f>
        <v>8.6570283922661417E-2</v>
      </c>
      <c r="F10" s="80">
        <f>F9/E9-1</f>
        <v>0.13401731324142352</v>
      </c>
      <c r="G10" s="80">
        <f>G9/F9-1</f>
        <v>6.3895957025728034E-2</v>
      </c>
      <c r="H10" s="80">
        <f>H9/G9-1</f>
        <v>-1.2357161838958408E-2</v>
      </c>
    </row>
    <row r="11" spans="1:14" ht="15" customHeight="1" x14ac:dyDescent="0.45">
      <c r="A11"/>
      <c r="B11" s="16" t="s">
        <v>152</v>
      </c>
      <c r="C11" s="67">
        <v>-553.6</v>
      </c>
      <c r="D11" s="67">
        <v>-504.8</v>
      </c>
      <c r="E11" s="67">
        <v>-536.29999999999995</v>
      </c>
      <c r="F11" s="67">
        <v>-638.9</v>
      </c>
      <c r="G11" s="67">
        <v>-691.9</v>
      </c>
      <c r="H11" s="67">
        <v>-669.9</v>
      </c>
      <c r="K11"/>
    </row>
    <row r="12" spans="1:14" ht="15" customHeight="1" x14ac:dyDescent="0.45">
      <c r="A12"/>
      <c r="B12" s="16" t="s">
        <v>153</v>
      </c>
      <c r="C12">
        <f t="shared" ref="C12:H12" si="0">SUM(C9:C11)</f>
        <v>66.899999999999977</v>
      </c>
      <c r="D12">
        <f t="shared" si="0"/>
        <v>69.22522159548754</v>
      </c>
      <c r="E12">
        <f t="shared" si="0"/>
        <v>87.586570283922697</v>
      </c>
      <c r="F12">
        <f t="shared" si="0"/>
        <v>68.634017313241429</v>
      </c>
      <c r="G12">
        <f t="shared" si="0"/>
        <v>60.763895957025738</v>
      </c>
      <c r="H12">
        <f t="shared" si="0"/>
        <v>73.387642838161014</v>
      </c>
      <c r="K12"/>
    </row>
    <row r="13" spans="1:14" ht="15" customHeight="1" x14ac:dyDescent="0.45">
      <c r="A13"/>
      <c r="B13" s="16" t="s">
        <v>154</v>
      </c>
      <c r="C13" s="67">
        <v>-23.3</v>
      </c>
      <c r="D13" s="67">
        <v>-27.4</v>
      </c>
      <c r="E13" s="67">
        <v>-25.2</v>
      </c>
      <c r="F13" s="67">
        <v>-27.1</v>
      </c>
      <c r="G13" s="67">
        <v>-28.7</v>
      </c>
      <c r="H13" s="67">
        <v>-28.7</v>
      </c>
      <c r="K13"/>
    </row>
    <row r="14" spans="1:14" ht="15" customHeight="1" x14ac:dyDescent="0.45">
      <c r="A14"/>
      <c r="B14" s="16" t="s">
        <v>155</v>
      </c>
      <c r="C14" s="67">
        <v>-43</v>
      </c>
      <c r="D14" s="67">
        <v>-55.4</v>
      </c>
      <c r="E14" s="67">
        <v>-57.1</v>
      </c>
      <c r="F14" s="67">
        <v>0</v>
      </c>
      <c r="G14" s="67">
        <v>0.4</v>
      </c>
      <c r="H14" s="73">
        <v>0</v>
      </c>
      <c r="K14"/>
    </row>
    <row r="15" spans="1:14" ht="15" customHeight="1" x14ac:dyDescent="0.45">
      <c r="A15"/>
      <c r="B15" s="16" t="s">
        <v>125</v>
      </c>
      <c r="C15">
        <f t="shared" ref="C15:H15" si="1">SUM(C12:C14)</f>
        <v>0.5999999999999801</v>
      </c>
      <c r="D15">
        <f t="shared" si="1"/>
        <v>-13.574778404512458</v>
      </c>
      <c r="E15">
        <f t="shared" si="1"/>
        <v>5.2865702839226927</v>
      </c>
      <c r="F15">
        <f t="shared" si="1"/>
        <v>41.534017313241428</v>
      </c>
      <c r="G15">
        <f t="shared" si="1"/>
        <v>32.463895957025734</v>
      </c>
      <c r="H15">
        <f t="shared" si="1"/>
        <v>44.687642838161011</v>
      </c>
      <c r="K15"/>
    </row>
    <row r="16" spans="1:14" ht="15" customHeight="1" x14ac:dyDescent="0.45">
      <c r="A16"/>
      <c r="B16" s="16" t="s">
        <v>97</v>
      </c>
      <c r="C16">
        <f t="shared" ref="C16:H16" si="2">C15-C14</f>
        <v>43.59999999999998</v>
      </c>
      <c r="D16">
        <f t="shared" si="2"/>
        <v>41.825221595487541</v>
      </c>
      <c r="E16">
        <f t="shared" si="2"/>
        <v>62.386570283922694</v>
      </c>
      <c r="F16">
        <f t="shared" si="2"/>
        <v>41.534017313241428</v>
      </c>
      <c r="G16">
        <f t="shared" si="2"/>
        <v>32.063895957025736</v>
      </c>
      <c r="H16">
        <f t="shared" si="2"/>
        <v>44.687642838161011</v>
      </c>
      <c r="K16"/>
    </row>
    <row r="17" spans="1:11" ht="15" customHeight="1" x14ac:dyDescent="0.45">
      <c r="A17"/>
      <c r="B17" s="16" t="s">
        <v>296</v>
      </c>
      <c r="C17" s="80">
        <f t="shared" ref="C17:H17" si="3">+C16/C9</f>
        <v>7.0265914585012051E-2</v>
      </c>
      <c r="D17" s="80">
        <f t="shared" si="3"/>
        <v>7.2853547457738269E-2</v>
      </c>
      <c r="E17" s="80">
        <f t="shared" si="3"/>
        <v>0.10001053267701619</v>
      </c>
      <c r="F17" s="80">
        <f t="shared" si="3"/>
        <v>5.8713623569750392E-2</v>
      </c>
      <c r="G17" s="80">
        <f t="shared" si="3"/>
        <v>4.2604166831020113E-2</v>
      </c>
      <c r="H17" s="80">
        <f t="shared" si="3"/>
        <v>6.0120601154528476E-2</v>
      </c>
    </row>
    <row r="18" spans="1:11" ht="15" customHeight="1" x14ac:dyDescent="0.45">
      <c r="A18"/>
      <c r="B18"/>
      <c r="K18"/>
    </row>
    <row r="19" spans="1:11" ht="15" customHeight="1" x14ac:dyDescent="0.45">
      <c r="A19" s="15" t="s">
        <v>72</v>
      </c>
      <c r="B19"/>
      <c r="K19"/>
    </row>
    <row r="20" spans="1:11" ht="15" customHeight="1" x14ac:dyDescent="0.45">
      <c r="A20"/>
      <c r="B20" s="16" t="s">
        <v>303</v>
      </c>
      <c r="K20"/>
    </row>
    <row r="21" spans="1:11" ht="15" customHeight="1" x14ac:dyDescent="0.45">
      <c r="A21"/>
      <c r="B21"/>
      <c r="K21"/>
    </row>
    <row r="22" spans="1:11" ht="15" customHeight="1" x14ac:dyDescent="0.45">
      <c r="A22"/>
      <c r="B22" s="16" t="s">
        <v>300</v>
      </c>
      <c r="C22" s="85">
        <v>6</v>
      </c>
      <c r="K22"/>
    </row>
    <row r="23" spans="1:11" ht="15" customHeight="1" x14ac:dyDescent="0.45">
      <c r="A23"/>
      <c r="B23" s="16" t="s">
        <v>302</v>
      </c>
      <c r="C23" s="84">
        <v>0.66</v>
      </c>
      <c r="K23"/>
    </row>
    <row r="24" spans="1:11" ht="15" customHeight="1" x14ac:dyDescent="0.45">
      <c r="A24"/>
      <c r="B24"/>
      <c r="K24"/>
    </row>
    <row r="25" spans="1:11" ht="15" customHeight="1" x14ac:dyDescent="0.45">
      <c r="A25"/>
      <c r="B25"/>
      <c r="C25" s="70">
        <v>41729</v>
      </c>
      <c r="D25" s="70">
        <v>42094</v>
      </c>
      <c r="E25" s="70">
        <v>42460</v>
      </c>
      <c r="F25" s="70">
        <v>42825</v>
      </c>
      <c r="G25" s="70">
        <v>43190</v>
      </c>
      <c r="K25"/>
    </row>
    <row r="26" spans="1:11" ht="15" customHeight="1" x14ac:dyDescent="0.45">
      <c r="A26"/>
      <c r="B26" s="16" t="s">
        <v>194</v>
      </c>
      <c r="C26" s="67">
        <v>170.6</v>
      </c>
      <c r="D26" s="67">
        <v>189.1</v>
      </c>
      <c r="E26" s="67">
        <v>213.7</v>
      </c>
      <c r="F26" s="67">
        <v>309.10000000000002</v>
      </c>
      <c r="G26" s="67">
        <v>308.2</v>
      </c>
      <c r="K26"/>
    </row>
    <row r="27" spans="1:11" ht="15" customHeight="1" x14ac:dyDescent="0.45">
      <c r="A27"/>
      <c r="B27" s="16" t="s">
        <v>195</v>
      </c>
      <c r="C27" s="67">
        <v>-83.6</v>
      </c>
      <c r="D27" s="67">
        <v>-88.2</v>
      </c>
      <c r="E27" s="67">
        <v>-81.5</v>
      </c>
      <c r="F27" s="67">
        <v>-100.6</v>
      </c>
      <c r="G27" s="67">
        <v>-104.8</v>
      </c>
      <c r="K27"/>
    </row>
    <row r="28" spans="1:11" ht="15" customHeight="1" x14ac:dyDescent="0.45">
      <c r="A28"/>
      <c r="B28" s="16" t="s">
        <v>301</v>
      </c>
      <c r="C28">
        <f>C27*$C$22*-1</f>
        <v>501.59999999999997</v>
      </c>
      <c r="D28">
        <f>D27*$C$22*-1</f>
        <v>529.20000000000005</v>
      </c>
      <c r="E28">
        <f>E27*$C$22*-1</f>
        <v>489</v>
      </c>
      <c r="F28">
        <f>F27*$C$22*-1</f>
        <v>603.59999999999991</v>
      </c>
      <c r="G28">
        <f>G27*$C$22*-1</f>
        <v>628.79999999999995</v>
      </c>
      <c r="K28"/>
    </row>
    <row r="29" spans="1:11" ht="15" customHeight="1" x14ac:dyDescent="0.45">
      <c r="A29"/>
      <c r="B29" s="16" t="s">
        <v>97</v>
      </c>
      <c r="C29">
        <f>C16</f>
        <v>43.59999999999998</v>
      </c>
      <c r="D29">
        <f>D16</f>
        <v>41.825221595487541</v>
      </c>
      <c r="E29">
        <f>E16</f>
        <v>62.386570283922694</v>
      </c>
      <c r="F29">
        <f>F16</f>
        <v>41.534017313241428</v>
      </c>
      <c r="G29">
        <f>G16</f>
        <v>32.063895957025736</v>
      </c>
      <c r="K29"/>
    </row>
    <row r="30" spans="1:11" ht="15" customHeight="1" x14ac:dyDescent="0.45">
      <c r="A30"/>
      <c r="B30" s="16" t="s">
        <v>304</v>
      </c>
      <c r="C30">
        <f>C29+C27*$C$23*-1</f>
        <v>98.775999999999982</v>
      </c>
      <c r="D30">
        <f>D29+D27*$C$23*-1</f>
        <v>100.03722159548755</v>
      </c>
      <c r="E30">
        <f>E29+E27*$C$23*-1</f>
        <v>116.1765702839227</v>
      </c>
      <c r="F30">
        <f>F29+F27*$C$23*-1</f>
        <v>107.93001731324142</v>
      </c>
      <c r="G30">
        <f>G29+G27*$C$23*-1</f>
        <v>101.23189595702574</v>
      </c>
      <c r="K30"/>
    </row>
    <row r="31" spans="1:11" ht="15" customHeight="1" x14ac:dyDescent="0.45">
      <c r="A31"/>
      <c r="B31"/>
      <c r="K31"/>
    </row>
    <row r="32" spans="1:11" ht="15" customHeight="1" x14ac:dyDescent="0.45">
      <c r="A32" s="15" t="s">
        <v>76</v>
      </c>
      <c r="B32"/>
      <c r="K32"/>
    </row>
    <row r="33" spans="1:11" ht="15" customHeight="1" x14ac:dyDescent="0.45">
      <c r="A33"/>
      <c r="B33" s="16" t="s">
        <v>305</v>
      </c>
      <c r="K33"/>
    </row>
    <row r="34" spans="1:11" ht="15" customHeight="1" x14ac:dyDescent="0.45">
      <c r="A34"/>
      <c r="B34"/>
      <c r="K34"/>
    </row>
    <row r="35" spans="1:11" ht="15" customHeight="1" x14ac:dyDescent="0.45">
      <c r="A35"/>
      <c r="B35"/>
      <c r="C35" s="70">
        <v>41729</v>
      </c>
      <c r="D35" s="70">
        <v>42094</v>
      </c>
      <c r="E35" s="70">
        <v>42460</v>
      </c>
      <c r="F35" s="70">
        <v>42825</v>
      </c>
      <c r="G35" s="70">
        <v>43190</v>
      </c>
      <c r="K35"/>
    </row>
    <row r="36" spans="1:11" ht="15" customHeight="1" x14ac:dyDescent="0.45">
      <c r="A36"/>
      <c r="B36" s="16" t="s">
        <v>71</v>
      </c>
      <c r="C36" s="67">
        <v>48.1</v>
      </c>
      <c r="D36" s="67">
        <v>194.1</v>
      </c>
      <c r="E36" s="67">
        <v>140</v>
      </c>
      <c r="F36" s="67">
        <v>154.19999999999999</v>
      </c>
      <c r="G36" s="67">
        <v>153.5</v>
      </c>
      <c r="K36"/>
    </row>
    <row r="37" spans="1:11" ht="15" customHeight="1" x14ac:dyDescent="0.45">
      <c r="A37"/>
      <c r="B37" s="16" t="s">
        <v>196</v>
      </c>
      <c r="C37" s="67">
        <v>91.1</v>
      </c>
      <c r="D37" s="67">
        <v>106.2</v>
      </c>
      <c r="E37" s="67">
        <v>94.5</v>
      </c>
      <c r="F37" s="67">
        <v>167.7</v>
      </c>
      <c r="G37" s="67">
        <v>136.4</v>
      </c>
      <c r="K37"/>
    </row>
    <row r="38" spans="1:11" ht="15" customHeight="1" x14ac:dyDescent="0.45">
      <c r="A38"/>
      <c r="B38" s="16" t="s">
        <v>197</v>
      </c>
      <c r="C38" s="67">
        <v>10.4</v>
      </c>
      <c r="D38" s="67">
        <v>13</v>
      </c>
      <c r="E38" s="67">
        <v>14.7</v>
      </c>
      <c r="F38" s="67">
        <v>20.6</v>
      </c>
      <c r="G38" s="67">
        <v>17.7</v>
      </c>
      <c r="K38"/>
    </row>
    <row r="39" spans="1:11" ht="15" customHeight="1" x14ac:dyDescent="0.45">
      <c r="A39"/>
      <c r="B39" s="16" t="s">
        <v>198</v>
      </c>
      <c r="C39">
        <f>C28</f>
        <v>501.59999999999997</v>
      </c>
      <c r="D39">
        <f>D28</f>
        <v>529.20000000000005</v>
      </c>
      <c r="E39">
        <f>E28</f>
        <v>489</v>
      </c>
      <c r="F39">
        <f>F28</f>
        <v>603.59999999999991</v>
      </c>
      <c r="G39">
        <f>G28</f>
        <v>628.79999999999995</v>
      </c>
      <c r="K39"/>
    </row>
    <row r="40" spans="1:11" ht="15" customHeight="1" x14ac:dyDescent="0.45">
      <c r="A40"/>
      <c r="B40" s="16" t="s">
        <v>199</v>
      </c>
      <c r="C40" s="67">
        <v>212.2</v>
      </c>
      <c r="D40" s="67">
        <v>202.9</v>
      </c>
      <c r="E40" s="67">
        <v>173.3</v>
      </c>
      <c r="F40" s="67">
        <v>141.1</v>
      </c>
      <c r="G40" s="67">
        <v>97.2</v>
      </c>
      <c r="K40"/>
    </row>
    <row r="41" spans="1:11" ht="15" customHeight="1" x14ac:dyDescent="0.45">
      <c r="A41"/>
      <c r="B41" s="16" t="s">
        <v>175</v>
      </c>
      <c r="C41">
        <f>+C37+C38+C39-C40</f>
        <v>390.89999999999992</v>
      </c>
      <c r="D41">
        <f>+D37+D38+D39-D40</f>
        <v>445.50000000000011</v>
      </c>
      <c r="E41">
        <f>+E37+E38+E39-E40</f>
        <v>424.90000000000003</v>
      </c>
      <c r="F41">
        <f>+F37+F38+F39-F40</f>
        <v>650.79999999999984</v>
      </c>
      <c r="G41">
        <f>+G37+G38+G39-G40</f>
        <v>685.69999999999993</v>
      </c>
      <c r="K41"/>
    </row>
    <row r="42" spans="1:11" ht="15" customHeight="1" x14ac:dyDescent="0.45">
      <c r="A42"/>
      <c r="B42" s="16" t="s">
        <v>188</v>
      </c>
      <c r="C42">
        <f>+C36+C41</f>
        <v>438.99999999999994</v>
      </c>
      <c r="D42">
        <f>+D36+D41</f>
        <v>639.60000000000014</v>
      </c>
      <c r="E42">
        <f>+E36+E41</f>
        <v>564.90000000000009</v>
      </c>
      <c r="F42">
        <f>+F36+F41</f>
        <v>804.99999999999977</v>
      </c>
      <c r="G42">
        <f>+G36+G41</f>
        <v>839.19999999999993</v>
      </c>
    </row>
    <row r="43" spans="1:11" ht="15" customHeight="1" x14ac:dyDescent="0.45">
      <c r="A43"/>
      <c r="B43" s="16" t="s">
        <v>65</v>
      </c>
      <c r="C43">
        <f>C9</f>
        <v>620.5</v>
      </c>
      <c r="D43">
        <f>D9</f>
        <v>574.1</v>
      </c>
      <c r="E43">
        <f>E9</f>
        <v>623.79999999999995</v>
      </c>
      <c r="F43">
        <f>F9</f>
        <v>707.4</v>
      </c>
      <c r="G43">
        <f>G9</f>
        <v>752.6</v>
      </c>
      <c r="K43"/>
    </row>
    <row r="44" spans="1:11" ht="15" customHeight="1" x14ac:dyDescent="0.45">
      <c r="A44"/>
      <c r="B44" s="16" t="s">
        <v>304</v>
      </c>
      <c r="C44">
        <f>C30</f>
        <v>98.775999999999982</v>
      </c>
      <c r="D44">
        <f>D30</f>
        <v>100.03722159548755</v>
      </c>
      <c r="E44">
        <f>E30</f>
        <v>116.1765702839227</v>
      </c>
      <c r="F44">
        <f>F30</f>
        <v>107.93001731324142</v>
      </c>
      <c r="G44">
        <f>G30</f>
        <v>101.23189595702574</v>
      </c>
      <c r="K44"/>
    </row>
    <row r="45" spans="1:11" ht="15" customHeight="1" x14ac:dyDescent="0.45">
      <c r="A45"/>
      <c r="B45"/>
      <c r="K45"/>
    </row>
    <row r="46" spans="1:11" ht="15" customHeight="1" x14ac:dyDescent="0.45">
      <c r="A46"/>
      <c r="B46" s="16" t="s">
        <v>200</v>
      </c>
      <c r="D46" s="80">
        <f>D44/AVERAGE(C42:D42)</f>
        <v>0.18549456998977848</v>
      </c>
      <c r="E46" s="80">
        <f>E44/AVERAGE(D42:E42)</f>
        <v>0.19290422629127885</v>
      </c>
      <c r="F46" s="80">
        <f>F44/AVERAGE(E42:F42)</f>
        <v>0.15757357079092113</v>
      </c>
      <c r="G46" s="80">
        <f>G44/AVERAGE(F42:G42)</f>
        <v>0.12313817778497232</v>
      </c>
    </row>
    <row r="47" spans="1:11" ht="15" customHeight="1" x14ac:dyDescent="0.45">
      <c r="A47"/>
      <c r="B47" s="16" t="s">
        <v>190</v>
      </c>
      <c r="D47" s="80">
        <f>D43/AVERAGE(C42:D42)</f>
        <v>1.0645280919710736</v>
      </c>
      <c r="E47" s="80">
        <f>E43/AVERAGE(D42:E42)</f>
        <v>1.0357824823578246</v>
      </c>
      <c r="F47" s="80">
        <f>F43/AVERAGE(E42:F42)</f>
        <v>1.0327761150448937</v>
      </c>
      <c r="G47" s="80">
        <f>G43/AVERAGE(F42:G42)</f>
        <v>0.91546040627660885</v>
      </c>
      <c r="K47"/>
    </row>
    <row r="48" spans="1:11" ht="15" customHeight="1" x14ac:dyDescent="0.45">
      <c r="A48"/>
      <c r="B48" s="16" t="s">
        <v>207</v>
      </c>
      <c r="C48" s="80">
        <f>C44/C43</f>
        <v>0.15918775181305395</v>
      </c>
      <c r="D48" s="80">
        <f>D44/D43</f>
        <v>0.17425051662687258</v>
      </c>
      <c r="E48" s="80">
        <f>E44/E43</f>
        <v>0.18624009343366899</v>
      </c>
      <c r="F48" s="80">
        <f>F44/F43</f>
        <v>0.15257282628391494</v>
      </c>
      <c r="G48" s="80">
        <f>G44/G43</f>
        <v>0.13450956146296272</v>
      </c>
      <c r="K48"/>
    </row>
    <row r="49" spans="1:11" ht="15" customHeight="1" x14ac:dyDescent="0.45">
      <c r="A49"/>
      <c r="B49"/>
      <c r="K49"/>
    </row>
    <row r="50" spans="1:11" ht="15" customHeight="1" x14ac:dyDescent="0.45">
      <c r="A50" s="15" t="s">
        <v>79</v>
      </c>
      <c r="B50"/>
      <c r="K50"/>
    </row>
    <row r="51" spans="1:11" ht="15" customHeight="1" x14ac:dyDescent="0.45">
      <c r="A51"/>
      <c r="B51" s="16" t="s">
        <v>306</v>
      </c>
      <c r="K51"/>
    </row>
    <row r="52" spans="1:11" ht="15" customHeight="1" x14ac:dyDescent="0.45">
      <c r="A52"/>
      <c r="B52"/>
      <c r="K52"/>
    </row>
    <row r="53" spans="1:11" ht="15" customHeight="1" x14ac:dyDescent="0.45">
      <c r="A53"/>
      <c r="B53"/>
      <c r="C53" s="70">
        <v>41729</v>
      </c>
      <c r="D53" s="70">
        <v>42094</v>
      </c>
      <c r="E53" s="70">
        <v>42460</v>
      </c>
      <c r="F53" s="70">
        <v>42825</v>
      </c>
      <c r="G53" s="70">
        <v>43190</v>
      </c>
      <c r="K53"/>
    </row>
    <row r="54" spans="1:11" ht="15" customHeight="1" x14ac:dyDescent="0.45">
      <c r="A54"/>
      <c r="B54" s="16" t="s">
        <v>168</v>
      </c>
      <c r="C54" s="67">
        <v>14.3</v>
      </c>
      <c r="D54" s="67">
        <v>14.6</v>
      </c>
      <c r="E54" s="67">
        <v>32.1</v>
      </c>
      <c r="F54" s="67">
        <v>39.1</v>
      </c>
      <c r="G54" s="67">
        <v>43.9</v>
      </c>
      <c r="K54"/>
    </row>
    <row r="55" spans="1:11" ht="15" customHeight="1" x14ac:dyDescent="0.45">
      <c r="A55"/>
      <c r="B55"/>
      <c r="K55"/>
    </row>
    <row r="56" spans="1:11" ht="15" customHeight="1" x14ac:dyDescent="0.45">
      <c r="A56"/>
      <c r="B56" s="16" t="s">
        <v>201</v>
      </c>
      <c r="C56">
        <f>C44+C54</f>
        <v>113.07599999999998</v>
      </c>
      <c r="D56">
        <f>D44+D54</f>
        <v>114.63722159548755</v>
      </c>
      <c r="E56">
        <f>E44+E54</f>
        <v>148.27657028392269</v>
      </c>
      <c r="F56">
        <f>F44+F54</f>
        <v>147.03001731324142</v>
      </c>
      <c r="G56">
        <f>G44+G54</f>
        <v>145.13189595702573</v>
      </c>
      <c r="K56"/>
    </row>
    <row r="57" spans="1:11" ht="15" customHeight="1" x14ac:dyDescent="0.45">
      <c r="A57"/>
      <c r="B57" s="16" t="s">
        <v>307</v>
      </c>
      <c r="C57" s="80">
        <f>C56/C43</f>
        <v>0.18223368251410149</v>
      </c>
      <c r="D57" s="80">
        <f>D56/D43</f>
        <v>0.19968162618966651</v>
      </c>
      <c r="E57" s="80">
        <f>E56/E43</f>
        <v>0.2376988943313926</v>
      </c>
      <c r="F57" s="80">
        <f>F56/F43</f>
        <v>0.20784565636590532</v>
      </c>
      <c r="G57" s="80">
        <f>G56/G43</f>
        <v>0.1928406802511636</v>
      </c>
      <c r="K57"/>
    </row>
    <row r="58" spans="1:11" ht="15" customHeight="1" x14ac:dyDescent="0.45">
      <c r="A58"/>
      <c r="B58" s="16" t="s">
        <v>205</v>
      </c>
      <c r="C58" s="81">
        <f>SUM(C37:C39)</f>
        <v>603.09999999999991</v>
      </c>
      <c r="D58" s="81">
        <f>SUM(D37:D39)</f>
        <v>648.40000000000009</v>
      </c>
      <c r="E58" s="81">
        <f>SUM(E37:E39)</f>
        <v>598.20000000000005</v>
      </c>
      <c r="F58" s="81">
        <f>SUM(F37:F39)</f>
        <v>791.89999999999986</v>
      </c>
      <c r="G58" s="81">
        <f>SUM(G37:G39)</f>
        <v>782.9</v>
      </c>
      <c r="K58"/>
    </row>
    <row r="59" spans="1:11" ht="15" customHeight="1" x14ac:dyDescent="0.45">
      <c r="A59"/>
      <c r="B59" s="16" t="s">
        <v>175</v>
      </c>
      <c r="C59" s="81">
        <f>C41</f>
        <v>390.89999999999992</v>
      </c>
      <c r="D59" s="81">
        <f>D41</f>
        <v>445.50000000000011</v>
      </c>
      <c r="E59" s="81">
        <f>E41</f>
        <v>424.90000000000003</v>
      </c>
      <c r="F59" s="81">
        <f>F41</f>
        <v>650.79999999999984</v>
      </c>
      <c r="G59" s="81">
        <f>G41</f>
        <v>685.69999999999993</v>
      </c>
      <c r="K59"/>
    </row>
    <row r="60" spans="1:11" ht="15" customHeight="1" x14ac:dyDescent="0.45">
      <c r="A60"/>
      <c r="B60" s="16" t="s">
        <v>202</v>
      </c>
      <c r="C60" s="68">
        <f>C58/C56</f>
        <v>5.3335809544023487</v>
      </c>
      <c r="D60" s="68">
        <f>D58/D56</f>
        <v>5.6561035846451722</v>
      </c>
      <c r="E60" s="68">
        <f>E58/E56</f>
        <v>4.0343528236089874</v>
      </c>
      <c r="F60" s="68">
        <f>F58/F56</f>
        <v>5.3859750170122709</v>
      </c>
      <c r="G60" s="68">
        <f>G58/G56</f>
        <v>5.3944034482387009</v>
      </c>
      <c r="K60"/>
    </row>
    <row r="61" spans="1:11" ht="15" customHeight="1" x14ac:dyDescent="0.45">
      <c r="A61"/>
      <c r="B61" s="16" t="s">
        <v>206</v>
      </c>
      <c r="C61" s="68">
        <f>C59/C56</f>
        <v>3.4569669956489442</v>
      </c>
      <c r="D61" s="68">
        <f>D59/D56</f>
        <v>3.8861723426271202</v>
      </c>
      <c r="E61" s="68">
        <f>E59/E56</f>
        <v>2.8655909641448662</v>
      </c>
      <c r="F61" s="68">
        <f>F59/F56</f>
        <v>4.426307035069561</v>
      </c>
      <c r="G61" s="68">
        <f>G59/G56</f>
        <v>4.7246678304474097</v>
      </c>
    </row>
    <row r="62" spans="1:11" ht="15" customHeight="1" x14ac:dyDescent="0.45">
      <c r="A62"/>
      <c r="B62"/>
      <c r="K62"/>
    </row>
    <row r="63" spans="1:11" ht="15" customHeight="1" x14ac:dyDescent="0.45">
      <c r="A63" s="15" t="s">
        <v>84</v>
      </c>
      <c r="B63"/>
      <c r="K63"/>
    </row>
    <row r="64" spans="1:11" ht="15" customHeight="1" x14ac:dyDescent="0.45">
      <c r="A64"/>
      <c r="B64" s="16" t="s">
        <v>518</v>
      </c>
      <c r="K64"/>
    </row>
    <row r="65" spans="1:11" ht="15" customHeight="1" x14ac:dyDescent="0.45">
      <c r="A65"/>
      <c r="B65"/>
      <c r="K65"/>
    </row>
    <row r="66" spans="1:11" ht="15" customHeight="1" x14ac:dyDescent="0.45">
      <c r="A66"/>
      <c r="B66"/>
      <c r="C66" s="70">
        <v>42825</v>
      </c>
      <c r="D66" s="70">
        <v>43190</v>
      </c>
      <c r="K66"/>
    </row>
    <row r="67" spans="1:11" ht="15" customHeight="1" x14ac:dyDescent="0.45">
      <c r="A67"/>
      <c r="B67" s="16" t="s">
        <v>202</v>
      </c>
      <c r="C67" s="85">
        <v>4</v>
      </c>
      <c r="D67" s="85">
        <v>4</v>
      </c>
      <c r="K67"/>
    </row>
    <row r="68" spans="1:11" ht="15" customHeight="1" x14ac:dyDescent="0.45">
      <c r="A68"/>
      <c r="B68" s="16" t="s">
        <v>205</v>
      </c>
      <c r="C68">
        <f>F58</f>
        <v>791.89999999999986</v>
      </c>
      <c r="D68">
        <f>G58</f>
        <v>782.9</v>
      </c>
      <c r="K68"/>
    </row>
    <row r="69" spans="1:11" ht="15" customHeight="1" x14ac:dyDescent="0.45">
      <c r="A69"/>
      <c r="B69" s="16" t="s">
        <v>416</v>
      </c>
      <c r="C69">
        <f>C68/C67</f>
        <v>197.97499999999997</v>
      </c>
      <c r="D69">
        <f>D68/D67</f>
        <v>195.72499999999999</v>
      </c>
      <c r="K69"/>
    </row>
    <row r="70" spans="1:11" ht="15" customHeight="1" x14ac:dyDescent="0.45">
      <c r="A70"/>
      <c r="B70" s="16" t="s">
        <v>65</v>
      </c>
      <c r="C70">
        <f>F9</f>
        <v>707.4</v>
      </c>
      <c r="D70">
        <f>G9</f>
        <v>752.6</v>
      </c>
      <c r="K70"/>
    </row>
    <row r="71" spans="1:11" ht="15" customHeight="1" x14ac:dyDescent="0.45">
      <c r="A71"/>
      <c r="B71" s="16" t="s">
        <v>417</v>
      </c>
      <c r="C71" s="80">
        <f>C69/C70</f>
        <v>0.27986287814532085</v>
      </c>
      <c r="D71" s="80">
        <f>D69/D70</f>
        <v>0.26006510762689344</v>
      </c>
    </row>
    <row r="72" spans="1:11" ht="15" customHeight="1" x14ac:dyDescent="0.45">
      <c r="A72"/>
      <c r="B72" s="16" t="s">
        <v>418</v>
      </c>
      <c r="C72" s="80">
        <f>F57</f>
        <v>0.20784565636590532</v>
      </c>
      <c r="D72" s="80">
        <f>G57</f>
        <v>0.1928406802511636</v>
      </c>
      <c r="K72"/>
    </row>
    <row r="73" spans="1:11" ht="15" customHeight="1" x14ac:dyDescent="0.45">
      <c r="A73"/>
      <c r="B73"/>
      <c r="K73"/>
    </row>
    <row r="74" spans="1:11" ht="15" customHeight="1" x14ac:dyDescent="0.45">
      <c r="A74" s="15" t="s">
        <v>85</v>
      </c>
      <c r="B74"/>
      <c r="K74"/>
    </row>
    <row r="75" spans="1:11" ht="15" customHeight="1" x14ac:dyDescent="0.45">
      <c r="A75"/>
      <c r="B75" s="16" t="s">
        <v>308</v>
      </c>
      <c r="K75"/>
    </row>
    <row r="76" spans="1:11" ht="15" customHeight="1" x14ac:dyDescent="0.45">
      <c r="A76"/>
      <c r="B76"/>
      <c r="K76"/>
    </row>
    <row r="77" spans="1:11" ht="15" customHeight="1" x14ac:dyDescent="0.45">
      <c r="A77"/>
      <c r="B77"/>
      <c r="C77" s="70">
        <v>41729</v>
      </c>
      <c r="D77" s="70">
        <v>42094</v>
      </c>
      <c r="E77" s="70">
        <v>42460</v>
      </c>
      <c r="F77" s="70">
        <v>42825</v>
      </c>
      <c r="G77" s="70">
        <v>43190</v>
      </c>
      <c r="K77"/>
    </row>
    <row r="78" spans="1:11" ht="15" customHeight="1" x14ac:dyDescent="0.45">
      <c r="A78"/>
      <c r="B78" s="16" t="s">
        <v>32</v>
      </c>
      <c r="C78" s="67">
        <v>6.8</v>
      </c>
      <c r="D78" s="67">
        <v>7.1</v>
      </c>
      <c r="E78" s="67">
        <v>6.4</v>
      </c>
      <c r="F78" s="67">
        <v>6.3</v>
      </c>
      <c r="G78" s="67">
        <v>7.6</v>
      </c>
      <c r="H78" t="s">
        <v>329</v>
      </c>
    </row>
    <row r="79" spans="1:11" ht="15" customHeight="1" x14ac:dyDescent="0.45">
      <c r="A79"/>
      <c r="B79" s="16" t="s">
        <v>213</v>
      </c>
      <c r="C79" s="67">
        <v>85.8</v>
      </c>
      <c r="D79" s="67">
        <v>98.3</v>
      </c>
      <c r="E79" s="67">
        <v>101.4</v>
      </c>
      <c r="F79" s="67">
        <v>108</v>
      </c>
      <c r="G79" s="67">
        <v>90.7</v>
      </c>
      <c r="H79" t="s">
        <v>329</v>
      </c>
      <c r="K79"/>
    </row>
    <row r="80" spans="1:11" ht="15" customHeight="1" x14ac:dyDescent="0.45">
      <c r="A80"/>
      <c r="B80" s="16" t="s">
        <v>208</v>
      </c>
      <c r="C80" s="67">
        <f>177.9+33.9+0.4+6.6</f>
        <v>218.8</v>
      </c>
      <c r="D80" s="67">
        <f>177.9+10.9+14.1+0.2+7.1</f>
        <v>210.2</v>
      </c>
      <c r="E80" s="67">
        <f>163.6+0+9.7+11.3</f>
        <v>184.6</v>
      </c>
      <c r="F80" s="67">
        <f>115.1+26</f>
        <v>141.1</v>
      </c>
      <c r="G80" s="67">
        <f>86.7+10.5+3.8</f>
        <v>101</v>
      </c>
      <c r="H80" t="s">
        <v>193</v>
      </c>
      <c r="K80"/>
    </row>
    <row r="81" spans="1:11" ht="15" customHeight="1" x14ac:dyDescent="0.45">
      <c r="A81"/>
      <c r="B81" s="16" t="s">
        <v>132</v>
      </c>
      <c r="C81">
        <f>SUM(C78:C80)</f>
        <v>311.39999999999998</v>
      </c>
      <c r="D81">
        <f>SUM(D78:D80)</f>
        <v>315.59999999999997</v>
      </c>
      <c r="E81">
        <f>SUM(E78:E80)</f>
        <v>292.39999999999998</v>
      </c>
      <c r="F81">
        <f>SUM(F78:F80)</f>
        <v>255.39999999999998</v>
      </c>
      <c r="G81">
        <f>SUM(G78:G80)</f>
        <v>199.3</v>
      </c>
      <c r="K81"/>
    </row>
    <row r="82" spans="1:11" ht="15" customHeight="1" x14ac:dyDescent="0.45">
      <c r="A82"/>
      <c r="B82" s="16" t="s">
        <v>309</v>
      </c>
      <c r="C82" s="67">
        <v>5.2</v>
      </c>
      <c r="D82" s="67">
        <v>8.8000000000000007</v>
      </c>
      <c r="E82" s="67">
        <v>13.3</v>
      </c>
      <c r="F82" s="67">
        <v>11.9</v>
      </c>
      <c r="G82" s="67">
        <v>11.8</v>
      </c>
      <c r="H82" t="s">
        <v>331</v>
      </c>
      <c r="K82"/>
    </row>
    <row r="83" spans="1:11" ht="15" customHeight="1" x14ac:dyDescent="0.45">
      <c r="A83"/>
      <c r="B83" s="16" t="s">
        <v>310</v>
      </c>
      <c r="C83" s="67">
        <v>170.6</v>
      </c>
      <c r="D83" s="67">
        <v>189.1</v>
      </c>
      <c r="E83" s="67">
        <v>213.7</v>
      </c>
      <c r="F83" s="67">
        <v>305.39999999999998</v>
      </c>
      <c r="G83" s="67">
        <v>308.2</v>
      </c>
      <c r="H83" t="s">
        <v>331</v>
      </c>
      <c r="K83"/>
    </row>
    <row r="84" spans="1:11" ht="15" customHeight="1" x14ac:dyDescent="0.45">
      <c r="A84"/>
      <c r="B84" s="16" t="s">
        <v>311</v>
      </c>
      <c r="C84" s="67">
        <v>12.4</v>
      </c>
      <c r="D84" s="67">
        <v>0</v>
      </c>
      <c r="E84" s="67">
        <v>40.700000000000003</v>
      </c>
      <c r="F84" s="67">
        <v>69.599999999999994</v>
      </c>
      <c r="G84" s="67">
        <v>84</v>
      </c>
      <c r="H84" t="s">
        <v>330</v>
      </c>
      <c r="K84"/>
    </row>
    <row r="85" spans="1:11" ht="15" customHeight="1" x14ac:dyDescent="0.45">
      <c r="A85"/>
      <c r="B85" s="16" t="s">
        <v>347</v>
      </c>
      <c r="C85" s="67">
        <v>42.3</v>
      </c>
      <c r="D85" s="67">
        <v>38</v>
      </c>
      <c r="E85" s="67">
        <v>7.8</v>
      </c>
      <c r="F85" s="67">
        <f>9.2+0.4</f>
        <v>9.6</v>
      </c>
      <c r="G85" s="67">
        <v>8.3000000000000007</v>
      </c>
      <c r="H85" t="s">
        <v>329</v>
      </c>
      <c r="K85"/>
    </row>
    <row r="86" spans="1:11" ht="15" customHeight="1" x14ac:dyDescent="0.45">
      <c r="A86"/>
      <c r="B86" s="16" t="s">
        <v>332</v>
      </c>
      <c r="C86" s="67">
        <v>6.1</v>
      </c>
      <c r="D86" s="67">
        <v>8.8000000000000007</v>
      </c>
      <c r="E86" s="67">
        <v>0.8</v>
      </c>
      <c r="F86" s="67">
        <v>4</v>
      </c>
      <c r="G86" s="67">
        <v>0.1</v>
      </c>
      <c r="H86" t="s">
        <v>329</v>
      </c>
      <c r="K86"/>
    </row>
    <row r="87" spans="1:11" ht="15" customHeight="1" x14ac:dyDescent="0.45">
      <c r="A87"/>
      <c r="B87" s="16" t="s">
        <v>209</v>
      </c>
      <c r="C87">
        <f>SUM(C81:C86)</f>
        <v>547.99999999999989</v>
      </c>
      <c r="D87">
        <f>SUM(D81:D86)</f>
        <v>560.29999999999995</v>
      </c>
      <c r="E87">
        <f>SUM(E81:E86)</f>
        <v>568.69999999999993</v>
      </c>
      <c r="F87">
        <f>SUM(F81:F86)</f>
        <v>655.9</v>
      </c>
      <c r="G87">
        <f>SUM(G81:G86)</f>
        <v>611.69999999999993</v>
      </c>
      <c r="K87"/>
    </row>
    <row r="88" spans="1:11" ht="15" customHeight="1" x14ac:dyDescent="0.45">
      <c r="A88"/>
      <c r="B88" s="16" t="s">
        <v>214</v>
      </c>
      <c r="C88" s="67">
        <v>82</v>
      </c>
      <c r="D88" s="67">
        <v>96.3</v>
      </c>
      <c r="E88" s="67">
        <v>104.3</v>
      </c>
      <c r="F88" s="67">
        <v>116.9</v>
      </c>
      <c r="G88" s="67">
        <v>110</v>
      </c>
      <c r="H88" t="s">
        <v>329</v>
      </c>
      <c r="K88"/>
    </row>
    <row r="89" spans="1:11" ht="15" customHeight="1" x14ac:dyDescent="0.45">
      <c r="A89"/>
      <c r="B89" s="16" t="s">
        <v>327</v>
      </c>
      <c r="C89" s="67">
        <v>70.7</v>
      </c>
      <c r="D89" s="67">
        <v>77.099999999999994</v>
      </c>
      <c r="E89" s="67">
        <v>84.7</v>
      </c>
      <c r="F89" s="67">
        <v>83.5</v>
      </c>
      <c r="G89" s="67">
        <v>83.8</v>
      </c>
      <c r="H89" t="s">
        <v>329</v>
      </c>
    </row>
    <row r="90" spans="1:11" ht="15" customHeight="1" x14ac:dyDescent="0.45">
      <c r="A90"/>
      <c r="B90" s="16" t="s">
        <v>326</v>
      </c>
      <c r="C90" s="67">
        <v>10.4</v>
      </c>
      <c r="D90" s="67">
        <v>13</v>
      </c>
      <c r="E90" s="67">
        <v>14.7</v>
      </c>
      <c r="F90" s="67">
        <v>20.6</v>
      </c>
      <c r="G90" s="67">
        <v>17.7</v>
      </c>
      <c r="H90" t="s">
        <v>333</v>
      </c>
      <c r="K90"/>
    </row>
    <row r="91" spans="1:11" ht="15" customHeight="1" x14ac:dyDescent="0.45">
      <c r="A91"/>
      <c r="B91" s="16" t="s">
        <v>319</v>
      </c>
      <c r="C91" s="67">
        <f>45.3+8</f>
        <v>53.3</v>
      </c>
      <c r="D91" s="67">
        <f>51.9+18.9</f>
        <v>70.8</v>
      </c>
      <c r="E91" s="67">
        <f>42.3+18.8</f>
        <v>61.099999999999994</v>
      </c>
      <c r="F91" s="67">
        <f>43.7+1.3</f>
        <v>45</v>
      </c>
      <c r="G91" s="67">
        <f>52.8+10.2</f>
        <v>63</v>
      </c>
      <c r="H91" t="s">
        <v>329</v>
      </c>
      <c r="K91"/>
    </row>
    <row r="92" spans="1:11" ht="15" customHeight="1" x14ac:dyDescent="0.45">
      <c r="A92"/>
      <c r="B92" s="16" t="s">
        <v>312</v>
      </c>
      <c r="C92">
        <f>SUM(C88:C91)</f>
        <v>216.39999999999998</v>
      </c>
      <c r="D92">
        <f>SUM(D88:D91)</f>
        <v>257.2</v>
      </c>
      <c r="E92">
        <f>SUM(E88:E91)</f>
        <v>264.79999999999995</v>
      </c>
      <c r="F92">
        <f>SUM(F88:F91)</f>
        <v>266</v>
      </c>
      <c r="G92">
        <f>SUM(G88:G91)</f>
        <v>274.5</v>
      </c>
      <c r="K92"/>
    </row>
    <row r="93" spans="1:11" ht="15" customHeight="1" x14ac:dyDescent="0.45">
      <c r="A93"/>
      <c r="B93" s="16" t="s">
        <v>313</v>
      </c>
      <c r="C93" s="67">
        <v>91.1</v>
      </c>
      <c r="D93" s="67">
        <v>106.2</v>
      </c>
      <c r="E93" s="67">
        <v>94.5</v>
      </c>
      <c r="F93" s="67">
        <v>167.7</v>
      </c>
      <c r="G93" s="67">
        <v>136.4</v>
      </c>
      <c r="H93" t="s">
        <v>333</v>
      </c>
      <c r="K93"/>
    </row>
    <row r="94" spans="1:11" ht="15" customHeight="1" x14ac:dyDescent="0.45">
      <c r="A94"/>
      <c r="B94" s="16" t="s">
        <v>325</v>
      </c>
      <c r="C94" s="67">
        <v>1.6</v>
      </c>
      <c r="D94" s="67">
        <v>0.3</v>
      </c>
      <c r="E94" s="67">
        <v>0</v>
      </c>
      <c r="F94" s="67">
        <v>4.5999999999999996</v>
      </c>
      <c r="G94" s="67">
        <v>0</v>
      </c>
      <c r="H94" t="s">
        <v>329</v>
      </c>
      <c r="K94"/>
    </row>
    <row r="95" spans="1:11" ht="15" customHeight="1" x14ac:dyDescent="0.45">
      <c r="A95"/>
      <c r="B95" s="16" t="s">
        <v>324</v>
      </c>
      <c r="C95" s="67">
        <v>9.5</v>
      </c>
      <c r="D95" s="67">
        <v>8.3000000000000007</v>
      </c>
      <c r="E95" s="67">
        <v>7.4</v>
      </c>
      <c r="F95" s="67">
        <v>6.8</v>
      </c>
      <c r="G95" s="67">
        <v>1.3</v>
      </c>
      <c r="H95" t="s">
        <v>329</v>
      </c>
      <c r="K95"/>
    </row>
    <row r="96" spans="1:11" ht="15" customHeight="1" x14ac:dyDescent="0.45">
      <c r="A96"/>
      <c r="B96" s="16" t="s">
        <v>318</v>
      </c>
      <c r="C96" s="67">
        <f>31.9+2.5+0+0.9</f>
        <v>35.299999999999997</v>
      </c>
      <c r="D96" s="67">
        <f>24.3+21+2.6+0.4</f>
        <v>48.3</v>
      </c>
      <c r="E96" s="67">
        <f>30.9+15.3+1.6+0</f>
        <v>47.800000000000004</v>
      </c>
      <c r="F96" s="67">
        <f>64.5+20.8+0.6+0</f>
        <v>85.899999999999991</v>
      </c>
      <c r="G96" s="67">
        <f>80.1+6.2+18.8+1.3</f>
        <v>106.39999999999999</v>
      </c>
      <c r="H96" t="s">
        <v>329</v>
      </c>
      <c r="K96"/>
    </row>
    <row r="97" spans="1:11" ht="15" customHeight="1" x14ac:dyDescent="0.45">
      <c r="A97"/>
      <c r="B97" s="16" t="s">
        <v>314</v>
      </c>
      <c r="C97">
        <f>SUM(C92:C96)</f>
        <v>353.90000000000003</v>
      </c>
      <c r="D97">
        <f>SUM(D92:D96)</f>
        <v>420.3</v>
      </c>
      <c r="E97">
        <f>SUM(E92:E96)</f>
        <v>414.49999999999994</v>
      </c>
      <c r="F97">
        <f>SUM(F92:F96)</f>
        <v>531</v>
      </c>
      <c r="G97">
        <f>SUM(G92:G96)</f>
        <v>518.6</v>
      </c>
      <c r="K97"/>
    </row>
    <row r="98" spans="1:11" ht="15" customHeight="1" x14ac:dyDescent="0.45">
      <c r="A98"/>
      <c r="B98" s="16" t="s">
        <v>315</v>
      </c>
      <c r="C98" s="67">
        <v>233.2</v>
      </c>
      <c r="D98" s="67">
        <v>229</v>
      </c>
      <c r="E98" s="67">
        <v>230.8</v>
      </c>
      <c r="F98" s="67">
        <v>236.8</v>
      </c>
      <c r="G98" s="67">
        <v>212.3</v>
      </c>
      <c r="H98" t="s">
        <v>333</v>
      </c>
      <c r="K98"/>
    </row>
    <row r="99" spans="1:11" ht="15" customHeight="1" x14ac:dyDescent="0.45">
      <c r="A99"/>
      <c r="B99" s="16" t="s">
        <v>316</v>
      </c>
      <c r="C99" s="67">
        <v>-39.1</v>
      </c>
      <c r="D99" s="67">
        <v>-89</v>
      </c>
      <c r="E99" s="67">
        <v>-76.599999999999994</v>
      </c>
      <c r="F99" s="67">
        <v>-111.9</v>
      </c>
      <c r="G99" s="67">
        <v>-119.2</v>
      </c>
      <c r="H99" t="s">
        <v>329</v>
      </c>
      <c r="K99"/>
    </row>
    <row r="100" spans="1:11" ht="15" customHeight="1" x14ac:dyDescent="0.45">
      <c r="A100"/>
      <c r="B100" s="16" t="s">
        <v>317</v>
      </c>
      <c r="C100">
        <f>SUM(C97:C99)</f>
        <v>548</v>
      </c>
      <c r="D100">
        <f>SUM(D97:D99)</f>
        <v>560.29999999999995</v>
      </c>
      <c r="E100">
        <f>SUM(E97:E99)</f>
        <v>568.69999999999993</v>
      </c>
      <c r="F100">
        <f>SUM(F97:F99)</f>
        <v>655.9</v>
      </c>
      <c r="G100">
        <f>SUM(G97:G99)</f>
        <v>611.70000000000005</v>
      </c>
      <c r="K100"/>
    </row>
    <row r="101" spans="1:11" customFormat="1" ht="15" customHeight="1" x14ac:dyDescent="0.45"/>
    <row r="102" spans="1:11" ht="15" customHeight="1" x14ac:dyDescent="0.45">
      <c r="A102"/>
      <c r="B102" s="16" t="s">
        <v>133</v>
      </c>
      <c r="C102">
        <f>C100-C87</f>
        <v>0</v>
      </c>
      <c r="D102">
        <f>D100-D87</f>
        <v>0</v>
      </c>
      <c r="E102">
        <f>E100-E87</f>
        <v>0</v>
      </c>
      <c r="F102">
        <f>F100-F87</f>
        <v>0</v>
      </c>
      <c r="G102">
        <f>G100-G87</f>
        <v>0</v>
      </c>
      <c r="K102"/>
    </row>
    <row r="103" spans="1:11" customFormat="1" ht="15" customHeight="1" x14ac:dyDescent="0.45"/>
    <row r="104" spans="1:11" ht="15" customHeight="1" x14ac:dyDescent="0.45">
      <c r="A104"/>
      <c r="B104" s="16" t="s">
        <v>216</v>
      </c>
      <c r="C104" s="67">
        <f>8.7-1.8</f>
        <v>6.8999999999999995</v>
      </c>
      <c r="D104" s="67">
        <f>-35.7+-14.2</f>
        <v>-49.900000000000006</v>
      </c>
      <c r="E104" s="67">
        <f>6.8+5.6</f>
        <v>12.399999999999999</v>
      </c>
      <c r="F104" s="67">
        <f>-55.3+20</f>
        <v>-35.299999999999997</v>
      </c>
      <c r="G104" s="67">
        <f>-9.4+2.1</f>
        <v>-7.3000000000000007</v>
      </c>
      <c r="K104"/>
    </row>
    <row r="105" spans="1:11" ht="15" customHeight="1" x14ac:dyDescent="0.45">
      <c r="A105"/>
      <c r="B105" s="16" t="s">
        <v>215</v>
      </c>
      <c r="C105" s="67">
        <f>C107-C106</f>
        <v>13.5</v>
      </c>
      <c r="D105" s="67">
        <f>D107-D106</f>
        <v>27.2</v>
      </c>
      <c r="E105" s="67">
        <f>E107-E106</f>
        <v>30.6</v>
      </c>
      <c r="F105" s="67">
        <f>F107-F106</f>
        <v>36.5</v>
      </c>
      <c r="G105" s="67">
        <f>G107-G106</f>
        <v>46.699999999999996</v>
      </c>
      <c r="K105"/>
    </row>
    <row r="106" spans="1:11" ht="15" customHeight="1" x14ac:dyDescent="0.45">
      <c r="A106"/>
      <c r="B106" s="16" t="s">
        <v>274</v>
      </c>
      <c r="C106" s="67">
        <v>0.8</v>
      </c>
      <c r="D106" s="67">
        <v>0.8</v>
      </c>
      <c r="E106" s="67">
        <v>1.5</v>
      </c>
      <c r="F106" s="67">
        <v>2.6</v>
      </c>
      <c r="G106" s="67">
        <v>4.2</v>
      </c>
      <c r="K106"/>
    </row>
    <row r="107" spans="1:11" ht="15" customHeight="1" x14ac:dyDescent="0.45">
      <c r="A107"/>
      <c r="B107" s="16" t="s">
        <v>344</v>
      </c>
      <c r="C107" s="67">
        <v>14.3</v>
      </c>
      <c r="D107" s="67">
        <v>28</v>
      </c>
      <c r="E107" s="67">
        <v>32.1</v>
      </c>
      <c r="F107" s="67">
        <v>39.1</v>
      </c>
      <c r="G107" s="67">
        <v>50.9</v>
      </c>
      <c r="K107"/>
    </row>
    <row r="108" spans="1:11" customFormat="1" ht="15" customHeight="1" x14ac:dyDescent="0.45"/>
    <row r="109" spans="1:11" ht="15" customHeight="1" x14ac:dyDescent="0.45">
      <c r="A109"/>
      <c r="B109" s="16" t="s">
        <v>334</v>
      </c>
      <c r="D109">
        <f>C112</f>
        <v>170.6</v>
      </c>
      <c r="E109">
        <f>D112</f>
        <v>189.1</v>
      </c>
      <c r="F109">
        <f>E112</f>
        <v>213.7</v>
      </c>
      <c r="G109">
        <f>F112</f>
        <v>305.39999999999998</v>
      </c>
      <c r="K109"/>
    </row>
    <row r="110" spans="1:11" ht="15" customHeight="1" x14ac:dyDescent="0.45">
      <c r="A110"/>
      <c r="B110" s="16" t="s">
        <v>335</v>
      </c>
      <c r="D110">
        <f>D112-D109-D111</f>
        <v>45.7</v>
      </c>
      <c r="E110">
        <f>E112-E109-E111</f>
        <v>55.199999999999996</v>
      </c>
      <c r="F110">
        <f>F112-F109-F111</f>
        <v>128.19999999999999</v>
      </c>
      <c r="G110">
        <f>G112-G109-G111</f>
        <v>49.500000000000007</v>
      </c>
      <c r="H110" t="s">
        <v>330</v>
      </c>
      <c r="K110"/>
    </row>
    <row r="111" spans="1:11" ht="15" customHeight="1" x14ac:dyDescent="0.45">
      <c r="A111"/>
      <c r="B111" s="16" t="s">
        <v>336</v>
      </c>
      <c r="D111">
        <f>-D105</f>
        <v>-27.2</v>
      </c>
      <c r="E111">
        <f>-E105</f>
        <v>-30.6</v>
      </c>
      <c r="F111">
        <f>-F105</f>
        <v>-36.5</v>
      </c>
      <c r="G111">
        <f>-G105</f>
        <v>-46.699999999999996</v>
      </c>
      <c r="H111" t="s">
        <v>329</v>
      </c>
      <c r="K111"/>
    </row>
    <row r="112" spans="1:11" ht="15" customHeight="1" x14ac:dyDescent="0.45">
      <c r="A112"/>
      <c r="B112" s="16" t="s">
        <v>337</v>
      </c>
      <c r="C112">
        <f>C83</f>
        <v>170.6</v>
      </c>
      <c r="D112">
        <f>D83</f>
        <v>189.1</v>
      </c>
      <c r="E112">
        <f>E83</f>
        <v>213.7</v>
      </c>
      <c r="F112">
        <f>F83</f>
        <v>305.39999999999998</v>
      </c>
      <c r="G112">
        <f>G83</f>
        <v>308.2</v>
      </c>
      <c r="K112"/>
    </row>
    <row r="113" spans="1:11" customFormat="1" ht="15" customHeight="1" x14ac:dyDescent="0.45"/>
    <row r="114" spans="1:11" ht="15" customHeight="1" x14ac:dyDescent="0.45">
      <c r="A114"/>
      <c r="B114" s="16" t="s">
        <v>338</v>
      </c>
      <c r="D114">
        <f>C117</f>
        <v>5.2</v>
      </c>
      <c r="E114">
        <f>D117</f>
        <v>8.8000000000000007</v>
      </c>
      <c r="F114">
        <f>E117</f>
        <v>13.3</v>
      </c>
      <c r="G114">
        <f>F117</f>
        <v>11.9</v>
      </c>
      <c r="K114"/>
    </row>
    <row r="115" spans="1:11" ht="15" customHeight="1" x14ac:dyDescent="0.45">
      <c r="A115"/>
      <c r="B115" s="16" t="s">
        <v>345</v>
      </c>
      <c r="D115">
        <f>D117-D114-D116</f>
        <v>4.4000000000000004</v>
      </c>
      <c r="E115">
        <f>E117-E114-E116</f>
        <v>6</v>
      </c>
      <c r="F115">
        <f>F117-F114-F116</f>
        <v>1.1999999999999997</v>
      </c>
      <c r="G115">
        <f>G117-G114-G116</f>
        <v>4.1000000000000005</v>
      </c>
      <c r="H115" t="s">
        <v>329</v>
      </c>
      <c r="K115"/>
    </row>
    <row r="116" spans="1:11" ht="15" customHeight="1" x14ac:dyDescent="0.45">
      <c r="A116"/>
      <c r="B116" s="16" t="s">
        <v>346</v>
      </c>
      <c r="D116">
        <f>-D106</f>
        <v>-0.8</v>
      </c>
      <c r="E116">
        <f>-E106</f>
        <v>-1.5</v>
      </c>
      <c r="F116">
        <f>-F106</f>
        <v>-2.6</v>
      </c>
      <c r="G116">
        <f>-G106</f>
        <v>-4.2</v>
      </c>
      <c r="H116" t="s">
        <v>329</v>
      </c>
      <c r="K116"/>
    </row>
    <row r="117" spans="1:11" ht="15" customHeight="1" x14ac:dyDescent="0.45">
      <c r="A117"/>
      <c r="B117" s="16" t="s">
        <v>339</v>
      </c>
      <c r="C117">
        <f>C82</f>
        <v>5.2</v>
      </c>
      <c r="D117">
        <f>D82</f>
        <v>8.8000000000000007</v>
      </c>
      <c r="E117">
        <f>E82</f>
        <v>13.3</v>
      </c>
      <c r="F117">
        <f>F82</f>
        <v>11.9</v>
      </c>
      <c r="G117">
        <f>G82</f>
        <v>11.8</v>
      </c>
      <c r="K117"/>
    </row>
    <row r="118" spans="1:11" customFormat="1" ht="15" customHeight="1" x14ac:dyDescent="0.45"/>
    <row r="119" spans="1:11" ht="15" customHeight="1" x14ac:dyDescent="0.45">
      <c r="A119"/>
      <c r="B119" s="16" t="s">
        <v>340</v>
      </c>
      <c r="D119">
        <f>C122</f>
        <v>-39.1</v>
      </c>
      <c r="E119">
        <f>D122</f>
        <v>-89</v>
      </c>
      <c r="F119">
        <f>E122</f>
        <v>-76.599999999999994</v>
      </c>
      <c r="G119">
        <f>F122</f>
        <v>-111.9</v>
      </c>
      <c r="K119"/>
    </row>
    <row r="120" spans="1:11" ht="15" customHeight="1" x14ac:dyDescent="0.45">
      <c r="A120"/>
      <c r="B120" s="16" t="s">
        <v>341</v>
      </c>
      <c r="D120">
        <f>D104</f>
        <v>-49.900000000000006</v>
      </c>
      <c r="E120">
        <f>E104</f>
        <v>12.399999999999999</v>
      </c>
      <c r="F120">
        <f>F104</f>
        <v>-35.299999999999997</v>
      </c>
      <c r="G120">
        <f>G104</f>
        <v>-7.3000000000000007</v>
      </c>
      <c r="H120" t="s">
        <v>329</v>
      </c>
      <c r="K120"/>
    </row>
    <row r="121" spans="1:11" ht="15" customHeight="1" x14ac:dyDescent="0.45">
      <c r="A121"/>
      <c r="B121" s="16" t="s">
        <v>342</v>
      </c>
      <c r="D121">
        <f>D122-D119-D120</f>
        <v>0</v>
      </c>
      <c r="E121">
        <f>E122-E119-E120</f>
        <v>0</v>
      </c>
      <c r="F121">
        <f>F122-F119-F120</f>
        <v>0</v>
      </c>
      <c r="G121">
        <f>G122-G119-G120</f>
        <v>0</v>
      </c>
      <c r="H121" t="s">
        <v>333</v>
      </c>
      <c r="K121"/>
    </row>
    <row r="122" spans="1:11" ht="15" customHeight="1" x14ac:dyDescent="0.45">
      <c r="A122"/>
      <c r="B122" s="16" t="s">
        <v>343</v>
      </c>
      <c r="C122">
        <f>C99</f>
        <v>-39.1</v>
      </c>
      <c r="D122">
        <f>D99</f>
        <v>-89</v>
      </c>
      <c r="E122">
        <f>E99</f>
        <v>-76.599999999999994</v>
      </c>
      <c r="F122">
        <f>F99</f>
        <v>-111.9</v>
      </c>
      <c r="G122">
        <f>G99</f>
        <v>-119.2</v>
      </c>
      <c r="K122"/>
    </row>
    <row r="123" spans="1:11" customFormat="1" ht="15" customHeight="1" x14ac:dyDescent="0.45"/>
    <row r="124" spans="1:11" ht="15" customHeight="1" x14ac:dyDescent="0.45">
      <c r="A124"/>
      <c r="B124" s="16" t="s">
        <v>216</v>
      </c>
      <c r="D124">
        <f>D120</f>
        <v>-49.900000000000006</v>
      </c>
      <c r="E124">
        <f>E120</f>
        <v>12.399999999999999</v>
      </c>
      <c r="F124">
        <f>F120</f>
        <v>-35.299999999999997</v>
      </c>
      <c r="G124">
        <f>G120</f>
        <v>-7.3000000000000007</v>
      </c>
      <c r="K124"/>
    </row>
    <row r="125" spans="1:11" ht="15" customHeight="1" x14ac:dyDescent="0.45">
      <c r="A125"/>
      <c r="B125" s="16" t="s">
        <v>215</v>
      </c>
      <c r="D125">
        <f>-D111</f>
        <v>27.2</v>
      </c>
      <c r="E125">
        <f>-E111</f>
        <v>30.6</v>
      </c>
      <c r="F125">
        <f>-F111</f>
        <v>36.5</v>
      </c>
      <c r="G125">
        <f>-G111</f>
        <v>46.699999999999996</v>
      </c>
      <c r="K125"/>
    </row>
    <row r="126" spans="1:11" ht="15" customHeight="1" x14ac:dyDescent="0.45">
      <c r="A126"/>
      <c r="B126" s="16" t="s">
        <v>361</v>
      </c>
      <c r="D126">
        <f>-D116</f>
        <v>0.8</v>
      </c>
      <c r="E126">
        <f>-E116</f>
        <v>1.5</v>
      </c>
      <c r="F126">
        <f>-F116</f>
        <v>2.6</v>
      </c>
      <c r="G126">
        <f>-G116</f>
        <v>4.2</v>
      </c>
      <c r="K126"/>
    </row>
    <row r="127" spans="1:11" ht="15" customHeight="1" x14ac:dyDescent="0.45">
      <c r="A127"/>
      <c r="B127" s="16" t="s">
        <v>320</v>
      </c>
      <c r="D127">
        <f t="shared" ref="D127:G128" si="4">(C78-D78)</f>
        <v>-0.29999999999999982</v>
      </c>
      <c r="E127">
        <f t="shared" si="4"/>
        <v>0.69999999999999929</v>
      </c>
      <c r="F127">
        <f t="shared" si="4"/>
        <v>0.10000000000000053</v>
      </c>
      <c r="G127">
        <f t="shared" si="4"/>
        <v>-1.2999999999999998</v>
      </c>
      <c r="K127"/>
    </row>
    <row r="128" spans="1:11" ht="15" customHeight="1" x14ac:dyDescent="0.45">
      <c r="A128"/>
      <c r="B128" s="16" t="s">
        <v>321</v>
      </c>
      <c r="D128">
        <f t="shared" si="4"/>
        <v>-12.5</v>
      </c>
      <c r="E128">
        <f t="shared" si="4"/>
        <v>-3.1000000000000085</v>
      </c>
      <c r="F128">
        <f t="shared" si="4"/>
        <v>-6.5999999999999943</v>
      </c>
      <c r="G128">
        <f t="shared" si="4"/>
        <v>17.299999999999997</v>
      </c>
      <c r="K128"/>
    </row>
    <row r="129" spans="1:11" ht="15" customHeight="1" x14ac:dyDescent="0.45">
      <c r="A129"/>
      <c r="B129" s="16" t="s">
        <v>322</v>
      </c>
      <c r="D129">
        <f t="shared" ref="D129:G130" si="5">D88-C88</f>
        <v>14.299999999999997</v>
      </c>
      <c r="E129">
        <f t="shared" si="5"/>
        <v>8</v>
      </c>
      <c r="F129">
        <f t="shared" si="5"/>
        <v>12.600000000000009</v>
      </c>
      <c r="G129">
        <f t="shared" si="5"/>
        <v>-6.9000000000000057</v>
      </c>
      <c r="K129"/>
    </row>
    <row r="130" spans="1:11" ht="15" customHeight="1" x14ac:dyDescent="0.45">
      <c r="A130"/>
      <c r="B130" s="16" t="s">
        <v>328</v>
      </c>
      <c r="D130">
        <f t="shared" si="5"/>
        <v>6.3999999999999915</v>
      </c>
      <c r="E130">
        <f t="shared" si="5"/>
        <v>7.6000000000000085</v>
      </c>
      <c r="F130">
        <f t="shared" si="5"/>
        <v>-1.2000000000000028</v>
      </c>
      <c r="G130">
        <f t="shared" si="5"/>
        <v>0.29999999999999716</v>
      </c>
      <c r="K130"/>
    </row>
    <row r="131" spans="1:11" ht="15" customHeight="1" x14ac:dyDescent="0.45">
      <c r="A131"/>
      <c r="B131" s="16" t="s">
        <v>323</v>
      </c>
      <c r="D131">
        <f>D91-C91</f>
        <v>17.5</v>
      </c>
      <c r="E131">
        <f>E91-D91</f>
        <v>-9.7000000000000028</v>
      </c>
      <c r="F131">
        <f>F91-E91</f>
        <v>-16.099999999999994</v>
      </c>
      <c r="G131">
        <f>G91-F91</f>
        <v>18</v>
      </c>
      <c r="K131"/>
    </row>
    <row r="132" spans="1:11" ht="15" customHeight="1" x14ac:dyDescent="0.45">
      <c r="A132"/>
      <c r="B132" s="16" t="s">
        <v>362</v>
      </c>
      <c r="D132">
        <f t="shared" ref="D132:G133" si="6">C85-D85</f>
        <v>4.2999999999999972</v>
      </c>
      <c r="E132">
        <f t="shared" si="6"/>
        <v>30.2</v>
      </c>
      <c r="F132">
        <f t="shared" si="6"/>
        <v>-1.7999999999999998</v>
      </c>
      <c r="G132">
        <f t="shared" si="6"/>
        <v>1.2999999999999989</v>
      </c>
      <c r="K132"/>
    </row>
    <row r="133" spans="1:11" ht="15" customHeight="1" x14ac:dyDescent="0.45">
      <c r="A133"/>
      <c r="B133" s="16" t="s">
        <v>363</v>
      </c>
      <c r="D133">
        <f t="shared" si="6"/>
        <v>-2.7000000000000011</v>
      </c>
      <c r="E133">
        <f t="shared" si="6"/>
        <v>8</v>
      </c>
      <c r="F133">
        <f t="shared" si="6"/>
        <v>-3.2</v>
      </c>
      <c r="G133">
        <f t="shared" si="6"/>
        <v>3.9</v>
      </c>
      <c r="K133"/>
    </row>
    <row r="134" spans="1:11" ht="15" customHeight="1" x14ac:dyDescent="0.45">
      <c r="A134"/>
      <c r="B134" s="16" t="s">
        <v>348</v>
      </c>
      <c r="D134">
        <f t="shared" ref="D134:G136" si="7">D94-C94</f>
        <v>-1.3</v>
      </c>
      <c r="E134">
        <f t="shared" si="7"/>
        <v>-0.3</v>
      </c>
      <c r="F134">
        <f t="shared" si="7"/>
        <v>4.5999999999999996</v>
      </c>
      <c r="G134">
        <f t="shared" si="7"/>
        <v>-4.5999999999999996</v>
      </c>
      <c r="K134"/>
    </row>
    <row r="135" spans="1:11" ht="15" customHeight="1" x14ac:dyDescent="0.45">
      <c r="A135"/>
      <c r="B135" s="16" t="s">
        <v>349</v>
      </c>
      <c r="D135">
        <f t="shared" si="7"/>
        <v>-1.1999999999999993</v>
      </c>
      <c r="E135">
        <f t="shared" si="7"/>
        <v>-0.90000000000000036</v>
      </c>
      <c r="F135">
        <f t="shared" si="7"/>
        <v>-0.60000000000000053</v>
      </c>
      <c r="G135">
        <f t="shared" si="7"/>
        <v>-5.5</v>
      </c>
      <c r="K135"/>
    </row>
    <row r="136" spans="1:11" ht="15" customHeight="1" x14ac:dyDescent="0.45">
      <c r="A136"/>
      <c r="B136" s="16" t="s">
        <v>350</v>
      </c>
      <c r="D136">
        <f t="shared" si="7"/>
        <v>13</v>
      </c>
      <c r="E136">
        <f t="shared" si="7"/>
        <v>-0.49999999999999289</v>
      </c>
      <c r="F136">
        <f t="shared" si="7"/>
        <v>38.099999999999987</v>
      </c>
      <c r="G136">
        <f t="shared" si="7"/>
        <v>20.5</v>
      </c>
      <c r="K136"/>
    </row>
    <row r="137" spans="1:11" ht="15" customHeight="1" x14ac:dyDescent="0.45">
      <c r="A137"/>
      <c r="B137" s="16" t="s">
        <v>203</v>
      </c>
      <c r="D137">
        <f>SUM(D124:D136)</f>
        <v>15.599999999999984</v>
      </c>
      <c r="E137">
        <f>SUM(E124:E136)</f>
        <v>84.5</v>
      </c>
      <c r="F137">
        <f>SUM(F124:F136)</f>
        <v>29.70000000000001</v>
      </c>
      <c r="G137">
        <f>SUM(G124:G136)</f>
        <v>86.6</v>
      </c>
      <c r="K137"/>
    </row>
    <row r="138" spans="1:11" ht="15" customHeight="1" x14ac:dyDescent="0.45">
      <c r="A138"/>
      <c r="B138"/>
      <c r="K138"/>
    </row>
    <row r="139" spans="1:11" ht="15" customHeight="1" x14ac:dyDescent="0.45">
      <c r="A139"/>
      <c r="B139" s="16" t="s">
        <v>191</v>
      </c>
      <c r="D139">
        <f>D110*-1</f>
        <v>-45.7</v>
      </c>
      <c r="E139">
        <f>E110*-1</f>
        <v>-55.199999999999996</v>
      </c>
      <c r="F139">
        <f>F110*-1</f>
        <v>-128.19999999999999</v>
      </c>
      <c r="G139">
        <f>G110*-1</f>
        <v>-49.500000000000007</v>
      </c>
    </row>
    <row r="140" spans="1:11" ht="15" customHeight="1" x14ac:dyDescent="0.45">
      <c r="A140"/>
      <c r="B140" s="16" t="s">
        <v>351</v>
      </c>
      <c r="D140">
        <f>D115*-1</f>
        <v>-4.4000000000000004</v>
      </c>
      <c r="E140">
        <f>E115*-1</f>
        <v>-6</v>
      </c>
      <c r="F140">
        <f>F115*-1</f>
        <v>-1.1999999999999997</v>
      </c>
      <c r="G140">
        <f>G115*-1</f>
        <v>-4.1000000000000005</v>
      </c>
      <c r="K140"/>
    </row>
    <row r="141" spans="1:11" ht="15" customHeight="1" x14ac:dyDescent="0.45">
      <c r="A141"/>
      <c r="B141" s="16" t="s">
        <v>360</v>
      </c>
      <c r="D141">
        <f>C84-D84</f>
        <v>12.4</v>
      </c>
      <c r="E141">
        <f>D84-E84</f>
        <v>-40.700000000000003</v>
      </c>
      <c r="F141">
        <f>E84-F84</f>
        <v>-28.899999999999991</v>
      </c>
      <c r="G141">
        <f>F84-G84</f>
        <v>-14.400000000000006</v>
      </c>
      <c r="K141"/>
    </row>
    <row r="142" spans="1:11" ht="15" customHeight="1" x14ac:dyDescent="0.45">
      <c r="A142"/>
      <c r="B142" s="16" t="s">
        <v>352</v>
      </c>
      <c r="D142">
        <f>SUM(D139:D141)</f>
        <v>-37.700000000000003</v>
      </c>
      <c r="E142">
        <f>SUM(E139:E141)</f>
        <v>-101.9</v>
      </c>
      <c r="F142">
        <f>SUM(F139:F141)</f>
        <v>-158.29999999999995</v>
      </c>
      <c r="G142">
        <f>SUM(G139:G141)</f>
        <v>-68.000000000000014</v>
      </c>
      <c r="K142"/>
    </row>
    <row r="143" spans="1:11" ht="15" customHeight="1" x14ac:dyDescent="0.45">
      <c r="A143"/>
      <c r="B143"/>
      <c r="K143"/>
    </row>
    <row r="144" spans="1:11" ht="15" customHeight="1" x14ac:dyDescent="0.45">
      <c r="A144"/>
      <c r="B144" s="16" t="s">
        <v>356</v>
      </c>
      <c r="D144">
        <f>D90-C90</f>
        <v>2.5999999999999996</v>
      </c>
      <c r="E144">
        <f>E90-D90</f>
        <v>1.6999999999999993</v>
      </c>
      <c r="F144">
        <f>F90-E90</f>
        <v>5.9000000000000021</v>
      </c>
      <c r="G144">
        <f>G90-F90</f>
        <v>-2.9000000000000021</v>
      </c>
      <c r="K144"/>
    </row>
    <row r="145" spans="1:11" ht="15" customHeight="1" x14ac:dyDescent="0.45">
      <c r="A145"/>
      <c r="B145" s="16" t="s">
        <v>353</v>
      </c>
      <c r="D145">
        <f>D93-C93</f>
        <v>15.100000000000009</v>
      </c>
      <c r="E145">
        <f>E93-D93</f>
        <v>-11.700000000000003</v>
      </c>
      <c r="F145">
        <f>F93-E93</f>
        <v>73.199999999999989</v>
      </c>
      <c r="G145">
        <f>G93-F93</f>
        <v>-31.299999999999983</v>
      </c>
      <c r="K145"/>
    </row>
    <row r="146" spans="1:11" ht="15" customHeight="1" x14ac:dyDescent="0.45">
      <c r="A146"/>
      <c r="B146" s="16" t="s">
        <v>355</v>
      </c>
      <c r="D146">
        <f>D98-C98</f>
        <v>-4.1999999999999886</v>
      </c>
      <c r="E146">
        <f>E98-D98</f>
        <v>1.8000000000000114</v>
      </c>
      <c r="F146">
        <f>F98-E98</f>
        <v>6</v>
      </c>
      <c r="G146">
        <f>G98-F98</f>
        <v>-24.5</v>
      </c>
      <c r="K146"/>
    </row>
    <row r="147" spans="1:11" ht="15" customHeight="1" x14ac:dyDescent="0.45">
      <c r="A147"/>
      <c r="B147" s="16" t="s">
        <v>354</v>
      </c>
      <c r="D147">
        <f>D121</f>
        <v>0</v>
      </c>
      <c r="E147">
        <f>E121</f>
        <v>0</v>
      </c>
      <c r="F147">
        <f>F121</f>
        <v>0</v>
      </c>
      <c r="G147">
        <f>G121</f>
        <v>0</v>
      </c>
      <c r="K147"/>
    </row>
    <row r="148" spans="1:11" ht="15" customHeight="1" x14ac:dyDescent="0.45">
      <c r="A148"/>
      <c r="B148" s="16" t="s">
        <v>357</v>
      </c>
      <c r="D148">
        <f>SUM(D144:D147)</f>
        <v>13.500000000000021</v>
      </c>
      <c r="E148">
        <f>SUM(E144:E147)</f>
        <v>-8.1999999999999922</v>
      </c>
      <c r="F148">
        <f>SUM(F144:F147)</f>
        <v>85.1</v>
      </c>
      <c r="G148">
        <f>SUM(G144:G147)</f>
        <v>-58.699999999999989</v>
      </c>
      <c r="K148"/>
    </row>
    <row r="149" spans="1:11" ht="15" customHeight="1" x14ac:dyDescent="0.45">
      <c r="A149"/>
      <c r="B149"/>
      <c r="K149"/>
    </row>
    <row r="150" spans="1:11" ht="15" customHeight="1" x14ac:dyDescent="0.45">
      <c r="A150"/>
      <c r="B150" s="16" t="s">
        <v>358</v>
      </c>
      <c r="D150">
        <f>C152</f>
        <v>218.8</v>
      </c>
      <c r="E150">
        <f>D152</f>
        <v>210.20000000000002</v>
      </c>
      <c r="F150">
        <f>E152</f>
        <v>184.60000000000002</v>
      </c>
      <c r="G150">
        <f>F152</f>
        <v>141.10000000000008</v>
      </c>
      <c r="K150"/>
    </row>
    <row r="151" spans="1:11" ht="15" customHeight="1" x14ac:dyDescent="0.45">
      <c r="A151"/>
      <c r="B151" s="16" t="s">
        <v>359</v>
      </c>
      <c r="D151">
        <f>SUM(D137,D142,D148)</f>
        <v>-8.5999999999999979</v>
      </c>
      <c r="E151">
        <f>SUM(E137,E142,E148)</f>
        <v>-25.599999999999998</v>
      </c>
      <c r="F151">
        <f>SUM(F137,F142,F148)</f>
        <v>-43.499999999999943</v>
      </c>
      <c r="G151">
        <f>SUM(G137,G142,G148)</f>
        <v>-40.100000000000009</v>
      </c>
      <c r="K151"/>
    </row>
    <row r="152" spans="1:11" ht="15" customHeight="1" x14ac:dyDescent="0.45">
      <c r="A152"/>
      <c r="B152" s="16" t="s">
        <v>204</v>
      </c>
      <c r="C152">
        <f>C80</f>
        <v>218.8</v>
      </c>
      <c r="D152">
        <f>SUM(D150:D151)</f>
        <v>210.20000000000002</v>
      </c>
      <c r="E152">
        <f>SUM(E150:E151)</f>
        <v>184.60000000000002</v>
      </c>
      <c r="F152">
        <f>SUM(F150:F151)</f>
        <v>141.10000000000008</v>
      </c>
      <c r="G152">
        <f>SUM(G150:G151)</f>
        <v>101.00000000000007</v>
      </c>
      <c r="K152"/>
    </row>
    <row r="153" spans="1:11" ht="15" customHeight="1" x14ac:dyDescent="0.45">
      <c r="A153"/>
      <c r="B153"/>
      <c r="K153"/>
    </row>
    <row r="154" spans="1:11" ht="15" customHeight="1" x14ac:dyDescent="0.45">
      <c r="A154"/>
      <c r="B154" s="16" t="s">
        <v>133</v>
      </c>
      <c r="D154">
        <f>D152-D80</f>
        <v>0</v>
      </c>
      <c r="E154">
        <f>E152-E80</f>
        <v>0</v>
      </c>
      <c r="F154">
        <f>F152-F80</f>
        <v>0</v>
      </c>
      <c r="G154">
        <f>G152-G80</f>
        <v>0</v>
      </c>
      <c r="K154"/>
    </row>
    <row r="155" spans="1:11" ht="15" customHeight="1" x14ac:dyDescent="0.45">
      <c r="A155"/>
      <c r="B155"/>
      <c r="K155"/>
    </row>
    <row r="156" spans="1:11" ht="15" customHeight="1" x14ac:dyDescent="0.45">
      <c r="A156"/>
      <c r="B156" s="16" t="s">
        <v>419</v>
      </c>
      <c r="D156" s="80">
        <f>D151/D150</f>
        <v>-3.9305301645338193E-2</v>
      </c>
      <c r="E156" s="80">
        <f>E151/E150</f>
        <v>-0.12178877259752614</v>
      </c>
      <c r="F156" s="80">
        <f>F151/F150</f>
        <v>-0.23564463705308741</v>
      </c>
      <c r="G156" s="80">
        <f>G151/G150</f>
        <v>-0.28419560595322457</v>
      </c>
    </row>
    <row r="157" spans="1:11" ht="15" customHeight="1" x14ac:dyDescent="0.45">
      <c r="A157"/>
      <c r="B157"/>
      <c r="K157"/>
    </row>
    <row r="158" spans="1:11" ht="15" customHeight="1" x14ac:dyDescent="0.45">
      <c r="A158" s="15" t="s">
        <v>86</v>
      </c>
      <c r="B158"/>
      <c r="K158"/>
    </row>
    <row r="159" spans="1:11" ht="15" customHeight="1" x14ac:dyDescent="0.45">
      <c r="A159"/>
      <c r="B159" s="16" t="s">
        <v>365</v>
      </c>
      <c r="K159"/>
    </row>
    <row r="160" spans="1:11" ht="15" customHeight="1" x14ac:dyDescent="0.45">
      <c r="A160"/>
      <c r="B160"/>
      <c r="K160"/>
    </row>
    <row r="161" spans="1:11" ht="15" customHeight="1" x14ac:dyDescent="0.45">
      <c r="A161"/>
      <c r="B161" s="16" t="str">
        <f t="shared" ref="B161:G162" si="8">B78</f>
        <v>Inventories</v>
      </c>
      <c r="C161">
        <f t="shared" si="8"/>
        <v>6.8</v>
      </c>
      <c r="D161">
        <f t="shared" si="8"/>
        <v>7.1</v>
      </c>
      <c r="E161">
        <f t="shared" si="8"/>
        <v>6.4</v>
      </c>
      <c r="F161">
        <f t="shared" si="8"/>
        <v>6.3</v>
      </c>
      <c r="G161">
        <f t="shared" si="8"/>
        <v>7.6</v>
      </c>
      <c r="K161"/>
    </row>
    <row r="162" spans="1:11" ht="15" customHeight="1" x14ac:dyDescent="0.45">
      <c r="A162"/>
      <c r="B162" s="16" t="str">
        <f t="shared" si="8"/>
        <v>Trade and other receivables</v>
      </c>
      <c r="C162">
        <f t="shared" si="8"/>
        <v>85.8</v>
      </c>
      <c r="D162">
        <f t="shared" si="8"/>
        <v>98.3</v>
      </c>
      <c r="E162">
        <f t="shared" si="8"/>
        <v>101.4</v>
      </c>
      <c r="F162">
        <f t="shared" si="8"/>
        <v>108</v>
      </c>
      <c r="G162">
        <f t="shared" si="8"/>
        <v>90.7</v>
      </c>
      <c r="K162"/>
    </row>
    <row r="163" spans="1:11" ht="15" customHeight="1" x14ac:dyDescent="0.45">
      <c r="A163"/>
      <c r="B163" s="16" t="str">
        <f t="shared" ref="B163:G164" si="9">B88</f>
        <v>Trade and other payables</v>
      </c>
      <c r="C163">
        <f t="shared" si="9"/>
        <v>82</v>
      </c>
      <c r="D163">
        <f t="shared" si="9"/>
        <v>96.3</v>
      </c>
      <c r="E163">
        <f t="shared" si="9"/>
        <v>104.3</v>
      </c>
      <c r="F163">
        <f t="shared" si="9"/>
        <v>116.9</v>
      </c>
      <c r="G163">
        <f t="shared" si="9"/>
        <v>110</v>
      </c>
    </row>
    <row r="164" spans="1:11" ht="15" customHeight="1" x14ac:dyDescent="0.45">
      <c r="A164"/>
      <c r="B164" s="16" t="str">
        <f t="shared" si="9"/>
        <v>Current deferred income</v>
      </c>
      <c r="C164">
        <f t="shared" si="9"/>
        <v>70.7</v>
      </c>
      <c r="D164">
        <f t="shared" si="9"/>
        <v>77.099999999999994</v>
      </c>
      <c r="E164">
        <f t="shared" si="9"/>
        <v>84.7</v>
      </c>
      <c r="F164">
        <f t="shared" si="9"/>
        <v>83.5</v>
      </c>
      <c r="G164">
        <f t="shared" si="9"/>
        <v>83.8</v>
      </c>
      <c r="K164"/>
    </row>
    <row r="165" spans="1:11" ht="15" customHeight="1" x14ac:dyDescent="0.45">
      <c r="A165"/>
      <c r="B165" s="16" t="str">
        <f t="shared" ref="B165:G165" si="10">B91</f>
        <v>Other current liabilities</v>
      </c>
      <c r="C165">
        <f t="shared" si="10"/>
        <v>53.3</v>
      </c>
      <c r="D165">
        <f t="shared" si="10"/>
        <v>70.8</v>
      </c>
      <c r="E165">
        <f t="shared" si="10"/>
        <v>61.099999999999994</v>
      </c>
      <c r="F165">
        <f t="shared" si="10"/>
        <v>45</v>
      </c>
      <c r="G165">
        <f t="shared" si="10"/>
        <v>63</v>
      </c>
      <c r="K165"/>
    </row>
    <row r="166" spans="1:11" ht="15" customHeight="1" x14ac:dyDescent="0.45">
      <c r="A166"/>
      <c r="B166" s="16" t="s">
        <v>99</v>
      </c>
      <c r="C166">
        <f>SUM(C161:C162)-SUM(C163:C165)</f>
        <v>-113.4</v>
      </c>
      <c r="D166">
        <f>SUM(D161:D162)-SUM(D163:D165)</f>
        <v>-138.80000000000001</v>
      </c>
      <c r="E166">
        <f>SUM(E161:E162)-SUM(E163:E165)</f>
        <v>-142.29999999999998</v>
      </c>
      <c r="F166">
        <f>SUM(F161:F162)-SUM(F163:F165)</f>
        <v>-131.10000000000002</v>
      </c>
      <c r="G166">
        <f>SUM(G161:G162)-SUM(G163:G165)</f>
        <v>-158.5</v>
      </c>
    </row>
    <row r="167" spans="1:11" ht="15" customHeight="1" x14ac:dyDescent="0.45">
      <c r="A167"/>
      <c r="B167" s="16" t="s">
        <v>364</v>
      </c>
      <c r="D167">
        <f>C166-D166</f>
        <v>25.400000000000006</v>
      </c>
      <c r="E167">
        <f>D166-E166</f>
        <v>3.4999999999999716</v>
      </c>
      <c r="F167">
        <f>E166-F166</f>
        <v>-11.19999999999996</v>
      </c>
      <c r="G167">
        <f>F166-G166</f>
        <v>27.399999999999977</v>
      </c>
      <c r="K167"/>
    </row>
    <row r="168" spans="1:11" ht="15" customHeight="1" x14ac:dyDescent="0.45">
      <c r="A168"/>
      <c r="B168"/>
      <c r="K168"/>
    </row>
    <row r="169" spans="1:11" ht="15" customHeight="1" x14ac:dyDescent="0.45">
      <c r="A169" s="15" t="s">
        <v>116</v>
      </c>
      <c r="B169"/>
      <c r="K169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68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 r:id="rId2"/>
  <legacyDrawingHF r:id="rId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864E7-0375-4DC9-9DE0-EE8481567F55}">
  <sheetPr>
    <pageSetUpPr fitToPage="1"/>
  </sheetPr>
  <dimension ref="A1:N86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1.6640625" style="16" customWidth="1"/>
    <col min="3" max="4" width="10.86328125" customWidth="1"/>
    <col min="5" max="10" width="11" customWidth="1"/>
    <col min="11" max="12" width="9.33203125" customWidth="1"/>
  </cols>
  <sheetData>
    <row r="1" spans="1:14" s="88" customFormat="1" ht="45" customHeight="1" x14ac:dyDescent="0.85">
      <c r="A1" s="5" t="str">
        <f>Flybe!A1</f>
        <v>Forensic Accounting</v>
      </c>
      <c r="B1" s="87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90" customFormat="1" ht="30" customHeight="1" x14ac:dyDescent="0.65">
      <c r="A2" s="14" t="s">
        <v>41</v>
      </c>
      <c r="B2" s="89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/>
      <c r="B3"/>
    </row>
    <row r="4" spans="1:14" ht="15" customHeight="1" x14ac:dyDescent="0.45">
      <c r="A4" s="15" t="s">
        <v>66</v>
      </c>
      <c r="B4"/>
    </row>
    <row r="5" spans="1:14" ht="15" customHeight="1" x14ac:dyDescent="0.45">
      <c r="A5"/>
      <c r="B5" s="16" t="s">
        <v>139</v>
      </c>
    </row>
    <row r="6" spans="1:14" ht="15" customHeight="1" x14ac:dyDescent="0.45">
      <c r="A6"/>
      <c r="B6" s="16" t="s">
        <v>138</v>
      </c>
    </row>
    <row r="7" spans="1:14" ht="15" customHeight="1" x14ac:dyDescent="0.45">
      <c r="A7"/>
      <c r="B7" s="16" t="s">
        <v>134</v>
      </c>
    </row>
    <row r="8" spans="1:14" ht="15" customHeight="1" x14ac:dyDescent="0.45">
      <c r="A8"/>
      <c r="B8"/>
    </row>
    <row r="9" spans="1:14" ht="15" customHeight="1" x14ac:dyDescent="0.45">
      <c r="A9"/>
      <c r="B9" s="16" t="s">
        <v>141</v>
      </c>
      <c r="C9">
        <v>20908</v>
      </c>
    </row>
    <row r="10" spans="1:14" ht="15" customHeight="1" x14ac:dyDescent="0.45">
      <c r="A10"/>
      <c r="B10" s="16" t="s">
        <v>135</v>
      </c>
      <c r="C10">
        <v>10000</v>
      </c>
    </row>
    <row r="11" spans="1:14" ht="15" customHeight="1" x14ac:dyDescent="0.45">
      <c r="A11"/>
      <c r="B11" s="16" t="s">
        <v>137</v>
      </c>
      <c r="C11">
        <v>3</v>
      </c>
    </row>
    <row r="12" spans="1:14" ht="15" customHeight="1" x14ac:dyDescent="0.45">
      <c r="A12"/>
      <c r="B12" s="16" t="s">
        <v>136</v>
      </c>
      <c r="C12">
        <f>(C9-C10)/C11</f>
        <v>3636</v>
      </c>
    </row>
    <row r="13" spans="1:14" ht="15" customHeight="1" x14ac:dyDescent="0.45">
      <c r="A13"/>
      <c r="B13" s="16" t="s">
        <v>493</v>
      </c>
      <c r="C13">
        <f>C12/12</f>
        <v>303</v>
      </c>
    </row>
    <row r="14" spans="1:14" ht="15" customHeight="1" x14ac:dyDescent="0.45">
      <c r="A14"/>
      <c r="B14"/>
    </row>
    <row r="15" spans="1:14" ht="15" customHeight="1" x14ac:dyDescent="0.45">
      <c r="A15" s="15" t="s">
        <v>72</v>
      </c>
      <c r="B15"/>
    </row>
    <row r="16" spans="1:14" ht="15" customHeight="1" x14ac:dyDescent="0.45">
      <c r="A16"/>
      <c r="B16" s="16" t="s">
        <v>148</v>
      </c>
    </row>
    <row r="17" spans="1:6" ht="15" customHeight="1" x14ac:dyDescent="0.45">
      <c r="A17"/>
      <c r="B17" s="16" t="s">
        <v>140</v>
      </c>
    </row>
    <row r="18" spans="1:6" ht="15" customHeight="1" x14ac:dyDescent="0.45">
      <c r="A18"/>
      <c r="B18" s="16" t="s">
        <v>142</v>
      </c>
    </row>
    <row r="19" spans="1:6" ht="15" customHeight="1" x14ac:dyDescent="0.45">
      <c r="A19"/>
      <c r="B19"/>
    </row>
    <row r="20" spans="1:6" ht="15" customHeight="1" x14ac:dyDescent="0.45">
      <c r="A20"/>
      <c r="B20" s="16" t="s">
        <v>141</v>
      </c>
      <c r="C20">
        <f>C9-C12</f>
        <v>17272</v>
      </c>
    </row>
    <row r="21" spans="1:6" ht="15" customHeight="1" x14ac:dyDescent="0.45">
      <c r="A21"/>
      <c r="B21" s="16" t="s">
        <v>135</v>
      </c>
      <c r="C21">
        <v>8920</v>
      </c>
    </row>
    <row r="22" spans="1:6" ht="15" customHeight="1" x14ac:dyDescent="0.45">
      <c r="A22"/>
      <c r="B22" s="16" t="s">
        <v>137</v>
      </c>
      <c r="C22">
        <v>2</v>
      </c>
    </row>
    <row r="23" spans="1:6" ht="15" customHeight="1" x14ac:dyDescent="0.45">
      <c r="A23"/>
      <c r="B23" s="16" t="s">
        <v>136</v>
      </c>
      <c r="C23">
        <f>(C20-C21)/C22</f>
        <v>4176</v>
      </c>
    </row>
    <row r="24" spans="1:6" ht="15" customHeight="1" x14ac:dyDescent="0.45">
      <c r="A24"/>
      <c r="B24" s="16" t="s">
        <v>493</v>
      </c>
      <c r="C24">
        <f>C23/12</f>
        <v>348</v>
      </c>
    </row>
    <row r="25" spans="1:6" ht="15" customHeight="1" x14ac:dyDescent="0.45">
      <c r="A25"/>
      <c r="B25"/>
    </row>
    <row r="26" spans="1:6" ht="15" customHeight="1" x14ac:dyDescent="0.45">
      <c r="A26" s="15" t="s">
        <v>76</v>
      </c>
      <c r="B26"/>
    </row>
    <row r="27" spans="1:6" ht="15" customHeight="1" x14ac:dyDescent="0.45">
      <c r="A27"/>
      <c r="B27" s="16" t="s">
        <v>143</v>
      </c>
    </row>
    <row r="28" spans="1:6" ht="15" customHeight="1" x14ac:dyDescent="0.45">
      <c r="A28"/>
      <c r="B28"/>
    </row>
    <row r="29" spans="1:6" ht="15" customHeight="1" x14ac:dyDescent="0.45">
      <c r="A29"/>
      <c r="B29" s="76" t="s">
        <v>42</v>
      </c>
      <c r="C29" s="73" t="s">
        <v>68</v>
      </c>
      <c r="D29" s="67" t="s">
        <v>69</v>
      </c>
      <c r="E29" s="73" t="s">
        <v>70</v>
      </c>
      <c r="F29" s="67" t="s">
        <v>71</v>
      </c>
    </row>
    <row r="30" spans="1:6" ht="15" customHeight="1" x14ac:dyDescent="0.45">
      <c r="A30"/>
      <c r="B30" t="s">
        <v>494</v>
      </c>
      <c r="C30" s="73" t="s">
        <v>68</v>
      </c>
      <c r="D30" s="65" t="s">
        <v>434</v>
      </c>
      <c r="E30" s="73" t="s">
        <v>70</v>
      </c>
      <c r="F30" t="s">
        <v>495</v>
      </c>
    </row>
    <row r="31" spans="1:6" ht="15" customHeight="1" x14ac:dyDescent="0.45">
      <c r="A31"/>
      <c r="B31"/>
    </row>
    <row r="32" spans="1:6" ht="15" customHeight="1" x14ac:dyDescent="0.45">
      <c r="A32"/>
      <c r="B32"/>
    </row>
    <row r="33" spans="1:2" ht="15" customHeight="1" x14ac:dyDescent="0.45">
      <c r="A33" s="15" t="s">
        <v>79</v>
      </c>
      <c r="B33"/>
    </row>
    <row r="34" spans="1:2" ht="15" customHeight="1" x14ac:dyDescent="0.45">
      <c r="A34"/>
      <c r="B34" s="16" t="s">
        <v>144</v>
      </c>
    </row>
    <row r="35" spans="1:2" ht="15" customHeight="1" x14ac:dyDescent="0.45">
      <c r="A35"/>
      <c r="B35"/>
    </row>
    <row r="36" spans="1:2" ht="15" customHeight="1" x14ac:dyDescent="0.45">
      <c r="A36"/>
      <c r="B36"/>
    </row>
    <row r="37" spans="1:2" ht="15" customHeight="1" x14ac:dyDescent="0.45">
      <c r="A37"/>
      <c r="B37"/>
    </row>
    <row r="38" spans="1:2" ht="15" customHeight="1" x14ac:dyDescent="0.45">
      <c r="A38"/>
      <c r="B38"/>
    </row>
    <row r="39" spans="1:2" ht="15" customHeight="1" x14ac:dyDescent="0.45">
      <c r="A39"/>
      <c r="B39"/>
    </row>
    <row r="40" spans="1:2" ht="15" customHeight="1" x14ac:dyDescent="0.45">
      <c r="A40"/>
      <c r="B40"/>
    </row>
    <row r="41" spans="1:2" ht="15" customHeight="1" x14ac:dyDescent="0.45">
      <c r="A41"/>
      <c r="B41"/>
    </row>
    <row r="42" spans="1:2" ht="15" customHeight="1" x14ac:dyDescent="0.45">
      <c r="A42"/>
      <c r="B42"/>
    </row>
    <row r="43" spans="1:2" ht="15" customHeight="1" x14ac:dyDescent="0.45">
      <c r="A43"/>
      <c r="B43"/>
    </row>
    <row r="44" spans="1:2" ht="15" customHeight="1" x14ac:dyDescent="0.45">
      <c r="A44"/>
      <c r="B44"/>
    </row>
    <row r="45" spans="1:2" ht="15" customHeight="1" x14ac:dyDescent="0.45">
      <c r="A45"/>
      <c r="B45"/>
    </row>
    <row r="46" spans="1:2" ht="15" customHeight="1" x14ac:dyDescent="0.45">
      <c r="A46"/>
      <c r="B46"/>
    </row>
    <row r="47" spans="1:2" ht="15" customHeight="1" x14ac:dyDescent="0.45">
      <c r="A47"/>
      <c r="B47"/>
    </row>
    <row r="48" spans="1:2" ht="15" customHeight="1" x14ac:dyDescent="0.45">
      <c r="A48"/>
      <c r="B48"/>
    </row>
    <row r="49" spans="1:2" ht="15" customHeight="1" x14ac:dyDescent="0.45">
      <c r="A49"/>
      <c r="B49"/>
    </row>
    <row r="50" spans="1:2" ht="15" customHeight="1" x14ac:dyDescent="0.45">
      <c r="A50"/>
      <c r="B50"/>
    </row>
    <row r="51" spans="1:2" ht="15" customHeight="1" x14ac:dyDescent="0.45">
      <c r="A51"/>
      <c r="B51"/>
    </row>
    <row r="52" spans="1:2" ht="15" customHeight="1" x14ac:dyDescent="0.45">
      <c r="A52"/>
      <c r="B52"/>
    </row>
    <row r="53" spans="1:2" ht="15" customHeight="1" x14ac:dyDescent="0.45">
      <c r="A53"/>
      <c r="B53"/>
    </row>
    <row r="54" spans="1:2" ht="15" customHeight="1" x14ac:dyDescent="0.45">
      <c r="A54"/>
      <c r="B54"/>
    </row>
    <row r="55" spans="1:2" ht="15" customHeight="1" x14ac:dyDescent="0.45">
      <c r="A55"/>
      <c r="B55"/>
    </row>
    <row r="56" spans="1:2" ht="15" customHeight="1" x14ac:dyDescent="0.45">
      <c r="A56"/>
      <c r="B56"/>
    </row>
    <row r="57" spans="1:2" ht="15" customHeight="1" x14ac:dyDescent="0.45">
      <c r="A57"/>
      <c r="B57"/>
    </row>
    <row r="58" spans="1:2" ht="15" customHeight="1" x14ac:dyDescent="0.45">
      <c r="A58"/>
      <c r="B58"/>
    </row>
    <row r="59" spans="1:2" ht="15" customHeight="1" x14ac:dyDescent="0.45">
      <c r="A59"/>
      <c r="B59"/>
    </row>
    <row r="60" spans="1:2" ht="15" customHeight="1" x14ac:dyDescent="0.45">
      <c r="A60"/>
      <c r="B60"/>
    </row>
    <row r="61" spans="1:2" ht="15" customHeight="1" x14ac:dyDescent="0.45">
      <c r="A61"/>
      <c r="B61"/>
    </row>
    <row r="62" spans="1:2" ht="15" customHeight="1" x14ac:dyDescent="0.45">
      <c r="A62"/>
      <c r="B62"/>
    </row>
    <row r="63" spans="1:2" ht="15" customHeight="1" x14ac:dyDescent="0.45">
      <c r="A63"/>
      <c r="B63" t="s">
        <v>521</v>
      </c>
    </row>
    <row r="64" spans="1:2" ht="15" customHeight="1" x14ac:dyDescent="0.45">
      <c r="A64"/>
      <c r="B64" t="s">
        <v>920</v>
      </c>
    </row>
    <row r="65" spans="1:2" ht="15" customHeight="1" x14ac:dyDescent="0.45">
      <c r="A65"/>
      <c r="B65" t="s">
        <v>522</v>
      </c>
    </row>
    <row r="66" spans="1:2" ht="15" customHeight="1" x14ac:dyDescent="0.45">
      <c r="A66"/>
      <c r="B66"/>
    </row>
    <row r="67" spans="1:2" ht="15" customHeight="1" x14ac:dyDescent="0.45">
      <c r="A67"/>
      <c r="B67"/>
    </row>
    <row r="68" spans="1:2" ht="15" customHeight="1" x14ac:dyDescent="0.45">
      <c r="A68"/>
      <c r="B68"/>
    </row>
    <row r="69" spans="1:2" ht="15" customHeight="1" x14ac:dyDescent="0.45">
      <c r="A69"/>
      <c r="B69"/>
    </row>
    <row r="70" spans="1:2" ht="15" customHeight="1" x14ac:dyDescent="0.45">
      <c r="A70"/>
      <c r="B70"/>
    </row>
    <row r="71" spans="1:2" ht="15" customHeight="1" x14ac:dyDescent="0.45">
      <c r="A71"/>
      <c r="B71"/>
    </row>
    <row r="72" spans="1:2" ht="15" customHeight="1" x14ac:dyDescent="0.45">
      <c r="A72"/>
      <c r="B72"/>
    </row>
    <row r="73" spans="1:2" ht="15" customHeight="1" x14ac:dyDescent="0.45">
      <c r="A73"/>
      <c r="B73"/>
    </row>
    <row r="74" spans="1:2" ht="15" customHeight="1" x14ac:dyDescent="0.45">
      <c r="A74"/>
      <c r="B74"/>
    </row>
    <row r="75" spans="1:2" ht="15" customHeight="1" x14ac:dyDescent="0.45">
      <c r="A75"/>
      <c r="B75"/>
    </row>
    <row r="76" spans="1:2" ht="15" customHeight="1" x14ac:dyDescent="0.45">
      <c r="A76"/>
      <c r="B76"/>
    </row>
    <row r="77" spans="1:2" ht="15" customHeight="1" x14ac:dyDescent="0.45">
      <c r="A77"/>
      <c r="B77"/>
    </row>
    <row r="78" spans="1:2" ht="15" customHeight="1" x14ac:dyDescent="0.45">
      <c r="A78"/>
      <c r="B78"/>
    </row>
    <row r="79" spans="1:2" ht="15" customHeight="1" x14ac:dyDescent="0.45">
      <c r="A79"/>
      <c r="B79"/>
    </row>
    <row r="80" spans="1:2" ht="15" customHeight="1" x14ac:dyDescent="0.45">
      <c r="A80"/>
      <c r="B80"/>
    </row>
    <row r="81" spans="1:2" ht="15" customHeight="1" x14ac:dyDescent="0.45">
      <c r="A81"/>
      <c r="B81"/>
    </row>
    <row r="82" spans="1:2" ht="15" customHeight="1" x14ac:dyDescent="0.45">
      <c r="A82"/>
      <c r="B82"/>
    </row>
    <row r="83" spans="1:2" ht="15" customHeight="1" x14ac:dyDescent="0.45">
      <c r="A83"/>
      <c r="B83"/>
    </row>
    <row r="84" spans="1:2" ht="15" customHeight="1" x14ac:dyDescent="0.45">
      <c r="A84"/>
      <c r="B84"/>
    </row>
    <row r="85" spans="1:2" ht="15" customHeight="1" x14ac:dyDescent="0.45">
      <c r="A85"/>
      <c r="B85"/>
    </row>
    <row r="86" spans="1:2" ht="15" customHeight="1" x14ac:dyDescent="0.45">
      <c r="A86" s="15" t="s">
        <v>116</v>
      </c>
      <c r="B86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97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99AB3C-421A-4E53-8F9E-7036CD3D544D}">
  <sheetPr>
    <pageSetUpPr fitToPage="1"/>
  </sheetPr>
  <dimension ref="A1:N207"/>
  <sheetViews>
    <sheetView zoomScaleNormal="100" workbookViewId="0"/>
  </sheetViews>
  <sheetFormatPr defaultColWidth="9.1328125" defaultRowHeight="15" customHeight="1" x14ac:dyDescent="0.45"/>
  <cols>
    <col min="1" max="1" width="1.46484375" style="15" customWidth="1"/>
    <col min="2" max="2" width="41.53125" style="16" customWidth="1"/>
    <col min="3" max="5" width="11" customWidth="1"/>
    <col min="6" max="7" width="9.33203125" customWidth="1"/>
  </cols>
  <sheetData>
    <row r="1" spans="1:14" s="88" customFormat="1" ht="45" customHeight="1" x14ac:dyDescent="0.85">
      <c r="A1" s="5" t="str">
        <f>'Patisserie Valerie'!A1</f>
        <v>Forensic Accounting</v>
      </c>
      <c r="B1" s="87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90" customFormat="1" ht="30" customHeight="1" x14ac:dyDescent="0.65">
      <c r="A2" s="14" t="s">
        <v>523</v>
      </c>
      <c r="B2" s="89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5" customHeight="1" x14ac:dyDescent="0.45">
      <c r="A3"/>
      <c r="B3"/>
    </row>
    <row r="4" spans="1:14" ht="15" customHeight="1" x14ac:dyDescent="0.45">
      <c r="A4" s="15" t="s">
        <v>66</v>
      </c>
      <c r="B4"/>
    </row>
    <row r="5" spans="1:14" ht="15" customHeight="1" x14ac:dyDescent="0.45">
      <c r="A5"/>
      <c r="B5" s="16" t="s">
        <v>524</v>
      </c>
    </row>
    <row r="6" spans="1:14" ht="15" customHeight="1" x14ac:dyDescent="0.45">
      <c r="A6"/>
      <c r="B6" s="16" t="s">
        <v>525</v>
      </c>
    </row>
    <row r="7" spans="1:14" ht="15" customHeight="1" x14ac:dyDescent="0.45">
      <c r="A7"/>
      <c r="B7" s="16" t="s">
        <v>526</v>
      </c>
    </row>
    <row r="8" spans="1:14" ht="15" customHeight="1" x14ac:dyDescent="0.45">
      <c r="A8"/>
      <c r="B8"/>
    </row>
    <row r="9" spans="1:14" ht="15" customHeight="1" x14ac:dyDescent="0.45">
      <c r="A9"/>
      <c r="B9" s="16" t="s">
        <v>527</v>
      </c>
    </row>
    <row r="10" spans="1:14" ht="15" customHeight="1" x14ac:dyDescent="0.45">
      <c r="A10"/>
      <c r="B10" s="16" t="s">
        <v>528</v>
      </c>
    </row>
    <row r="11" spans="1:14" ht="15" customHeight="1" x14ac:dyDescent="0.45">
      <c r="A11"/>
      <c r="B11" s="16" t="s">
        <v>149</v>
      </c>
    </row>
    <row r="12" spans="1:14" ht="15" customHeight="1" x14ac:dyDescent="0.45">
      <c r="A12"/>
      <c r="B12" s="16" t="s">
        <v>529</v>
      </c>
    </row>
    <row r="13" spans="1:14" ht="15" customHeight="1" x14ac:dyDescent="0.45">
      <c r="A13"/>
      <c r="B13"/>
      <c r="C13" s="16" t="s">
        <v>530</v>
      </c>
    </row>
    <row r="14" spans="1:14" ht="15" customHeight="1" x14ac:dyDescent="0.45">
      <c r="A14"/>
      <c r="B14"/>
      <c r="C14" s="103">
        <v>42735</v>
      </c>
      <c r="D14" s="103">
        <v>42369</v>
      </c>
      <c r="E14" s="103">
        <v>42004</v>
      </c>
      <c r="F14" s="103">
        <v>41639</v>
      </c>
      <c r="G14" s="103">
        <v>41274</v>
      </c>
      <c r="H14" s="103">
        <v>40908</v>
      </c>
    </row>
    <row r="15" spans="1:14" ht="15" customHeight="1" x14ac:dyDescent="0.45">
      <c r="A15"/>
      <c r="B15"/>
      <c r="C15" s="16" t="s">
        <v>150</v>
      </c>
      <c r="D15" s="16" t="s">
        <v>151</v>
      </c>
      <c r="E15" s="16" t="s">
        <v>151</v>
      </c>
      <c r="F15" s="16" t="s">
        <v>151</v>
      </c>
      <c r="G15" s="16" t="s">
        <v>150</v>
      </c>
      <c r="H15" s="16" t="s">
        <v>151</v>
      </c>
    </row>
    <row r="16" spans="1:14" ht="15" customHeight="1" x14ac:dyDescent="0.45">
      <c r="A16"/>
      <c r="B16"/>
    </row>
    <row r="17" spans="1:9" ht="15" customHeight="1" x14ac:dyDescent="0.45">
      <c r="A17"/>
      <c r="B17" s="16" t="s">
        <v>65</v>
      </c>
      <c r="C17" s="67">
        <v>4394.8999999999996</v>
      </c>
      <c r="D17" s="67">
        <v>3950.7</v>
      </c>
      <c r="E17" s="67">
        <v>3493.9</v>
      </c>
      <c r="F17" s="67">
        <v>3332.6</v>
      </c>
      <c r="G17" s="67">
        <v>3666.2</v>
      </c>
      <c r="H17" s="67">
        <v>4153.2</v>
      </c>
    </row>
    <row r="18" spans="1:9" ht="15" customHeight="1" x14ac:dyDescent="0.45">
      <c r="A18"/>
      <c r="B18" s="16" t="s">
        <v>152</v>
      </c>
      <c r="C18" s="67">
        <v>4044.2</v>
      </c>
      <c r="D18" s="67">
        <v>3609.8</v>
      </c>
      <c r="E18" s="67">
        <v>3186.7</v>
      </c>
      <c r="F18" s="67">
        <v>3007.4</v>
      </c>
      <c r="G18" s="67">
        <v>3314.5</v>
      </c>
      <c r="H18" s="67">
        <v>3796.4</v>
      </c>
    </row>
    <row r="19" spans="1:9" ht="15" customHeight="1" x14ac:dyDescent="0.45">
      <c r="A19"/>
      <c r="B19" s="16" t="s">
        <v>153</v>
      </c>
      <c r="C19">
        <f>C17-C18</f>
        <v>350.69999999999982</v>
      </c>
      <c r="D19">
        <f t="shared" ref="D19:H19" si="0">D17-D18</f>
        <v>340.89999999999964</v>
      </c>
      <c r="E19">
        <f t="shared" si="0"/>
        <v>307.20000000000027</v>
      </c>
      <c r="F19">
        <f t="shared" si="0"/>
        <v>325.19999999999982</v>
      </c>
      <c r="G19">
        <f t="shared" si="0"/>
        <v>351.69999999999982</v>
      </c>
      <c r="H19">
        <f t="shared" si="0"/>
        <v>356.79999999999973</v>
      </c>
      <c r="I19" t="str">
        <f ca="1">_xlfn.FORMULATEXT(H19)</f>
        <v>=H17-H18</v>
      </c>
    </row>
    <row r="20" spans="1:9" ht="15" customHeight="1" x14ac:dyDescent="0.45">
      <c r="A20"/>
      <c r="B20" s="16" t="s">
        <v>154</v>
      </c>
      <c r="C20" s="67">
        <v>175.9</v>
      </c>
      <c r="D20" s="67">
        <v>206.9</v>
      </c>
      <c r="E20" s="67">
        <v>145.80000000000001</v>
      </c>
      <c r="F20" s="67">
        <v>200.7</v>
      </c>
      <c r="G20" s="67">
        <v>197.9</v>
      </c>
      <c r="H20" s="67">
        <v>218</v>
      </c>
    </row>
    <row r="21" spans="1:9" ht="15" customHeight="1" x14ac:dyDescent="0.45">
      <c r="A21"/>
      <c r="B21" s="16" t="s">
        <v>155</v>
      </c>
      <c r="C21" s="67">
        <v>0</v>
      </c>
      <c r="D21" s="67">
        <v>0</v>
      </c>
      <c r="E21" s="67">
        <v>0</v>
      </c>
      <c r="F21" s="67">
        <v>0</v>
      </c>
      <c r="G21" s="67">
        <v>0</v>
      </c>
      <c r="H21" s="67">
        <v>0</v>
      </c>
    </row>
    <row r="22" spans="1:9" ht="15" customHeight="1" x14ac:dyDescent="0.45">
      <c r="A22"/>
      <c r="B22" s="16" t="s">
        <v>156</v>
      </c>
      <c r="C22">
        <f>C19-C20-C21</f>
        <v>174.79999999999981</v>
      </c>
      <c r="D22">
        <f t="shared" ref="D22:H22" si="1">D19-D20-D21</f>
        <v>133.99999999999963</v>
      </c>
      <c r="E22">
        <f t="shared" si="1"/>
        <v>161.40000000000026</v>
      </c>
      <c r="F22">
        <f t="shared" si="1"/>
        <v>124.49999999999983</v>
      </c>
      <c r="G22">
        <f t="shared" si="1"/>
        <v>153.79999999999981</v>
      </c>
      <c r="H22">
        <f t="shared" si="1"/>
        <v>138.79999999999973</v>
      </c>
      <c r="I22" t="str">
        <f ca="1">_xlfn.FORMULATEXT(H22)</f>
        <v>=H19-H20-H21</v>
      </c>
    </row>
    <row r="23" spans="1:9" ht="15" customHeight="1" x14ac:dyDescent="0.45">
      <c r="A23"/>
      <c r="B23" s="16" t="s">
        <v>531</v>
      </c>
      <c r="C23" s="67">
        <v>6.7</v>
      </c>
      <c r="D23" s="67">
        <v>36.5</v>
      </c>
      <c r="E23" s="67">
        <v>2.2000000000000002</v>
      </c>
      <c r="F23" s="67">
        <v>33.5</v>
      </c>
      <c r="G23" s="67">
        <v>23.3</v>
      </c>
      <c r="H23" s="67">
        <v>33.9</v>
      </c>
    </row>
    <row r="24" spans="1:9" ht="15" customHeight="1" x14ac:dyDescent="0.45">
      <c r="A24"/>
      <c r="B24" s="16" t="s">
        <v>532</v>
      </c>
      <c r="C24" s="67">
        <v>45.5</v>
      </c>
      <c r="D24" s="67">
        <v>42.3</v>
      </c>
      <c r="E24" s="67">
        <v>29.8</v>
      </c>
      <c r="F24" s="67">
        <v>30.8</v>
      </c>
      <c r="G24" s="67">
        <v>29.4</v>
      </c>
      <c r="H24" s="67">
        <v>23.1</v>
      </c>
    </row>
    <row r="25" spans="1:9" ht="15" customHeight="1" x14ac:dyDescent="0.45">
      <c r="A25"/>
      <c r="B25" s="16" t="s">
        <v>533</v>
      </c>
      <c r="C25" s="67">
        <v>25.6</v>
      </c>
      <c r="D25" s="67">
        <v>-0.9</v>
      </c>
      <c r="E25" s="67">
        <v>16.3</v>
      </c>
      <c r="F25" s="67">
        <v>43.1</v>
      </c>
      <c r="G25" s="67">
        <v>2.5</v>
      </c>
      <c r="H25" s="67">
        <v>55.5</v>
      </c>
    </row>
    <row r="26" spans="1:9" ht="15" customHeight="1" x14ac:dyDescent="0.45">
      <c r="A26"/>
      <c r="B26" s="16" t="s">
        <v>921</v>
      </c>
      <c r="C26">
        <f>C22+C23-C24-C25</f>
        <v>110.39999999999981</v>
      </c>
      <c r="D26">
        <f t="shared" ref="D26:H26" si="2">D22+D23-D24-D25</f>
        <v>129.09999999999965</v>
      </c>
      <c r="E26">
        <f t="shared" si="2"/>
        <v>117.50000000000024</v>
      </c>
      <c r="F26">
        <f t="shared" si="2"/>
        <v>84.099999999999824</v>
      </c>
      <c r="G26">
        <f t="shared" si="2"/>
        <v>145.19999999999982</v>
      </c>
      <c r="H26">
        <f t="shared" si="2"/>
        <v>94.099999999999739</v>
      </c>
      <c r="I26" t="str">
        <f ca="1">_xlfn.FORMULATEXT(H26)</f>
        <v>=H22+H23-H24-H25</v>
      </c>
    </row>
    <row r="27" spans="1:9" ht="15" customHeight="1" x14ac:dyDescent="0.45">
      <c r="A27"/>
      <c r="B27" s="16" t="s">
        <v>534</v>
      </c>
      <c r="C27" s="67">
        <v>17.2</v>
      </c>
      <c r="D27" s="67">
        <v>15.7</v>
      </c>
      <c r="E27" s="67">
        <v>15.1</v>
      </c>
      <c r="F27" s="67">
        <v>4.3</v>
      </c>
      <c r="G27" s="67">
        <v>13.3</v>
      </c>
      <c r="H27" s="67">
        <v>4.8</v>
      </c>
    </row>
    <row r="28" spans="1:9" ht="15" customHeight="1" x14ac:dyDescent="0.45">
      <c r="A28"/>
      <c r="B28" s="16" t="s">
        <v>535</v>
      </c>
      <c r="C28" s="67">
        <v>36.299999999999997</v>
      </c>
      <c r="D28" s="67">
        <v>26</v>
      </c>
      <c r="E28" s="67">
        <v>25.1</v>
      </c>
      <c r="F28" s="67">
        <v>26.5</v>
      </c>
      <c r="G28" s="67">
        <v>34.299999999999997</v>
      </c>
      <c r="H28" s="67">
        <v>48.7</v>
      </c>
    </row>
    <row r="29" spans="1:9" ht="15" customHeight="1" x14ac:dyDescent="0.45">
      <c r="A29"/>
      <c r="B29" s="16" t="s">
        <v>536</v>
      </c>
      <c r="C29">
        <f>C26-C27+C28</f>
        <v>129.4999999999998</v>
      </c>
      <c r="D29">
        <f t="shared" ref="D29:H29" si="3">D26-D27+D28</f>
        <v>139.39999999999964</v>
      </c>
      <c r="E29">
        <f t="shared" si="3"/>
        <v>127.50000000000026</v>
      </c>
      <c r="F29">
        <f t="shared" si="3"/>
        <v>106.29999999999983</v>
      </c>
      <c r="G29">
        <f t="shared" si="3"/>
        <v>166.19999999999982</v>
      </c>
      <c r="H29">
        <f t="shared" si="3"/>
        <v>137.99999999999974</v>
      </c>
      <c r="I29" t="str">
        <f ca="1">_xlfn.FORMULATEXT(H29)</f>
        <v>=H26-H27+H28</v>
      </c>
    </row>
    <row r="30" spans="1:9" ht="15" customHeight="1" x14ac:dyDescent="0.45">
      <c r="A30"/>
      <c r="B30" s="16" t="s">
        <v>537</v>
      </c>
      <c r="C30" s="67">
        <v>5.3</v>
      </c>
      <c r="D30" s="67">
        <v>6.6</v>
      </c>
      <c r="E30" s="67">
        <v>6.8</v>
      </c>
      <c r="F30" s="67">
        <v>6.1</v>
      </c>
      <c r="G30" s="67">
        <v>6.1</v>
      </c>
      <c r="H30" s="67">
        <v>3.4</v>
      </c>
    </row>
    <row r="31" spans="1:9" ht="15" customHeight="1" x14ac:dyDescent="0.45">
      <c r="A31"/>
      <c r="B31" s="16" t="s">
        <v>539</v>
      </c>
      <c r="C31">
        <f>C29-C30</f>
        <v>124.1999999999998</v>
      </c>
      <c r="D31">
        <f t="shared" ref="D31:H31" si="4">D29-D30</f>
        <v>132.79999999999964</v>
      </c>
      <c r="E31">
        <f t="shared" si="4"/>
        <v>120.70000000000026</v>
      </c>
      <c r="F31">
        <f t="shared" si="4"/>
        <v>100.19999999999983</v>
      </c>
      <c r="G31">
        <f t="shared" si="4"/>
        <v>160.09999999999982</v>
      </c>
      <c r="H31">
        <f t="shared" si="4"/>
        <v>134.59999999999974</v>
      </c>
      <c r="I31" t="str">
        <f ca="1">_xlfn.FORMULATEXT(H31)</f>
        <v>=H29-H30</v>
      </c>
    </row>
    <row r="32" spans="1:9" ht="15" customHeight="1" x14ac:dyDescent="0.45">
      <c r="A32"/>
      <c r="B32" s="16" t="s">
        <v>540</v>
      </c>
      <c r="C32" s="111">
        <v>0.30105199999999999</v>
      </c>
      <c r="D32" s="111">
        <v>0.28093000000000001</v>
      </c>
      <c r="E32" s="111">
        <v>0.27824300000000002</v>
      </c>
      <c r="F32" s="111">
        <v>0.30185200000000001</v>
      </c>
      <c r="G32" s="111">
        <v>0.37447900000000001</v>
      </c>
      <c r="H32" s="111">
        <v>0.40966000000000002</v>
      </c>
    </row>
    <row r="33" spans="1:9" ht="15" customHeight="1" x14ac:dyDescent="0.45">
      <c r="A33"/>
      <c r="B33" s="16" t="s">
        <v>541</v>
      </c>
      <c r="C33" s="111">
        <v>0.1845</v>
      </c>
      <c r="D33" s="111">
        <v>0.1825</v>
      </c>
      <c r="E33" s="111">
        <v>0.17749999999999999</v>
      </c>
      <c r="F33" s="111">
        <v>0.17499999999999999</v>
      </c>
      <c r="G33" s="111">
        <v>0.17249999999999999</v>
      </c>
      <c r="H33" s="111">
        <v>0.16900000000000001</v>
      </c>
    </row>
    <row r="34" spans="1:9" ht="15" customHeight="1" x14ac:dyDescent="0.45">
      <c r="A34"/>
      <c r="B34"/>
    </row>
    <row r="35" spans="1:9" ht="15" customHeight="1" x14ac:dyDescent="0.45">
      <c r="A35"/>
      <c r="B35" s="16" t="s">
        <v>98</v>
      </c>
      <c r="C35" s="67">
        <v>219.8</v>
      </c>
      <c r="D35" s="67">
        <v>179.4</v>
      </c>
      <c r="E35" s="67">
        <v>206.2</v>
      </c>
      <c r="F35" s="67">
        <v>168.8</v>
      </c>
      <c r="G35" s="67">
        <v>216</v>
      </c>
      <c r="H35" s="67">
        <v>201.1</v>
      </c>
    </row>
    <row r="36" spans="1:9" ht="15" customHeight="1" x14ac:dyDescent="0.45">
      <c r="A36"/>
      <c r="B36" s="16" t="s">
        <v>542</v>
      </c>
      <c r="C36" s="67">
        <v>57.5</v>
      </c>
      <c r="D36" s="67">
        <v>48.5</v>
      </c>
      <c r="E36" s="67">
        <v>41.5</v>
      </c>
      <c r="F36" s="67">
        <v>41.3</v>
      </c>
      <c r="G36" s="67">
        <v>41.2</v>
      </c>
      <c r="H36" s="67">
        <v>51.8</v>
      </c>
    </row>
    <row r="37" spans="1:9" ht="15" customHeight="1" x14ac:dyDescent="0.45">
      <c r="A37"/>
      <c r="B37" s="16" t="s">
        <v>543</v>
      </c>
      <c r="C37" s="67">
        <v>2</v>
      </c>
      <c r="D37" s="67">
        <v>0.8</v>
      </c>
      <c r="E37" s="67">
        <v>0.3</v>
      </c>
      <c r="F37" s="67">
        <v>0.9</v>
      </c>
      <c r="G37" s="67">
        <v>1.6559999999999999</v>
      </c>
      <c r="H37" s="67">
        <v>3.8</v>
      </c>
    </row>
    <row r="38" spans="1:9" ht="15" customHeight="1" x14ac:dyDescent="0.45">
      <c r="A38"/>
      <c r="B38" s="16" t="s">
        <v>544</v>
      </c>
      <c r="C38" s="67">
        <v>0</v>
      </c>
      <c r="D38" s="67">
        <v>0</v>
      </c>
      <c r="E38" s="67">
        <v>0.6</v>
      </c>
      <c r="F38" s="67">
        <v>-0.6</v>
      </c>
      <c r="G38" s="67">
        <v>-0.6</v>
      </c>
      <c r="H38" s="67">
        <v>0.7</v>
      </c>
    </row>
    <row r="39" spans="1:9" ht="15" customHeight="1" x14ac:dyDescent="0.45">
      <c r="A39"/>
      <c r="B39" s="16" t="s">
        <v>545</v>
      </c>
      <c r="C39" s="80">
        <f>C27/C26</f>
        <v>0.15579710144927564</v>
      </c>
      <c r="D39" s="80">
        <f>D27/D26</f>
        <v>0.12161115414407468</v>
      </c>
      <c r="E39" s="80">
        <f t="shared" ref="E39:H39" si="5">E27/E26</f>
        <v>0.12851063829787207</v>
      </c>
      <c r="F39" s="80">
        <f t="shared" si="5"/>
        <v>5.1129607609988213E-2</v>
      </c>
      <c r="G39" s="80">
        <f t="shared" si="5"/>
        <v>9.1597796143250809E-2</v>
      </c>
      <c r="H39" s="80">
        <f t="shared" si="5"/>
        <v>5.1009564293305137E-2</v>
      </c>
      <c r="I39" s="80" t="str">
        <f ca="1">_xlfn.FORMULATEXT(H39)</f>
        <v>=H27/H26</v>
      </c>
    </row>
    <row r="40" spans="1:9" ht="15" customHeight="1" x14ac:dyDescent="0.45">
      <c r="A40"/>
      <c r="B40"/>
    </row>
    <row r="41" spans="1:9" ht="15" customHeight="1" x14ac:dyDescent="0.45">
      <c r="A41"/>
      <c r="B41"/>
    </row>
    <row r="42" spans="1:9" ht="15" customHeight="1" x14ac:dyDescent="0.45">
      <c r="A42"/>
      <c r="B42" s="16" t="s">
        <v>546</v>
      </c>
    </row>
    <row r="43" spans="1:9" ht="15" customHeight="1" x14ac:dyDescent="0.45">
      <c r="A43"/>
      <c r="B43" s="16" t="s">
        <v>547</v>
      </c>
      <c r="C43" s="67">
        <v>516.20000000000005</v>
      </c>
      <c r="D43" s="67">
        <v>476.8</v>
      </c>
      <c r="E43" s="67">
        <v>473.9</v>
      </c>
      <c r="F43" s="67">
        <v>418.3</v>
      </c>
      <c r="G43" s="67">
        <v>660</v>
      </c>
      <c r="H43" s="67">
        <v>495</v>
      </c>
    </row>
    <row r="44" spans="1:9" ht="15" customHeight="1" x14ac:dyDescent="0.45">
      <c r="A44"/>
      <c r="B44" s="16" t="s">
        <v>548</v>
      </c>
      <c r="C44" s="67">
        <v>1569.3</v>
      </c>
      <c r="D44" s="67">
        <v>1222.0999999999999</v>
      </c>
      <c r="E44" s="67">
        <v>1270.5</v>
      </c>
      <c r="F44" s="67">
        <v>1140.4000000000001</v>
      </c>
      <c r="G44" s="67">
        <v>1075.7</v>
      </c>
      <c r="H44" s="67">
        <v>1057.2</v>
      </c>
    </row>
    <row r="45" spans="1:9" ht="15" customHeight="1" x14ac:dyDescent="0.45">
      <c r="A45"/>
      <c r="B45" s="16" t="s">
        <v>32</v>
      </c>
      <c r="C45" s="67">
        <v>78.8</v>
      </c>
      <c r="D45" s="67">
        <v>64.3</v>
      </c>
      <c r="E45" s="67">
        <v>50.1</v>
      </c>
      <c r="F45" s="67">
        <v>48.6</v>
      </c>
      <c r="G45" s="67">
        <v>55.3</v>
      </c>
      <c r="H45" s="67">
        <v>71.599999999999994</v>
      </c>
    </row>
    <row r="46" spans="1:9" ht="15" customHeight="1" x14ac:dyDescent="0.45">
      <c r="A46"/>
      <c r="B46" s="16" t="s">
        <v>549</v>
      </c>
      <c r="C46" s="67">
        <v>0</v>
      </c>
      <c r="D46" s="67">
        <v>0</v>
      </c>
      <c r="E46" s="67">
        <v>0</v>
      </c>
      <c r="F46" s="67">
        <v>0</v>
      </c>
      <c r="G46" s="67">
        <v>0</v>
      </c>
      <c r="H46" s="67">
        <v>0</v>
      </c>
    </row>
    <row r="47" spans="1:9" ht="15" customHeight="1" x14ac:dyDescent="0.45">
      <c r="A47"/>
      <c r="B47" s="16" t="s">
        <v>550</v>
      </c>
      <c r="C47">
        <f>SUM(C43:C46)</f>
        <v>2164.3000000000002</v>
      </c>
      <c r="D47">
        <f t="shared" ref="D47:H47" si="6">SUM(D43:D46)</f>
        <v>1763.1999999999998</v>
      </c>
      <c r="E47">
        <f t="shared" si="6"/>
        <v>1794.5</v>
      </c>
      <c r="F47">
        <f t="shared" si="6"/>
        <v>1607.3</v>
      </c>
      <c r="G47">
        <f t="shared" si="6"/>
        <v>1791</v>
      </c>
      <c r="H47">
        <f t="shared" si="6"/>
        <v>1623.8</v>
      </c>
      <c r="I47" t="str">
        <f ca="1">_xlfn.FORMULATEXT(H47)</f>
        <v>=SUM(H43:H46)</v>
      </c>
    </row>
    <row r="48" spans="1:9" ht="15" customHeight="1" x14ac:dyDescent="0.45">
      <c r="A48"/>
      <c r="B48" s="16" t="s">
        <v>43</v>
      </c>
    </row>
    <row r="49" spans="1:9" ht="15" customHeight="1" x14ac:dyDescent="0.45">
      <c r="A49"/>
      <c r="B49" s="16" t="s">
        <v>44</v>
      </c>
      <c r="C49" s="67">
        <v>144.1</v>
      </c>
      <c r="D49" s="67">
        <v>140.80000000000001</v>
      </c>
      <c r="E49" s="67">
        <v>140.9</v>
      </c>
      <c r="F49" s="67">
        <v>128.19999999999999</v>
      </c>
      <c r="G49" s="67">
        <v>127.1</v>
      </c>
      <c r="H49" s="67">
        <v>134.19999999999999</v>
      </c>
    </row>
    <row r="50" spans="1:9" ht="15" customHeight="1" x14ac:dyDescent="0.45">
      <c r="A50"/>
      <c r="B50" s="16" t="s">
        <v>45</v>
      </c>
      <c r="C50" s="67">
        <v>180.3</v>
      </c>
      <c r="D50" s="67">
        <v>166.1</v>
      </c>
      <c r="E50" s="67">
        <v>139.9</v>
      </c>
      <c r="F50" s="67">
        <v>159.30000000000001</v>
      </c>
      <c r="G50" s="67">
        <v>237.9</v>
      </c>
      <c r="H50" s="67">
        <v>210.9</v>
      </c>
    </row>
    <row r="51" spans="1:9" ht="15" customHeight="1" x14ac:dyDescent="0.45">
      <c r="A51"/>
      <c r="B51" s="16" t="s">
        <v>46</v>
      </c>
      <c r="C51" s="67">
        <v>105.5</v>
      </c>
      <c r="D51" s="67">
        <v>49.6</v>
      </c>
      <c r="E51" s="67">
        <v>55.6</v>
      </c>
      <c r="F51" s="67">
        <v>75.900000000000006</v>
      </c>
      <c r="G51" s="67">
        <v>43.8</v>
      </c>
      <c r="H51" s="67">
        <v>45.1</v>
      </c>
    </row>
    <row r="52" spans="1:9" ht="15" customHeight="1" x14ac:dyDescent="0.45">
      <c r="A52"/>
      <c r="B52" s="16" t="s">
        <v>47</v>
      </c>
      <c r="C52" s="67">
        <v>1669.3</v>
      </c>
      <c r="D52" s="67">
        <v>1633.9</v>
      </c>
      <c r="E52" s="67">
        <v>1610.8</v>
      </c>
      <c r="F52" s="67">
        <v>1552.8</v>
      </c>
      <c r="G52" s="67">
        <v>1540.1</v>
      </c>
      <c r="H52" s="67">
        <v>1547.6</v>
      </c>
    </row>
    <row r="53" spans="1:9" ht="15" customHeight="1" x14ac:dyDescent="0.45">
      <c r="A53"/>
      <c r="B53" s="16" t="s">
        <v>48</v>
      </c>
      <c r="C53" s="67">
        <v>173.5</v>
      </c>
      <c r="D53" s="67">
        <v>103.8</v>
      </c>
      <c r="E53" s="67">
        <v>142.6</v>
      </c>
      <c r="F53" s="67">
        <v>112.6</v>
      </c>
      <c r="G53" s="67">
        <v>121.4</v>
      </c>
      <c r="H53" s="67">
        <v>137.6</v>
      </c>
    </row>
    <row r="54" spans="1:9" ht="15" customHeight="1" x14ac:dyDescent="0.45">
      <c r="A54"/>
      <c r="B54" s="16" t="s">
        <v>49</v>
      </c>
      <c r="C54" s="67">
        <v>5.8</v>
      </c>
      <c r="D54" s="67">
        <v>12.7</v>
      </c>
      <c r="E54" s="67">
        <v>6.1</v>
      </c>
      <c r="F54" s="67">
        <v>3.8</v>
      </c>
      <c r="G54" s="67">
        <v>0.7</v>
      </c>
      <c r="H54" s="67">
        <v>0</v>
      </c>
    </row>
    <row r="55" spans="1:9" ht="15" customHeight="1" x14ac:dyDescent="0.45">
      <c r="A55"/>
      <c r="B55" s="16" t="s">
        <v>33</v>
      </c>
      <c r="C55">
        <f>SUM(C47,C49:C54)</f>
        <v>4442.8</v>
      </c>
      <c r="D55">
        <f t="shared" ref="D55:H55" si="7">SUM(D47,D49:D54)</f>
        <v>3870.1</v>
      </c>
      <c r="E55">
        <f t="shared" si="7"/>
        <v>3890.3999999999996</v>
      </c>
      <c r="F55">
        <f t="shared" si="7"/>
        <v>3639.9</v>
      </c>
      <c r="G55">
        <f t="shared" si="7"/>
        <v>3862</v>
      </c>
      <c r="H55">
        <f t="shared" si="7"/>
        <v>3699.2</v>
      </c>
      <c r="I55" t="str">
        <f ca="1">_xlfn.FORMULATEXT(H55)</f>
        <v>=SUM(H47,H49:H54)</v>
      </c>
    </row>
    <row r="56" spans="1:9" ht="15" customHeight="1" x14ac:dyDescent="0.45">
      <c r="A56"/>
      <c r="B56"/>
    </row>
    <row r="57" spans="1:9" ht="15" customHeight="1" x14ac:dyDescent="0.45">
      <c r="A57"/>
      <c r="B57"/>
    </row>
    <row r="58" spans="1:9" ht="15" customHeight="1" x14ac:dyDescent="0.45">
      <c r="A58"/>
      <c r="B58" s="16" t="s">
        <v>50</v>
      </c>
      <c r="C58" s="67">
        <v>96.7</v>
      </c>
      <c r="D58" s="67">
        <v>33.5</v>
      </c>
      <c r="E58" s="67">
        <v>35.299999999999997</v>
      </c>
      <c r="F58" s="67">
        <v>22.5</v>
      </c>
      <c r="G58" s="67">
        <v>35.299999999999997</v>
      </c>
      <c r="H58" s="67">
        <v>32.5</v>
      </c>
    </row>
    <row r="59" spans="1:9" ht="15" customHeight="1" x14ac:dyDescent="0.45">
      <c r="A59"/>
      <c r="B59" s="16" t="s">
        <v>51</v>
      </c>
      <c r="C59" s="67">
        <v>749.2</v>
      </c>
      <c r="D59" s="67">
        <v>591.4</v>
      </c>
      <c r="E59" s="67">
        <v>611.6</v>
      </c>
      <c r="F59" s="67">
        <v>541.9</v>
      </c>
      <c r="G59" s="67">
        <v>643.29999999999995</v>
      </c>
      <c r="H59" s="67">
        <v>741.6</v>
      </c>
    </row>
    <row r="60" spans="1:9" ht="15" customHeight="1" x14ac:dyDescent="0.45">
      <c r="A60"/>
      <c r="B60" s="16" t="s">
        <v>52</v>
      </c>
      <c r="C60" s="67">
        <v>12.2</v>
      </c>
      <c r="D60" s="67">
        <v>7.2</v>
      </c>
      <c r="E60" s="67">
        <v>8.3000000000000007</v>
      </c>
      <c r="F60" s="67">
        <v>4.7</v>
      </c>
      <c r="G60" s="67">
        <v>3.8</v>
      </c>
      <c r="H60" s="67">
        <v>4.4000000000000004</v>
      </c>
    </row>
    <row r="61" spans="1:9" ht="15" customHeight="1" x14ac:dyDescent="0.45">
      <c r="A61"/>
      <c r="B61" s="16" t="s">
        <v>53</v>
      </c>
      <c r="C61" s="67">
        <v>1359.3</v>
      </c>
      <c r="D61" s="67">
        <v>1139</v>
      </c>
      <c r="E61" s="67">
        <v>1146.7</v>
      </c>
      <c r="F61" s="67">
        <v>1092.5</v>
      </c>
      <c r="G61" s="67">
        <v>1006</v>
      </c>
      <c r="H61" s="67">
        <v>1078.7</v>
      </c>
    </row>
    <row r="62" spans="1:9" ht="15" customHeight="1" x14ac:dyDescent="0.45">
      <c r="A62"/>
      <c r="B62" s="16" t="s">
        <v>54</v>
      </c>
      <c r="C62">
        <f>SUM(C58:C61)</f>
        <v>2217.4</v>
      </c>
      <c r="D62">
        <f t="shared" ref="D62:H62" si="8">SUM(D58:D61)</f>
        <v>1771.1</v>
      </c>
      <c r="E62">
        <f t="shared" si="8"/>
        <v>1801.9</v>
      </c>
      <c r="F62">
        <f t="shared" si="8"/>
        <v>1661.6</v>
      </c>
      <c r="G62">
        <f t="shared" si="8"/>
        <v>1688.3999999999999</v>
      </c>
      <c r="H62">
        <f t="shared" si="8"/>
        <v>1857.2</v>
      </c>
      <c r="I62" t="str">
        <f ca="1">_xlfn.FORMULATEXT(H62)</f>
        <v>=SUM(H58:H61)</v>
      </c>
    </row>
    <row r="63" spans="1:9" ht="15" customHeight="1" x14ac:dyDescent="0.45">
      <c r="A63"/>
      <c r="B63" s="16" t="s">
        <v>43</v>
      </c>
    </row>
    <row r="64" spans="1:9" ht="15" customHeight="1" x14ac:dyDescent="0.45">
      <c r="A64"/>
      <c r="B64" s="16" t="s">
        <v>55</v>
      </c>
      <c r="C64" s="67">
        <v>592</v>
      </c>
      <c r="D64" s="67">
        <v>598.5</v>
      </c>
      <c r="E64" s="67">
        <v>614</v>
      </c>
      <c r="F64" s="67">
        <v>606.4</v>
      </c>
      <c r="G64" s="67">
        <v>777.6</v>
      </c>
      <c r="H64" s="67">
        <v>508.9</v>
      </c>
    </row>
    <row r="65" spans="1:9" ht="15" customHeight="1" x14ac:dyDescent="0.45">
      <c r="A65"/>
      <c r="B65" s="16" t="s">
        <v>56</v>
      </c>
      <c r="C65" s="67">
        <v>811.1</v>
      </c>
      <c r="D65" s="67">
        <v>408.3</v>
      </c>
      <c r="E65" s="67">
        <v>520</v>
      </c>
      <c r="F65" s="67">
        <v>378.1</v>
      </c>
      <c r="G65" s="67">
        <v>360.9</v>
      </c>
      <c r="H65" s="67">
        <v>325.10000000000002</v>
      </c>
    </row>
    <row r="66" spans="1:9" ht="15" customHeight="1" x14ac:dyDescent="0.45">
      <c r="A66"/>
      <c r="B66" s="16" t="s">
        <v>57</v>
      </c>
      <c r="C66" s="67">
        <v>25.1</v>
      </c>
      <c r="D66" s="67">
        <v>10.5</v>
      </c>
      <c r="E66" s="67">
        <v>11.3</v>
      </c>
      <c r="F66" s="67">
        <v>10.199999999999999</v>
      </c>
      <c r="G66" s="67">
        <v>16.2</v>
      </c>
      <c r="H66" s="67">
        <v>25.5</v>
      </c>
    </row>
    <row r="67" spans="1:9" ht="15" customHeight="1" x14ac:dyDescent="0.45">
      <c r="A67"/>
      <c r="B67" s="16" t="s">
        <v>58</v>
      </c>
      <c r="C67" s="67">
        <v>67.3</v>
      </c>
      <c r="D67" s="67">
        <v>64.400000000000006</v>
      </c>
      <c r="E67" s="67">
        <v>48.7</v>
      </c>
      <c r="F67" s="67">
        <v>0</v>
      </c>
      <c r="G67" s="67">
        <v>9.4</v>
      </c>
      <c r="H67" s="67">
        <v>0</v>
      </c>
    </row>
    <row r="68" spans="1:9" ht="15" customHeight="1" x14ac:dyDescent="0.45">
      <c r="A68"/>
      <c r="B68" s="16" t="s">
        <v>59</v>
      </c>
      <c r="C68">
        <f>SUM(C62,C64:C67)</f>
        <v>3712.9</v>
      </c>
      <c r="D68">
        <f t="shared" ref="D68:H68" si="9">SUM(D62,D64:D67)</f>
        <v>2852.8</v>
      </c>
      <c r="E68">
        <f t="shared" si="9"/>
        <v>2995.9</v>
      </c>
      <c r="F68">
        <f t="shared" si="9"/>
        <v>2656.2999999999997</v>
      </c>
      <c r="G68">
        <f t="shared" si="9"/>
        <v>2852.5</v>
      </c>
      <c r="H68">
        <f t="shared" si="9"/>
        <v>2716.7</v>
      </c>
      <c r="I68" t="str">
        <f ca="1">_xlfn.FORMULATEXT(H68)</f>
        <v>=SUM(H62,H64:H67)</v>
      </c>
    </row>
    <row r="69" spans="1:9" ht="15" customHeight="1" x14ac:dyDescent="0.45">
      <c r="A69"/>
      <c r="B69"/>
    </row>
    <row r="70" spans="1:9" ht="15" customHeight="1" x14ac:dyDescent="0.45">
      <c r="A70"/>
      <c r="B70" s="16" t="s">
        <v>61</v>
      </c>
      <c r="C70" s="67">
        <v>701.1</v>
      </c>
      <c r="D70" s="67">
        <v>993.5</v>
      </c>
      <c r="E70" s="67">
        <v>872.7</v>
      </c>
      <c r="F70" s="67">
        <v>967.2</v>
      </c>
      <c r="G70" s="67">
        <v>998.9</v>
      </c>
      <c r="H70" s="67">
        <v>972.9</v>
      </c>
    </row>
    <row r="71" spans="1:9" ht="15" customHeight="1" x14ac:dyDescent="0.45">
      <c r="A71"/>
      <c r="B71" s="16" t="s">
        <v>62</v>
      </c>
      <c r="C71" s="67">
        <v>28.8</v>
      </c>
      <c r="D71" s="67">
        <v>23.8</v>
      </c>
      <c r="E71" s="67">
        <v>21.8</v>
      </c>
      <c r="F71" s="67">
        <v>16.399999999999999</v>
      </c>
      <c r="G71" s="67">
        <v>10.6</v>
      </c>
      <c r="H71" s="67">
        <v>9.6</v>
      </c>
    </row>
    <row r="72" spans="1:9" ht="15" customHeight="1" x14ac:dyDescent="0.45">
      <c r="A72"/>
      <c r="B72" s="16" t="s">
        <v>63</v>
      </c>
      <c r="C72">
        <f>SUM(C70:C71)</f>
        <v>729.9</v>
      </c>
      <c r="D72">
        <f t="shared" ref="D72:H72" si="10">SUM(D70:D71)</f>
        <v>1017.3</v>
      </c>
      <c r="E72">
        <f t="shared" si="10"/>
        <v>894.5</v>
      </c>
      <c r="F72">
        <f t="shared" si="10"/>
        <v>983.6</v>
      </c>
      <c r="G72">
        <f t="shared" si="10"/>
        <v>1009.5</v>
      </c>
      <c r="H72">
        <f t="shared" si="10"/>
        <v>982.5</v>
      </c>
      <c r="I72" t="str">
        <f ca="1">_xlfn.FORMULATEXT(H72)</f>
        <v>=SUM(H70:H71)</v>
      </c>
    </row>
    <row r="73" spans="1:9" ht="15" customHeight="1" x14ac:dyDescent="0.45">
      <c r="A73"/>
      <c r="B73" s="16" t="s">
        <v>64</v>
      </c>
      <c r="C73">
        <f>SUM(C68,C72)</f>
        <v>4442.8</v>
      </c>
      <c r="D73">
        <f t="shared" ref="D73:H73" si="11">SUM(D68,D72)</f>
        <v>3870.1000000000004</v>
      </c>
      <c r="E73">
        <f t="shared" si="11"/>
        <v>3890.4</v>
      </c>
      <c r="F73">
        <f t="shared" si="11"/>
        <v>3639.8999999999996</v>
      </c>
      <c r="G73">
        <f t="shared" si="11"/>
        <v>3862</v>
      </c>
      <c r="H73">
        <f t="shared" si="11"/>
        <v>3699.2</v>
      </c>
      <c r="I73" t="str">
        <f ca="1">_xlfn.FORMULATEXT(H73)</f>
        <v>=SUM(H68,H72)</v>
      </c>
    </row>
    <row r="74" spans="1:9" ht="15" customHeight="1" x14ac:dyDescent="0.45">
      <c r="A74"/>
      <c r="B74"/>
    </row>
    <row r="75" spans="1:9" ht="15" customHeight="1" x14ac:dyDescent="0.45">
      <c r="A75"/>
      <c r="B75" s="16" t="s">
        <v>133</v>
      </c>
      <c r="C75">
        <f>C73-C55</f>
        <v>0</v>
      </c>
      <c r="D75">
        <f t="shared" ref="D75:H75" si="12">D73-D55</f>
        <v>0</v>
      </c>
      <c r="E75">
        <f t="shared" si="12"/>
        <v>0</v>
      </c>
      <c r="F75">
        <f t="shared" si="12"/>
        <v>0</v>
      </c>
      <c r="G75">
        <f t="shared" si="12"/>
        <v>0</v>
      </c>
      <c r="H75">
        <f t="shared" si="12"/>
        <v>0</v>
      </c>
      <c r="I75" t="str">
        <f ca="1">_xlfn.FORMULATEXT(H75)</f>
        <v>=H73-H55</v>
      </c>
    </row>
    <row r="76" spans="1:9" ht="15" customHeight="1" x14ac:dyDescent="0.45">
      <c r="A76"/>
      <c r="B76" s="16" t="s">
        <v>60</v>
      </c>
    </row>
    <row r="77" spans="1:9" ht="15" customHeight="1" x14ac:dyDescent="0.45">
      <c r="A77"/>
      <c r="B77" s="16" t="s">
        <v>551</v>
      </c>
      <c r="C77" s="67">
        <v>7.2</v>
      </c>
      <c r="D77" s="67">
        <v>27.1</v>
      </c>
      <c r="E77" s="67">
        <v>29.1</v>
      </c>
      <c r="F77" s="67">
        <v>19.2</v>
      </c>
      <c r="G77" s="67">
        <v>30</v>
      </c>
      <c r="H77" s="67">
        <v>29.5</v>
      </c>
    </row>
    <row r="78" spans="1:9" ht="15" customHeight="1" x14ac:dyDescent="0.45">
      <c r="A78"/>
      <c r="B78"/>
    </row>
    <row r="79" spans="1:9" ht="15" customHeight="1" x14ac:dyDescent="0.45">
      <c r="A79"/>
      <c r="B79" s="16" t="s">
        <v>538</v>
      </c>
      <c r="C79" s="67">
        <v>145.6</v>
      </c>
      <c r="D79" s="67">
        <v>183.4</v>
      </c>
      <c r="E79" s="67">
        <v>175</v>
      </c>
      <c r="F79" s="67">
        <v>118.3</v>
      </c>
      <c r="G79" s="67">
        <v>164.1</v>
      </c>
      <c r="H79" s="67">
        <v>93.4</v>
      </c>
    </row>
    <row r="80" spans="1:9" ht="15" customHeight="1" x14ac:dyDescent="0.45">
      <c r="A80"/>
      <c r="B80" s="16" t="s">
        <v>552</v>
      </c>
      <c r="C80" s="67">
        <v>45</v>
      </c>
      <c r="D80" s="67">
        <v>45.4</v>
      </c>
      <c r="E80" s="67">
        <v>44.8</v>
      </c>
      <c r="F80" s="67">
        <v>44.3</v>
      </c>
      <c r="G80" s="67">
        <v>62.2</v>
      </c>
      <c r="H80" s="67">
        <v>62.3</v>
      </c>
    </row>
    <row r="81" spans="1:9" ht="15" customHeight="1" x14ac:dyDescent="0.45">
      <c r="A81"/>
      <c r="B81" s="16" t="s">
        <v>553</v>
      </c>
      <c r="C81" s="67">
        <v>-110.1</v>
      </c>
      <c r="D81" s="67">
        <v>-131.30000000000001</v>
      </c>
      <c r="E81" s="67">
        <v>-95.9</v>
      </c>
      <c r="F81" s="67">
        <v>-57.3</v>
      </c>
      <c r="G81" s="67">
        <v>-73.400000000000006</v>
      </c>
      <c r="H81" s="67">
        <v>-4.3</v>
      </c>
    </row>
    <row r="82" spans="1:9" ht="15" customHeight="1" x14ac:dyDescent="0.45">
      <c r="A82"/>
      <c r="B82" s="16" t="s">
        <v>554</v>
      </c>
      <c r="C82">
        <f>SUM(C79:C81)</f>
        <v>80.5</v>
      </c>
      <c r="D82">
        <f t="shared" ref="D82:H82" si="13">SUM(D79:D81)</f>
        <v>97.5</v>
      </c>
      <c r="E82">
        <f t="shared" si="13"/>
        <v>123.9</v>
      </c>
      <c r="F82">
        <f t="shared" si="13"/>
        <v>105.3</v>
      </c>
      <c r="G82">
        <f t="shared" si="13"/>
        <v>152.9</v>
      </c>
      <c r="H82">
        <f t="shared" si="13"/>
        <v>151.39999999999998</v>
      </c>
      <c r="I82" t="str">
        <f ca="1">_xlfn.FORMULATEXT(H82)</f>
        <v>=SUM(H79:H81)</v>
      </c>
    </row>
    <row r="83" spans="1:9" ht="15" customHeight="1" x14ac:dyDescent="0.45">
      <c r="A83"/>
      <c r="B83" s="16" t="s">
        <v>555</v>
      </c>
      <c r="C83" s="67">
        <v>4.5999999999999996</v>
      </c>
      <c r="D83" s="67">
        <v>-7.4</v>
      </c>
      <c r="E83" s="67">
        <v>9</v>
      </c>
      <c r="F83" s="67">
        <v>-165.5</v>
      </c>
      <c r="G83" s="67">
        <v>-164.9</v>
      </c>
      <c r="H83" s="67">
        <v>-8.6</v>
      </c>
    </row>
    <row r="84" spans="1:9" ht="15" customHeight="1" x14ac:dyDescent="0.45">
      <c r="A84"/>
      <c r="B84" s="16" t="s">
        <v>556</v>
      </c>
      <c r="C84">
        <f>SUM(C82:C83)</f>
        <v>85.1</v>
      </c>
      <c r="D84">
        <f t="shared" ref="D84:H84" si="14">SUM(D82:D83)</f>
        <v>90.1</v>
      </c>
      <c r="E84">
        <f t="shared" si="14"/>
        <v>132.9</v>
      </c>
      <c r="F84">
        <f t="shared" si="14"/>
        <v>-60.2</v>
      </c>
      <c r="G84">
        <f t="shared" si="14"/>
        <v>-12</v>
      </c>
      <c r="H84">
        <f t="shared" si="14"/>
        <v>142.79999999999998</v>
      </c>
      <c r="I84" t="str">
        <f ca="1">_xlfn.FORMULATEXT(H84)</f>
        <v>=SUM(H82:H83)</v>
      </c>
    </row>
    <row r="85" spans="1:9" ht="15" customHeight="1" x14ac:dyDescent="0.45">
      <c r="A85"/>
      <c r="B85"/>
    </row>
    <row r="86" spans="1:9" ht="15" customHeight="1" x14ac:dyDescent="0.45">
      <c r="A86"/>
      <c r="B86" s="16" t="s">
        <v>557</v>
      </c>
      <c r="C86" s="67">
        <v>-37.299999999999997</v>
      </c>
      <c r="D86" s="67">
        <v>-30.4</v>
      </c>
      <c r="E86" s="67">
        <v>-28.8</v>
      </c>
      <c r="F86" s="67">
        <v>-28.1</v>
      </c>
      <c r="G86" s="67">
        <v>-18.3</v>
      </c>
      <c r="H86" s="67">
        <v>-12.6</v>
      </c>
    </row>
    <row r="87" spans="1:9" ht="15" customHeight="1" x14ac:dyDescent="0.45">
      <c r="A87"/>
      <c r="B87" s="16" t="s">
        <v>558</v>
      </c>
      <c r="C87" s="67">
        <v>-32.5</v>
      </c>
      <c r="D87" s="67">
        <v>-10.6</v>
      </c>
      <c r="E87" s="67">
        <v>-26.3</v>
      </c>
      <c r="F87" s="67">
        <v>-20.6</v>
      </c>
      <c r="G87" s="67">
        <v>-8.6999999999999993</v>
      </c>
      <c r="H87" s="67">
        <v>-184.6</v>
      </c>
    </row>
    <row r="88" spans="1:9" ht="15" customHeight="1" x14ac:dyDescent="0.45">
      <c r="A88"/>
      <c r="B88" s="16" t="s">
        <v>559</v>
      </c>
      <c r="C88" s="67">
        <v>13.8</v>
      </c>
      <c r="D88" s="67">
        <v>17.600000000000001</v>
      </c>
      <c r="E88" s="67">
        <v>6.4</v>
      </c>
      <c r="F88" s="67">
        <v>0.9</v>
      </c>
      <c r="G88" s="67">
        <v>2.7</v>
      </c>
      <c r="H88" s="67">
        <v>17.2</v>
      </c>
    </row>
    <row r="89" spans="1:9" ht="15" customHeight="1" x14ac:dyDescent="0.45">
      <c r="A89"/>
      <c r="B89" s="16" t="s">
        <v>560</v>
      </c>
      <c r="C89" s="67">
        <v>44.4</v>
      </c>
      <c r="D89" s="67">
        <v>32.6</v>
      </c>
      <c r="E89" s="67">
        <v>43.5</v>
      </c>
      <c r="F89" s="67">
        <v>136.80000000000001</v>
      </c>
      <c r="G89" s="67">
        <v>25</v>
      </c>
      <c r="H89" s="67">
        <v>4.0999999999999996</v>
      </c>
    </row>
    <row r="90" spans="1:9" ht="15" customHeight="1" x14ac:dyDescent="0.45">
      <c r="A90"/>
      <c r="B90" s="16" t="s">
        <v>553</v>
      </c>
      <c r="C90" s="67">
        <v>0</v>
      </c>
      <c r="D90" s="67">
        <v>0</v>
      </c>
      <c r="E90" s="67">
        <v>-3.1</v>
      </c>
      <c r="F90" s="67">
        <v>0</v>
      </c>
      <c r="G90" s="67">
        <v>0</v>
      </c>
      <c r="H90" s="67">
        <v>0</v>
      </c>
    </row>
    <row r="91" spans="1:9" ht="15" customHeight="1" x14ac:dyDescent="0.45">
      <c r="A91"/>
      <c r="B91" s="16" t="s">
        <v>561</v>
      </c>
      <c r="C91">
        <f>SUM(C86:C90)</f>
        <v>-11.600000000000001</v>
      </c>
      <c r="D91">
        <f t="shared" ref="D91:H91" si="15">SUM(D86:D90)</f>
        <v>9.2000000000000028</v>
      </c>
      <c r="E91">
        <f t="shared" si="15"/>
        <v>-8.3000000000000025</v>
      </c>
      <c r="F91">
        <f t="shared" si="15"/>
        <v>89</v>
      </c>
      <c r="G91">
        <f t="shared" si="15"/>
        <v>0.69999999999999929</v>
      </c>
      <c r="H91">
        <f t="shared" si="15"/>
        <v>-175.9</v>
      </c>
      <c r="I91" t="str">
        <f ca="1">_xlfn.FORMULATEXT(H91)</f>
        <v>=SUM(H86:H90)</v>
      </c>
    </row>
    <row r="92" spans="1:9" ht="15" customHeight="1" x14ac:dyDescent="0.45">
      <c r="A92"/>
      <c r="B92"/>
    </row>
    <row r="93" spans="1:9" ht="15" customHeight="1" x14ac:dyDescent="0.45">
      <c r="A93"/>
      <c r="B93" s="16" t="s">
        <v>562</v>
      </c>
      <c r="C93" s="67">
        <v>-78.900000000000006</v>
      </c>
      <c r="D93" s="67">
        <v>-76.8</v>
      </c>
      <c r="E93" s="67">
        <v>-75.7</v>
      </c>
      <c r="F93" s="67">
        <v>-74.599999999999994</v>
      </c>
      <c r="G93" s="67">
        <v>-70.400000000000006</v>
      </c>
      <c r="H93" s="67">
        <v>-64.599999999999994</v>
      </c>
    </row>
    <row r="94" spans="1:9" ht="15" customHeight="1" x14ac:dyDescent="0.45">
      <c r="A94"/>
      <c r="B94" s="16" t="s">
        <v>563</v>
      </c>
      <c r="C94" s="67">
        <v>-1</v>
      </c>
      <c r="D94" s="67">
        <v>-0.4</v>
      </c>
      <c r="E94" s="67">
        <v>-0.5</v>
      </c>
      <c r="F94" s="67">
        <v>-2.2000000000000002</v>
      </c>
      <c r="G94" s="67">
        <v>-3</v>
      </c>
      <c r="H94" s="67">
        <v>-6.9</v>
      </c>
    </row>
    <row r="95" spans="1:9" ht="15" customHeight="1" x14ac:dyDescent="0.45">
      <c r="A95"/>
      <c r="B95" s="16" t="s">
        <v>564</v>
      </c>
      <c r="C95" s="67">
        <v>-5</v>
      </c>
      <c r="D95" s="67">
        <v>-24.8</v>
      </c>
      <c r="E95" s="67">
        <v>5.5</v>
      </c>
      <c r="F95" s="67">
        <v>-187.7</v>
      </c>
      <c r="G95" s="67">
        <v>260.39999999999998</v>
      </c>
      <c r="H95" s="67">
        <v>207.2</v>
      </c>
    </row>
    <row r="96" spans="1:9" ht="15" customHeight="1" x14ac:dyDescent="0.45">
      <c r="A96"/>
      <c r="B96" s="16" t="s">
        <v>553</v>
      </c>
      <c r="C96" s="67">
        <v>-3.8</v>
      </c>
      <c r="D96" s="67">
        <v>-3.2</v>
      </c>
      <c r="E96" s="67">
        <v>-1</v>
      </c>
      <c r="F96" s="67">
        <v>-1.4</v>
      </c>
      <c r="G96" s="67">
        <v>-9</v>
      </c>
      <c r="H96" s="67">
        <v>-5.2</v>
      </c>
    </row>
    <row r="97" spans="1:9" ht="15" customHeight="1" x14ac:dyDescent="0.45">
      <c r="A97"/>
      <c r="B97" s="16" t="s">
        <v>565</v>
      </c>
      <c r="C97">
        <f>SUM(C93:C96)</f>
        <v>-88.7</v>
      </c>
      <c r="D97">
        <f t="shared" ref="D97:H97" si="16">SUM(D93:D96)</f>
        <v>-105.2</v>
      </c>
      <c r="E97">
        <f t="shared" si="16"/>
        <v>-71.7</v>
      </c>
      <c r="F97">
        <f t="shared" si="16"/>
        <v>-265.89999999999998</v>
      </c>
      <c r="G97">
        <f t="shared" si="16"/>
        <v>177.99999999999997</v>
      </c>
      <c r="H97">
        <f t="shared" si="16"/>
        <v>130.5</v>
      </c>
      <c r="I97" t="str">
        <f ca="1">_xlfn.FORMULATEXT(H97)</f>
        <v>=SUM(H93:H96)</v>
      </c>
    </row>
    <row r="98" spans="1:9" ht="15" customHeight="1" x14ac:dyDescent="0.45">
      <c r="A98"/>
      <c r="B98" s="16" t="s">
        <v>43</v>
      </c>
    </row>
    <row r="99" spans="1:9" ht="15" customHeight="1" x14ac:dyDescent="0.45">
      <c r="A99"/>
      <c r="B99" s="16" t="s">
        <v>566</v>
      </c>
      <c r="C99" s="67">
        <v>22.8</v>
      </c>
      <c r="D99" s="67">
        <v>-3.9</v>
      </c>
      <c r="E99" s="67">
        <v>2.5</v>
      </c>
      <c r="F99" s="67">
        <v>-4.7</v>
      </c>
      <c r="G99" s="67">
        <v>-2.2000000000000002</v>
      </c>
      <c r="H99" s="67">
        <v>-0.8</v>
      </c>
    </row>
    <row r="100" spans="1:9" ht="15" customHeight="1" x14ac:dyDescent="0.45">
      <c r="A100"/>
      <c r="B100" s="16" t="s">
        <v>60</v>
      </c>
    </row>
    <row r="101" spans="1:9" ht="15" customHeight="1" x14ac:dyDescent="0.45">
      <c r="A101"/>
      <c r="B101" s="16" t="s">
        <v>567</v>
      </c>
      <c r="C101">
        <f>SUM(C84,C91,C97,C99)</f>
        <v>7.5999999999999979</v>
      </c>
      <c r="D101">
        <f t="shared" ref="D101:H101" si="17">SUM(D84,D91,D97,D99)</f>
        <v>-9.800000000000006</v>
      </c>
      <c r="E101">
        <f t="shared" si="17"/>
        <v>55.400000000000006</v>
      </c>
      <c r="F101">
        <f t="shared" si="17"/>
        <v>-241.79999999999995</v>
      </c>
      <c r="G101">
        <f t="shared" si="17"/>
        <v>164.49999999999997</v>
      </c>
      <c r="H101">
        <f t="shared" si="17"/>
        <v>96.59999999999998</v>
      </c>
      <c r="I101" t="str">
        <f ca="1">_xlfn.FORMULATEXT(H101)</f>
        <v>=SUM(H84,H91,H97,H99)</v>
      </c>
    </row>
    <row r="102" spans="1:9" ht="15" customHeight="1" x14ac:dyDescent="0.45">
      <c r="A102"/>
      <c r="B102" s="16" t="s">
        <v>43</v>
      </c>
    </row>
    <row r="103" spans="1:9" ht="15" customHeight="1" x14ac:dyDescent="0.45">
      <c r="A103"/>
      <c r="B103" s="16" t="s">
        <v>568</v>
      </c>
      <c r="C103" s="67">
        <v>47.8</v>
      </c>
      <c r="D103" s="67">
        <v>60.9</v>
      </c>
      <c r="E103" s="67">
        <v>107.1</v>
      </c>
      <c r="F103" s="67">
        <v>-81.8</v>
      </c>
      <c r="G103" s="67">
        <v>-26.6</v>
      </c>
      <c r="H103" s="67">
        <v>133</v>
      </c>
    </row>
    <row r="104" spans="1:9" ht="15" customHeight="1" x14ac:dyDescent="0.45">
      <c r="A104"/>
      <c r="B104"/>
    </row>
    <row r="105" spans="1:9" ht="15" customHeight="1" x14ac:dyDescent="0.45">
      <c r="A105"/>
      <c r="B105"/>
    </row>
    <row r="106" spans="1:9" ht="15" customHeight="1" x14ac:dyDescent="0.45">
      <c r="A106"/>
      <c r="B106"/>
    </row>
    <row r="107" spans="1:9" ht="15" customHeight="1" x14ac:dyDescent="0.45">
      <c r="A107"/>
      <c r="B107"/>
    </row>
    <row r="108" spans="1:9" ht="15" customHeight="1" x14ac:dyDescent="0.45">
      <c r="A108"/>
      <c r="B108"/>
    </row>
    <row r="109" spans="1:9" ht="15" customHeight="1" x14ac:dyDescent="0.45">
      <c r="A109"/>
      <c r="B109"/>
    </row>
    <row r="110" spans="1:9" ht="15" customHeight="1" x14ac:dyDescent="0.45">
      <c r="A110"/>
      <c r="B110"/>
    </row>
    <row r="111" spans="1:9" ht="15" customHeight="1" x14ac:dyDescent="0.45">
      <c r="A111"/>
      <c r="B111"/>
    </row>
    <row r="112" spans="1:9" ht="15" customHeight="1" x14ac:dyDescent="0.45">
      <c r="A112"/>
      <c r="B112"/>
    </row>
    <row r="113" spans="1:2" ht="15" customHeight="1" x14ac:dyDescent="0.45">
      <c r="A113"/>
      <c r="B113"/>
    </row>
    <row r="114" spans="1:2" ht="15" customHeight="1" x14ac:dyDescent="0.45">
      <c r="A114"/>
      <c r="B114"/>
    </row>
    <row r="115" spans="1:2" ht="15" customHeight="1" x14ac:dyDescent="0.45">
      <c r="A115"/>
      <c r="B115"/>
    </row>
    <row r="116" spans="1:2" ht="15" customHeight="1" x14ac:dyDescent="0.45">
      <c r="A116"/>
      <c r="B116"/>
    </row>
    <row r="117" spans="1:2" ht="15" customHeight="1" x14ac:dyDescent="0.45">
      <c r="A117"/>
      <c r="B117"/>
    </row>
    <row r="118" spans="1:2" ht="15" customHeight="1" x14ac:dyDescent="0.45">
      <c r="A118"/>
      <c r="B118"/>
    </row>
    <row r="119" spans="1:2" ht="15" customHeight="1" x14ac:dyDescent="0.45">
      <c r="A119"/>
      <c r="B119"/>
    </row>
    <row r="120" spans="1:2" ht="15" customHeight="1" x14ac:dyDescent="0.45">
      <c r="A120"/>
      <c r="B120"/>
    </row>
    <row r="121" spans="1:2" ht="15" customHeight="1" x14ac:dyDescent="0.45">
      <c r="A121"/>
      <c r="B121"/>
    </row>
    <row r="122" spans="1:2" ht="15" customHeight="1" x14ac:dyDescent="0.45">
      <c r="A122"/>
      <c r="B122"/>
    </row>
    <row r="123" spans="1:2" ht="15" customHeight="1" x14ac:dyDescent="0.45">
      <c r="A123"/>
      <c r="B123"/>
    </row>
    <row r="124" spans="1:2" ht="15" customHeight="1" x14ac:dyDescent="0.45">
      <c r="A124"/>
      <c r="B124"/>
    </row>
    <row r="125" spans="1:2" ht="15" customHeight="1" x14ac:dyDescent="0.45">
      <c r="A125"/>
      <c r="B125"/>
    </row>
    <row r="126" spans="1:2" ht="15" customHeight="1" x14ac:dyDescent="0.45">
      <c r="A126"/>
      <c r="B126"/>
    </row>
    <row r="127" spans="1:2" ht="15" customHeight="1" x14ac:dyDescent="0.45">
      <c r="A127"/>
      <c r="B127"/>
    </row>
    <row r="128" spans="1:2" ht="15" customHeight="1" x14ac:dyDescent="0.45">
      <c r="A128"/>
      <c r="B128"/>
    </row>
    <row r="129" spans="1:2" ht="15" customHeight="1" x14ac:dyDescent="0.45">
      <c r="A129"/>
      <c r="B129"/>
    </row>
    <row r="130" spans="1:2" ht="15" customHeight="1" x14ac:dyDescent="0.45">
      <c r="A130"/>
      <c r="B130"/>
    </row>
    <row r="131" spans="1:2" ht="15" customHeight="1" x14ac:dyDescent="0.45">
      <c r="A131"/>
      <c r="B131"/>
    </row>
    <row r="132" spans="1:2" ht="15" customHeight="1" x14ac:dyDescent="0.45">
      <c r="A132"/>
      <c r="B132"/>
    </row>
    <row r="133" spans="1:2" ht="15" customHeight="1" x14ac:dyDescent="0.45">
      <c r="A133"/>
      <c r="B133"/>
    </row>
    <row r="134" spans="1:2" ht="15" customHeight="1" x14ac:dyDescent="0.45">
      <c r="A134"/>
      <c r="B134"/>
    </row>
    <row r="135" spans="1:2" ht="15" customHeight="1" x14ac:dyDescent="0.45">
      <c r="A135"/>
      <c r="B135"/>
    </row>
    <row r="136" spans="1:2" ht="15" customHeight="1" x14ac:dyDescent="0.45">
      <c r="A136"/>
      <c r="B136"/>
    </row>
    <row r="137" spans="1:2" ht="15" customHeight="1" x14ac:dyDescent="0.45">
      <c r="A137"/>
      <c r="B137"/>
    </row>
    <row r="138" spans="1:2" ht="15" customHeight="1" x14ac:dyDescent="0.45">
      <c r="A138"/>
      <c r="B138"/>
    </row>
    <row r="139" spans="1:2" ht="15" customHeight="1" x14ac:dyDescent="0.45">
      <c r="A139"/>
      <c r="B139"/>
    </row>
    <row r="140" spans="1:2" ht="15" customHeight="1" x14ac:dyDescent="0.45">
      <c r="A140"/>
      <c r="B140"/>
    </row>
    <row r="141" spans="1:2" ht="15" customHeight="1" x14ac:dyDescent="0.45">
      <c r="A141"/>
      <c r="B141"/>
    </row>
    <row r="142" spans="1:2" ht="15" customHeight="1" x14ac:dyDescent="0.45">
      <c r="A142"/>
      <c r="B142"/>
    </row>
    <row r="143" spans="1:2" ht="15" customHeight="1" x14ac:dyDescent="0.45">
      <c r="A143"/>
      <c r="B143"/>
    </row>
    <row r="144" spans="1:2" ht="15" customHeight="1" x14ac:dyDescent="0.45">
      <c r="A144"/>
      <c r="B144"/>
    </row>
    <row r="145" spans="1:2" ht="15" customHeight="1" x14ac:dyDescent="0.45">
      <c r="A145"/>
      <c r="B145"/>
    </row>
    <row r="146" spans="1:2" ht="15" customHeight="1" x14ac:dyDescent="0.45">
      <c r="A146"/>
      <c r="B146"/>
    </row>
    <row r="147" spans="1:2" ht="15" customHeight="1" x14ac:dyDescent="0.45">
      <c r="A147"/>
      <c r="B147"/>
    </row>
    <row r="148" spans="1:2" ht="15" customHeight="1" x14ac:dyDescent="0.45">
      <c r="A148"/>
      <c r="B148"/>
    </row>
    <row r="149" spans="1:2" ht="15" customHeight="1" x14ac:dyDescent="0.45">
      <c r="A149"/>
      <c r="B149"/>
    </row>
    <row r="150" spans="1:2" ht="15" customHeight="1" x14ac:dyDescent="0.45">
      <c r="A150"/>
      <c r="B150"/>
    </row>
    <row r="151" spans="1:2" ht="15" customHeight="1" x14ac:dyDescent="0.45">
      <c r="A151"/>
      <c r="B151"/>
    </row>
    <row r="152" spans="1:2" ht="15" customHeight="1" x14ac:dyDescent="0.45">
      <c r="A152"/>
      <c r="B152"/>
    </row>
    <row r="153" spans="1:2" ht="15" customHeight="1" x14ac:dyDescent="0.45">
      <c r="A153"/>
      <c r="B153"/>
    </row>
    <row r="154" spans="1:2" ht="15" customHeight="1" x14ac:dyDescent="0.45">
      <c r="A154"/>
      <c r="B154"/>
    </row>
    <row r="155" spans="1:2" ht="15" customHeight="1" x14ac:dyDescent="0.45">
      <c r="A155"/>
      <c r="B155"/>
    </row>
    <row r="156" spans="1:2" ht="15" customHeight="1" x14ac:dyDescent="0.45">
      <c r="A156"/>
      <c r="B156"/>
    </row>
    <row r="157" spans="1:2" ht="15" customHeight="1" x14ac:dyDescent="0.45">
      <c r="A157"/>
      <c r="B157"/>
    </row>
    <row r="158" spans="1:2" ht="15" customHeight="1" x14ac:dyDescent="0.45">
      <c r="A158"/>
      <c r="B158"/>
    </row>
    <row r="159" spans="1:2" ht="15" customHeight="1" x14ac:dyDescent="0.45">
      <c r="A159"/>
      <c r="B159"/>
    </row>
    <row r="160" spans="1:2" ht="15" customHeight="1" x14ac:dyDescent="0.45">
      <c r="A160"/>
      <c r="B160"/>
    </row>
    <row r="161" spans="1:2" ht="15" customHeight="1" x14ac:dyDescent="0.45">
      <c r="A161"/>
      <c r="B161"/>
    </row>
    <row r="162" spans="1:2" ht="15" customHeight="1" x14ac:dyDescent="0.45">
      <c r="A162"/>
      <c r="B162"/>
    </row>
    <row r="163" spans="1:2" ht="15" customHeight="1" x14ac:dyDescent="0.45">
      <c r="A163"/>
      <c r="B163"/>
    </row>
    <row r="164" spans="1:2" ht="15" customHeight="1" x14ac:dyDescent="0.45">
      <c r="A164"/>
      <c r="B164"/>
    </row>
    <row r="165" spans="1:2" ht="15" customHeight="1" x14ac:dyDescent="0.45">
      <c r="A165"/>
      <c r="B165"/>
    </row>
    <row r="166" spans="1:2" ht="15" customHeight="1" x14ac:dyDescent="0.45">
      <c r="A166"/>
      <c r="B166"/>
    </row>
    <row r="167" spans="1:2" ht="15" customHeight="1" x14ac:dyDescent="0.45">
      <c r="A167"/>
      <c r="B167"/>
    </row>
    <row r="168" spans="1:2" ht="15" customHeight="1" x14ac:dyDescent="0.45">
      <c r="A168"/>
      <c r="B168"/>
    </row>
    <row r="169" spans="1:2" ht="15" customHeight="1" x14ac:dyDescent="0.45">
      <c r="A169"/>
      <c r="B169"/>
    </row>
    <row r="170" spans="1:2" ht="15" customHeight="1" x14ac:dyDescent="0.45">
      <c r="A170"/>
      <c r="B170"/>
    </row>
    <row r="171" spans="1:2" ht="15" customHeight="1" x14ac:dyDescent="0.45">
      <c r="A171"/>
      <c r="B171"/>
    </row>
    <row r="172" spans="1:2" ht="15" customHeight="1" x14ac:dyDescent="0.45">
      <c r="A172"/>
      <c r="B172"/>
    </row>
    <row r="173" spans="1:2" ht="15" customHeight="1" x14ac:dyDescent="0.45">
      <c r="A173"/>
      <c r="B173"/>
    </row>
    <row r="174" spans="1:2" ht="15" customHeight="1" x14ac:dyDescent="0.45">
      <c r="A174"/>
      <c r="B174"/>
    </row>
    <row r="175" spans="1:2" ht="15" customHeight="1" x14ac:dyDescent="0.45">
      <c r="A175"/>
      <c r="B175"/>
    </row>
    <row r="176" spans="1:2" ht="15" customHeight="1" x14ac:dyDescent="0.45">
      <c r="A176"/>
      <c r="B176"/>
    </row>
    <row r="177" spans="1:3" ht="15" customHeight="1" x14ac:dyDescent="0.45">
      <c r="A177"/>
      <c r="B177"/>
    </row>
    <row r="178" spans="1:3" ht="15" customHeight="1" x14ac:dyDescent="0.45">
      <c r="A178"/>
      <c r="B178"/>
    </row>
    <row r="179" spans="1:3" ht="15" customHeight="1" x14ac:dyDescent="0.45">
      <c r="A179"/>
      <c r="B179"/>
    </row>
    <row r="180" spans="1:3" ht="15" customHeight="1" x14ac:dyDescent="0.45">
      <c r="A180"/>
      <c r="B180"/>
    </row>
    <row r="181" spans="1:3" ht="15" customHeight="1" x14ac:dyDescent="0.45">
      <c r="A181"/>
      <c r="B181"/>
    </row>
    <row r="182" spans="1:3" ht="15" customHeight="1" x14ac:dyDescent="0.45">
      <c r="A182"/>
      <c r="B182"/>
    </row>
    <row r="183" spans="1:3" ht="15" customHeight="1" x14ac:dyDescent="0.45">
      <c r="A183"/>
      <c r="B183"/>
    </row>
    <row r="184" spans="1:3" ht="15" customHeight="1" x14ac:dyDescent="0.45">
      <c r="A184"/>
      <c r="B184"/>
    </row>
    <row r="185" spans="1:3" ht="15" customHeight="1" x14ac:dyDescent="0.45">
      <c r="A185"/>
      <c r="B185"/>
    </row>
    <row r="186" spans="1:3" ht="15" customHeight="1" x14ac:dyDescent="0.45">
      <c r="A186"/>
      <c r="B186"/>
    </row>
    <row r="187" spans="1:3" ht="15" customHeight="1" x14ac:dyDescent="0.45">
      <c r="A187"/>
      <c r="B187"/>
    </row>
    <row r="188" spans="1:3" ht="15" customHeight="1" x14ac:dyDescent="0.45">
      <c r="A188"/>
      <c r="B188"/>
    </row>
    <row r="189" spans="1:3" ht="15" customHeight="1" x14ac:dyDescent="0.45">
      <c r="A189"/>
      <c r="B189"/>
    </row>
    <row r="190" spans="1:3" ht="15" customHeight="1" x14ac:dyDescent="0.45">
      <c r="A190"/>
      <c r="B190"/>
    </row>
    <row r="191" spans="1:3" ht="15" customHeight="1" x14ac:dyDescent="0.45">
      <c r="A191"/>
      <c r="B191" s="95" t="s">
        <v>569</v>
      </c>
      <c r="C191" s="16" t="s">
        <v>570</v>
      </c>
    </row>
    <row r="192" spans="1:3" ht="15" customHeight="1" x14ac:dyDescent="0.45">
      <c r="A192"/>
      <c r="B192"/>
      <c r="C192" s="16" t="s">
        <v>571</v>
      </c>
    </row>
    <row r="193" spans="1:3" ht="15" customHeight="1" x14ac:dyDescent="0.45">
      <c r="A193"/>
      <c r="B193"/>
      <c r="C193" s="16" t="s">
        <v>572</v>
      </c>
    </row>
    <row r="194" spans="1:3" ht="15" customHeight="1" x14ac:dyDescent="0.45">
      <c r="A194"/>
      <c r="B194"/>
      <c r="C194" s="16" t="s">
        <v>573</v>
      </c>
    </row>
    <row r="195" spans="1:3" ht="15" customHeight="1" x14ac:dyDescent="0.45">
      <c r="A195"/>
      <c r="B195"/>
      <c r="C195" s="16" t="s">
        <v>574</v>
      </c>
    </row>
    <row r="196" spans="1:3" ht="15" customHeight="1" x14ac:dyDescent="0.45">
      <c r="A196"/>
      <c r="B196"/>
      <c r="C196" s="16" t="s">
        <v>575</v>
      </c>
    </row>
    <row r="197" spans="1:3" ht="15" customHeight="1" x14ac:dyDescent="0.45">
      <c r="A197"/>
      <c r="B197" s="95" t="s">
        <v>569</v>
      </c>
      <c r="C197" s="16" t="s">
        <v>576</v>
      </c>
    </row>
    <row r="198" spans="1:3" ht="15" customHeight="1" x14ac:dyDescent="0.45">
      <c r="A198"/>
      <c r="B198" s="95" t="s">
        <v>577</v>
      </c>
      <c r="C198" s="16" t="s">
        <v>578</v>
      </c>
    </row>
    <row r="199" spans="1:3" ht="15" customHeight="1" x14ac:dyDescent="0.45">
      <c r="A199"/>
      <c r="B199"/>
      <c r="C199" s="16" t="s">
        <v>579</v>
      </c>
    </row>
    <row r="200" spans="1:3" ht="15" customHeight="1" x14ac:dyDescent="0.45">
      <c r="A200"/>
      <c r="B200" s="95" t="s">
        <v>580</v>
      </c>
      <c r="C200" s="16" t="s">
        <v>581</v>
      </c>
    </row>
    <row r="201" spans="1:3" ht="15" customHeight="1" x14ac:dyDescent="0.45">
      <c r="A201"/>
      <c r="B201" s="96">
        <v>43091</v>
      </c>
      <c r="C201" s="16" t="s">
        <v>582</v>
      </c>
    </row>
    <row r="202" spans="1:3" ht="15" customHeight="1" x14ac:dyDescent="0.45">
      <c r="A202"/>
      <c r="B202"/>
      <c r="C202" s="16" t="s">
        <v>583</v>
      </c>
    </row>
    <row r="203" spans="1:3" ht="15" customHeight="1" x14ac:dyDescent="0.45">
      <c r="A203"/>
      <c r="B203" s="96">
        <v>43110</v>
      </c>
      <c r="C203" s="16" t="s">
        <v>584</v>
      </c>
    </row>
    <row r="204" spans="1:3" ht="15" customHeight="1" x14ac:dyDescent="0.45">
      <c r="A204"/>
      <c r="B204" s="96">
        <v>43112</v>
      </c>
      <c r="C204" s="16" t="s">
        <v>585</v>
      </c>
    </row>
    <row r="205" spans="1:3" ht="15" customHeight="1" x14ac:dyDescent="0.45">
      <c r="A205"/>
      <c r="B205" s="96">
        <v>43115</v>
      </c>
      <c r="C205" s="16" t="s">
        <v>586</v>
      </c>
    </row>
    <row r="206" spans="1:3" ht="15" customHeight="1" x14ac:dyDescent="0.45">
      <c r="A206"/>
      <c r="B206"/>
    </row>
    <row r="207" spans="1:3" ht="15" customHeight="1" x14ac:dyDescent="0.45">
      <c r="A207" s="15" t="s">
        <v>116</v>
      </c>
      <c r="B207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91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716582E2-12F4-4613-B738-32E414D1C2F0}"/>
</file>

<file path=customXml/itemProps2.xml><?xml version="1.0" encoding="utf-8"?>
<ds:datastoreItem xmlns:ds="http://schemas.openxmlformats.org/officeDocument/2006/customXml" ds:itemID="{77085BA9-0982-4604-B797-01DA34269762}"/>
</file>

<file path=customXml/itemProps3.xml><?xml version="1.0" encoding="utf-8"?>
<ds:datastoreItem xmlns:ds="http://schemas.openxmlformats.org/officeDocument/2006/customXml" ds:itemID="{4CC313D0-3C8E-4C76-8995-476F4F5EC9FC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2</vt:i4>
      </vt:variant>
    </vt:vector>
  </HeadingPairs>
  <TitlesOfParts>
    <vt:vector size="17" baseType="lpstr">
      <vt:lpstr>Welcome</vt:lpstr>
      <vt:lpstr>Info</vt:lpstr>
      <vt:lpstr>Workouts</vt:lpstr>
      <vt:lpstr>Estimates</vt:lpstr>
      <vt:lpstr>Patisserie Valerie</vt:lpstr>
      <vt:lpstr>Apple</vt:lpstr>
      <vt:lpstr>Capita 2</vt:lpstr>
      <vt:lpstr>Pearson</vt:lpstr>
      <vt:lpstr>Aston Martin</vt:lpstr>
      <vt:lpstr>Steinhoff</vt:lpstr>
      <vt:lpstr>Kier</vt:lpstr>
      <vt:lpstr>Interserve</vt:lpstr>
      <vt:lpstr>Flybe</vt:lpstr>
      <vt:lpstr>Hertz</vt:lpstr>
      <vt:lpstr>Company X</vt:lpstr>
      <vt:lpstr>Estimates!Print_Area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Financial Edge</dc:creator>
  <cp:lastModifiedBy>Deborah Taylor</cp:lastModifiedBy>
  <cp:lastPrinted>2021-04-29T15:10:08Z</cp:lastPrinted>
  <dcterms:created xsi:type="dcterms:W3CDTF">2016-02-03T14:06:14Z</dcterms:created>
  <dcterms:modified xsi:type="dcterms:W3CDTF">2021-04-29T15:16:38Z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