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F292F97D-5E95-45FD-AD83-6AF1F35A45C3}" xr6:coauthVersionLast="45" xr6:coauthVersionMax="45" xr10:uidLastSave="{00000000-0000-0000-0000-000000000000}"/>
  <bookViews>
    <workbookView xWindow="-98" yWindow="-98" windowWidth="20715" windowHeight="13276" tabRatio="710" xr2:uid="{00000000-000D-0000-FFFF-FFFF00000000}"/>
  </bookViews>
  <sheets>
    <sheet name="Welcome" sheetId="1" r:id="rId1"/>
    <sheet name="Info" sheetId="6" r:id="rId2"/>
    <sheet name="M&amp;A Analysis" sheetId="7" r:id="rId3"/>
    <sheet name="M&amp;A Cash Deal 1" sheetId="9" r:id="rId4"/>
    <sheet name="M&amp;A Cash Deal 2" sheetId="11" r:id="rId5"/>
    <sheet name="M&amp;A Stock Deal" sheetId="8" r:id="rId6"/>
    <sheet name="Side by Side and Contribution" sheetId="10" r:id="rId7"/>
  </sheets>
  <definedNames>
    <definedName name="_xlnm.Print_Area" localSheetId="4">'M&amp;A Cash Deal 2'!$A$1:$J$96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1" l="1"/>
  <c r="D58" i="11"/>
  <c r="E58" i="11"/>
  <c r="F58" i="11"/>
  <c r="D58" i="9"/>
  <c r="E58" i="9"/>
  <c r="F58" i="9"/>
  <c r="C58" i="9"/>
  <c r="G28" i="8"/>
  <c r="C822" i="7"/>
  <c r="E821" i="7"/>
  <c r="F821" i="7"/>
  <c r="D821" i="7"/>
  <c r="E820" i="7"/>
  <c r="F820" i="7"/>
  <c r="D820" i="7"/>
  <c r="D34" i="8" l="1"/>
  <c r="D624" i="7" l="1"/>
  <c r="C624" i="7"/>
  <c r="A1" i="11" l="1"/>
  <c r="B88" i="11" l="1"/>
  <c r="D86" i="11"/>
  <c r="D87" i="11" s="1"/>
  <c r="D80" i="11"/>
  <c r="D88" i="11" s="1"/>
  <c r="C77" i="11"/>
  <c r="B72" i="11"/>
  <c r="B71" i="11"/>
  <c r="D68" i="11"/>
  <c r="C68" i="11"/>
  <c r="E66" i="11"/>
  <c r="F62" i="11"/>
  <c r="E62" i="11"/>
  <c r="D62" i="11"/>
  <c r="C62" i="11"/>
  <c r="F57" i="11"/>
  <c r="E57" i="11"/>
  <c r="D57" i="11"/>
  <c r="C57" i="11"/>
  <c r="F52" i="11"/>
  <c r="F56" i="11" s="1"/>
  <c r="E52" i="11"/>
  <c r="E56" i="11" s="1"/>
  <c r="D52" i="11"/>
  <c r="D56" i="11" s="1"/>
  <c r="C52" i="11"/>
  <c r="C56" i="11" s="1"/>
  <c r="F47" i="11"/>
  <c r="F55" i="11" s="1"/>
  <c r="E47" i="11"/>
  <c r="E55" i="11" s="1"/>
  <c r="D47" i="11"/>
  <c r="D55" i="11" s="1"/>
  <c r="C47" i="11"/>
  <c r="C55" i="11" s="1"/>
  <c r="F41" i="11"/>
  <c r="E41" i="11"/>
  <c r="D41" i="11"/>
  <c r="F39" i="11"/>
  <c r="E39" i="11"/>
  <c r="D39" i="11"/>
  <c r="C34" i="11"/>
  <c r="C29" i="11"/>
  <c r="C28" i="11"/>
  <c r="B28" i="11"/>
  <c r="C27" i="11"/>
  <c r="G26" i="11"/>
  <c r="B26" i="11"/>
  <c r="C11" i="11"/>
  <c r="D8" i="11"/>
  <c r="E40" i="11" s="1"/>
  <c r="C81" i="11" l="1"/>
  <c r="D89" i="11"/>
  <c r="D40" i="11"/>
  <c r="F40" i="11"/>
  <c r="H6" i="11"/>
  <c r="D10" i="11" s="1"/>
  <c r="D11" i="11" l="1"/>
  <c r="C72" i="11" s="1"/>
  <c r="D12" i="11"/>
  <c r="C26" i="11" l="1"/>
  <c r="C71" i="11"/>
  <c r="C73" i="11" s="1"/>
  <c r="C82" i="11" s="1"/>
  <c r="D15" i="11"/>
  <c r="E64" i="10"/>
  <c r="C30" i="11" l="1"/>
  <c r="C91" i="11" s="1"/>
  <c r="C92" i="11" s="1"/>
  <c r="G28" i="11"/>
  <c r="C35" i="11" s="1"/>
  <c r="D87" i="9"/>
  <c r="D80" i="9"/>
  <c r="D653" i="7"/>
  <c r="C653" i="7"/>
  <c r="C31" i="11" l="1"/>
  <c r="G27" i="11"/>
  <c r="C36" i="11"/>
  <c r="C916" i="7"/>
  <c r="C906" i="7"/>
  <c r="C762" i="7"/>
  <c r="D8" i="8"/>
  <c r="C77" i="9"/>
  <c r="C81" i="9" s="1"/>
  <c r="D88" i="9"/>
  <c r="D89" i="9" s="1"/>
  <c r="E66" i="9"/>
  <c r="C62" i="9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G26" i="9"/>
  <c r="C29" i="9"/>
  <c r="C28" i="9"/>
  <c r="C27" i="9"/>
  <c r="D8" i="9"/>
  <c r="D40" i="9" s="1"/>
  <c r="E924" i="7"/>
  <c r="H924" i="7" s="1"/>
  <c r="J924" i="7" s="1"/>
  <c r="C893" i="7"/>
  <c r="C892" i="7"/>
  <c r="C894" i="7" s="1"/>
  <c r="C890" i="7"/>
  <c r="C896" i="7" s="1"/>
  <c r="C886" i="7"/>
  <c r="C884" i="7"/>
  <c r="C887" i="7" s="1"/>
  <c r="F876" i="7"/>
  <c r="F875" i="7"/>
  <c r="F877" i="7" s="1"/>
  <c r="F871" i="7"/>
  <c r="E880" i="7"/>
  <c r="F880" i="7" s="1"/>
  <c r="F869" i="7"/>
  <c r="F868" i="7"/>
  <c r="F867" i="7"/>
  <c r="C857" i="7"/>
  <c r="C858" i="7" s="1"/>
  <c r="D851" i="7"/>
  <c r="D852" i="7" s="1"/>
  <c r="D847" i="7"/>
  <c r="D846" i="7"/>
  <c r="D848" i="7" s="1"/>
  <c r="C843" i="7"/>
  <c r="F818" i="7"/>
  <c r="E818" i="7"/>
  <c r="D818" i="7"/>
  <c r="C797" i="7"/>
  <c r="C790" i="7"/>
  <c r="C786" i="7"/>
  <c r="C785" i="7"/>
  <c r="D777" i="7"/>
  <c r="D757" i="7"/>
  <c r="D756" i="7"/>
  <c r="D758" i="7" s="1"/>
  <c r="C761" i="7" s="1"/>
  <c r="C743" i="7"/>
  <c r="C741" i="7"/>
  <c r="C740" i="7"/>
  <c r="C736" i="7"/>
  <c r="C659" i="7"/>
  <c r="C658" i="7"/>
  <c r="D650" i="7"/>
  <c r="D644" i="7"/>
  <c r="D646" i="7" s="1"/>
  <c r="C644" i="7"/>
  <c r="C646" i="7" s="1"/>
  <c r="D621" i="7"/>
  <c r="C626" i="7" s="1"/>
  <c r="C627" i="7" s="1"/>
  <c r="D615" i="7"/>
  <c r="D617" i="7" s="1"/>
  <c r="C615" i="7"/>
  <c r="C617" i="7" s="1"/>
  <c r="C628" i="7" s="1"/>
  <c r="C598" i="7"/>
  <c r="D591" i="7"/>
  <c r="D585" i="7"/>
  <c r="C599" i="7" s="1"/>
  <c r="D583" i="7"/>
  <c r="C591" i="7"/>
  <c r="C570" i="7"/>
  <c r="C562" i="7"/>
  <c r="D555" i="7"/>
  <c r="D550" i="7"/>
  <c r="D548" i="7"/>
  <c r="C563" i="7" s="1"/>
  <c r="D546" i="7"/>
  <c r="C555" i="7"/>
  <c r="C558" i="7" s="1"/>
  <c r="C533" i="7"/>
  <c r="C532" i="7"/>
  <c r="C523" i="7"/>
  <c r="C534" i="7" s="1"/>
  <c r="C522" i="7"/>
  <c r="C521" i="7"/>
  <c r="C507" i="7"/>
  <c r="C503" i="7"/>
  <c r="C476" i="7"/>
  <c r="C472" i="7"/>
  <c r="D462" i="7"/>
  <c r="D854" i="7" l="1"/>
  <c r="C629" i="7"/>
  <c r="C742" i="7"/>
  <c r="C594" i="7"/>
  <c r="C600" i="7"/>
  <c r="F59" i="11"/>
  <c r="E67" i="11"/>
  <c r="D860" i="7"/>
  <c r="C564" i="7"/>
  <c r="C655" i="7"/>
  <c r="C657" i="7" s="1"/>
  <c r="C660" i="7" s="1"/>
  <c r="F870" i="7"/>
  <c r="C744" i="7"/>
  <c r="C764" i="7"/>
  <c r="C763" i="7"/>
  <c r="D761" i="7" s="1"/>
  <c r="C888" i="7"/>
  <c r="C559" i="7"/>
  <c r="C560" i="7" s="1"/>
  <c r="F60" i="11"/>
  <c r="D34" i="11"/>
  <c r="C60" i="11"/>
  <c r="E60" i="11"/>
  <c r="D60" i="11"/>
  <c r="D35" i="11"/>
  <c r="C59" i="11"/>
  <c r="C61" i="11" s="1"/>
  <c r="C63" i="11" s="1"/>
  <c r="E59" i="11"/>
  <c r="D59" i="11"/>
  <c r="G31" i="11"/>
  <c r="E68" i="11"/>
  <c r="D419" i="7"/>
  <c r="D420" i="7" s="1"/>
  <c r="D421" i="7" s="1"/>
  <c r="F402" i="7"/>
  <c r="F384" i="7"/>
  <c r="F366" i="7"/>
  <c r="C347" i="7"/>
  <c r="C338" i="7"/>
  <c r="C344" i="7" s="1"/>
  <c r="C322" i="7"/>
  <c r="C266" i="7"/>
  <c r="C231" i="7"/>
  <c r="C248" i="7" s="1"/>
  <c r="C227" i="7"/>
  <c r="C243" i="7" s="1"/>
  <c r="C226" i="7"/>
  <c r="C242" i="7" s="1"/>
  <c r="C225" i="7"/>
  <c r="C241" i="7" s="1"/>
  <c r="C224" i="7"/>
  <c r="C240" i="7" s="1"/>
  <c r="C223" i="7"/>
  <c r="C260" i="7" s="1"/>
  <c r="C205" i="7"/>
  <c r="C208" i="7"/>
  <c r="C194" i="7"/>
  <c r="C152" i="7"/>
  <c r="C147" i="7"/>
  <c r="C51" i="7"/>
  <c r="C45" i="7"/>
  <c r="C46" i="7"/>
  <c r="C209" i="7" l="1"/>
  <c r="C566" i="7"/>
  <c r="C569" i="7" s="1"/>
  <c r="C567" i="7"/>
  <c r="F61" i="11"/>
  <c r="F63" i="11" s="1"/>
  <c r="C47" i="7"/>
  <c r="C50" i="7" s="1"/>
  <c r="C52" i="7" s="1"/>
  <c r="C53" i="7" s="1"/>
  <c r="C84" i="7" s="1"/>
  <c r="C88" i="7" s="1"/>
  <c r="C210" i="7"/>
  <c r="D61" i="11"/>
  <c r="D63" i="11" s="1"/>
  <c r="C232" i="7"/>
  <c r="C233" i="7" s="1"/>
  <c r="E61" i="11"/>
  <c r="E63" i="11" s="1"/>
  <c r="C267" i="7"/>
  <c r="C268" i="7" s="1"/>
  <c r="C263" i="7"/>
  <c r="C228" i="7"/>
  <c r="C239" i="7"/>
  <c r="C574" i="7" l="1"/>
  <c r="C571" i="7"/>
  <c r="C572" i="7" s="1"/>
  <c r="C573" i="7" s="1"/>
  <c r="C244" i="7"/>
  <c r="C249" i="7"/>
  <c r="C250" i="7" s="1"/>
  <c r="D62" i="10"/>
  <c r="C62" i="10"/>
  <c r="F62" i="10" s="1"/>
  <c r="E63" i="10" s="1"/>
  <c r="D60" i="10"/>
  <c r="C60" i="10"/>
  <c r="F60" i="10" l="1"/>
  <c r="C61" i="10" s="1"/>
  <c r="D63" i="10"/>
  <c r="C63" i="10"/>
  <c r="E61" i="10" l="1"/>
  <c r="D61" i="10"/>
  <c r="D40" i="10"/>
  <c r="D51" i="10" s="1"/>
  <c r="C40" i="10"/>
  <c r="C51" i="10" s="1"/>
  <c r="D38" i="10"/>
  <c r="D49" i="10" s="1"/>
  <c r="C38" i="10"/>
  <c r="C49" i="10" s="1"/>
  <c r="B36" i="10"/>
  <c r="D29" i="10"/>
  <c r="C29" i="10"/>
  <c r="D23" i="10"/>
  <c r="D30" i="10" s="1"/>
  <c r="C23" i="10"/>
  <c r="C30" i="10" s="1"/>
  <c r="D20" i="10"/>
  <c r="C20" i="10"/>
  <c r="F17" i="10"/>
  <c r="E17" i="10"/>
  <c r="D17" i="10"/>
  <c r="L15" i="10"/>
  <c r="K15" i="10"/>
  <c r="L14" i="10"/>
  <c r="K14" i="10"/>
  <c r="J14" i="10"/>
  <c r="L13" i="10"/>
  <c r="K13" i="10"/>
  <c r="F10" i="10"/>
  <c r="E10" i="10"/>
  <c r="D10" i="10"/>
  <c r="L8" i="10"/>
  <c r="K8" i="10"/>
  <c r="L7" i="10"/>
  <c r="K7" i="10"/>
  <c r="J7" i="10"/>
  <c r="L6" i="10"/>
  <c r="K6" i="10"/>
  <c r="A1" i="10"/>
  <c r="K65" i="8"/>
  <c r="J65" i="8"/>
  <c r="K64" i="8"/>
  <c r="J64" i="8"/>
  <c r="I64" i="8"/>
  <c r="K63" i="8"/>
  <c r="J63" i="8"/>
  <c r="K58" i="8"/>
  <c r="K57" i="8"/>
  <c r="J57" i="8"/>
  <c r="J58" i="8"/>
  <c r="I57" i="8"/>
  <c r="K56" i="8"/>
  <c r="J56" i="8"/>
  <c r="F52" i="8"/>
  <c r="E52" i="8"/>
  <c r="D52" i="8"/>
  <c r="C43" i="8"/>
  <c r="F77" i="8"/>
  <c r="E77" i="8"/>
  <c r="D77" i="8"/>
  <c r="F67" i="8"/>
  <c r="F71" i="8" s="1"/>
  <c r="E67" i="8"/>
  <c r="E71" i="8" s="1"/>
  <c r="D67" i="8"/>
  <c r="D71" i="8" s="1"/>
  <c r="F60" i="8"/>
  <c r="F70" i="8" s="1"/>
  <c r="E60" i="8"/>
  <c r="E70" i="8" s="1"/>
  <c r="D60" i="8"/>
  <c r="D70" i="8" s="1"/>
  <c r="F50" i="8"/>
  <c r="E50" i="8"/>
  <c r="D50" i="8"/>
  <c r="C35" i="8"/>
  <c r="D35" i="8"/>
  <c r="E34" i="8"/>
  <c r="E39" i="8" s="1"/>
  <c r="B28" i="8"/>
  <c r="H6" i="8"/>
  <c r="D10" i="8" s="1"/>
  <c r="C11" i="8"/>
  <c r="E36" i="8" l="1"/>
  <c r="E40" i="8" s="1"/>
  <c r="C47" i="8" s="1"/>
  <c r="F51" i="8"/>
  <c r="D51" i="8"/>
  <c r="E51" i="8"/>
  <c r="E32" i="10"/>
  <c r="C64" i="10"/>
  <c r="D64" i="10"/>
  <c r="E33" i="10"/>
  <c r="D25" i="10"/>
  <c r="D26" i="10" s="1"/>
  <c r="C47" i="10" s="1"/>
  <c r="D47" i="10" s="1"/>
  <c r="D48" i="10"/>
  <c r="D50" i="10" s="1"/>
  <c r="E30" i="10"/>
  <c r="D31" i="10" s="1"/>
  <c r="C25" i="10"/>
  <c r="C26" i="10" s="1"/>
  <c r="C36" i="10" s="1"/>
  <c r="D36" i="10" s="1"/>
  <c r="D37" i="10" s="1"/>
  <c r="D39" i="10" s="1"/>
  <c r="D12" i="8"/>
  <c r="D11" i="8"/>
  <c r="C48" i="10" l="1"/>
  <c r="C50" i="10" s="1"/>
  <c r="F64" i="10"/>
  <c r="E65" i="10" s="1"/>
  <c r="C37" i="10"/>
  <c r="C39" i="10" s="1"/>
  <c r="C41" i="10" s="1"/>
  <c r="E44" i="10" s="1"/>
  <c r="D52" i="10"/>
  <c r="D41" i="10"/>
  <c r="C65" i="10"/>
  <c r="D65" i="10"/>
  <c r="C31" i="10"/>
  <c r="C52" i="10"/>
  <c r="E50" i="10"/>
  <c r="C53" i="10" s="1"/>
  <c r="D53" i="10" s="1"/>
  <c r="D15" i="8"/>
  <c r="D28" i="8"/>
  <c r="G30" i="8" s="1"/>
  <c r="C44" i="8" s="1"/>
  <c r="E43" i="10" l="1"/>
  <c r="E39" i="10"/>
  <c r="D42" i="10" s="1"/>
  <c r="C46" i="8"/>
  <c r="C45" i="8"/>
  <c r="E54" i="10"/>
  <c r="E55" i="10"/>
  <c r="D29" i="8"/>
  <c r="D18" i="8"/>
  <c r="C42" i="10" l="1"/>
  <c r="D75" i="8"/>
  <c r="E75" i="8"/>
  <c r="F75" i="8"/>
  <c r="D43" i="8"/>
  <c r="D44" i="8"/>
  <c r="D31" i="8"/>
  <c r="G29" i="8"/>
  <c r="F73" i="8" l="1"/>
  <c r="F74" i="8" s="1"/>
  <c r="F76" i="8" s="1"/>
  <c r="F78" i="8" s="1"/>
  <c r="E73" i="8"/>
  <c r="E74" i="8" s="1"/>
  <c r="E76" i="8" s="1"/>
  <c r="E78" i="8" s="1"/>
  <c r="D73" i="8"/>
  <c r="D74" i="8" s="1"/>
  <c r="D76" i="8" s="1"/>
  <c r="D78" i="8" s="1"/>
  <c r="B88" i="9"/>
  <c r="B72" i="9"/>
  <c r="B71" i="9"/>
  <c r="F62" i="9"/>
  <c r="E62" i="9"/>
  <c r="D62" i="9"/>
  <c r="F57" i="9"/>
  <c r="E57" i="9"/>
  <c r="D57" i="9"/>
  <c r="D68" i="9"/>
  <c r="C68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C72" i="9" s="1"/>
  <c r="D12" i="9"/>
  <c r="E40" i="9"/>
  <c r="F40" i="9"/>
  <c r="C71" i="9" l="1"/>
  <c r="C73" i="9" s="1"/>
  <c r="C82" i="9" s="1"/>
  <c r="C26" i="9"/>
  <c r="D15" i="9"/>
  <c r="G28" i="9" l="1"/>
  <c r="C35" i="9" s="1"/>
  <c r="C30" i="9"/>
  <c r="C31" i="9" s="1"/>
  <c r="G27" i="9" s="1"/>
  <c r="C91" i="9"/>
  <c r="C92" i="9" s="1"/>
  <c r="F55" i="9"/>
  <c r="E55" i="9"/>
  <c r="D55" i="9"/>
  <c r="A1" i="9"/>
  <c r="A1" i="8"/>
  <c r="F59" i="9" l="1"/>
  <c r="E59" i="9"/>
  <c r="E67" i="9"/>
  <c r="E68" i="9"/>
  <c r="C59" i="9"/>
  <c r="G31" i="9"/>
  <c r="D59" i="9"/>
  <c r="C36" i="9"/>
  <c r="I925" i="7"/>
  <c r="I926" i="7" s="1"/>
  <c r="I927" i="7" s="1"/>
  <c r="I928" i="7" s="1"/>
  <c r="I929" i="7" s="1"/>
  <c r="G925" i="7"/>
  <c r="G926" i="7" s="1"/>
  <c r="G927" i="7" s="1"/>
  <c r="G928" i="7" s="1"/>
  <c r="G929" i="7" s="1"/>
  <c r="F925" i="7"/>
  <c r="F926" i="7" s="1"/>
  <c r="F927" i="7" s="1"/>
  <c r="F928" i="7" s="1"/>
  <c r="F929" i="7" s="1"/>
  <c r="D925" i="7"/>
  <c r="D926" i="7" s="1"/>
  <c r="D927" i="7" s="1"/>
  <c r="D928" i="7" s="1"/>
  <c r="D929" i="7" s="1"/>
  <c r="B925" i="7"/>
  <c r="C925" i="7" s="1"/>
  <c r="C60" i="9" l="1"/>
  <c r="C61" i="9" s="1"/>
  <c r="C63" i="9" s="1"/>
  <c r="D34" i="9"/>
  <c r="D60" i="9"/>
  <c r="E60" i="9"/>
  <c r="E61" i="9" s="1"/>
  <c r="E63" i="9" s="1"/>
  <c r="F60" i="9"/>
  <c r="F61" i="9" s="1"/>
  <c r="F63" i="9" s="1"/>
  <c r="D35" i="9"/>
  <c r="D61" i="9"/>
  <c r="D63" i="9" s="1"/>
  <c r="B926" i="7"/>
  <c r="E925" i="7"/>
  <c r="H925" i="7" s="1"/>
  <c r="J925" i="7" s="1"/>
  <c r="C926" i="7" l="1"/>
  <c r="E926" i="7" s="1"/>
  <c r="H926" i="7" s="1"/>
  <c r="J926" i="7" s="1"/>
  <c r="B927" i="7"/>
  <c r="C927" i="7" l="1"/>
  <c r="E927" i="7" s="1"/>
  <c r="H927" i="7" s="1"/>
  <c r="J927" i="7" s="1"/>
  <c r="B928" i="7"/>
  <c r="D877" i="7"/>
  <c r="D879" i="7" s="1"/>
  <c r="D881" i="7" s="1"/>
  <c r="C877" i="7"/>
  <c r="C879" i="7" s="1"/>
  <c r="D870" i="7"/>
  <c r="D873" i="7" s="1"/>
  <c r="C870" i="7"/>
  <c r="C873" i="7" s="1"/>
  <c r="B786" i="7"/>
  <c r="C813" i="7"/>
  <c r="C928" i="7" l="1"/>
  <c r="E928" i="7" s="1"/>
  <c r="H928" i="7" s="1"/>
  <c r="J928" i="7" s="1"/>
  <c r="F819" i="7"/>
  <c r="C823" i="7" s="1"/>
  <c r="C881" i="7"/>
  <c r="B929" i="7"/>
  <c r="E878" i="7"/>
  <c r="F878" i="7" s="1"/>
  <c r="F879" i="7" s="1"/>
  <c r="F881" i="7" s="1"/>
  <c r="E872" i="7"/>
  <c r="F872" i="7" s="1"/>
  <c r="F873" i="7" s="1"/>
  <c r="C777" i="7"/>
  <c r="D776" i="7"/>
  <c r="D778" i="7" s="1"/>
  <c r="C784" i="7" s="1"/>
  <c r="C757" i="7"/>
  <c r="C791" i="7" l="1"/>
  <c r="C787" i="7"/>
  <c r="C792" i="7" s="1"/>
  <c r="C800" i="7" s="1"/>
  <c r="C929" i="7"/>
  <c r="E929" i="7" s="1"/>
  <c r="H929" i="7" s="1"/>
  <c r="J929" i="7" s="1"/>
  <c r="C824" i="7"/>
  <c r="C827" i="7" s="1"/>
  <c r="D762" i="7"/>
  <c r="C796" i="7" l="1"/>
  <c r="C793" i="7"/>
  <c r="B743" i="7"/>
  <c r="B741" i="7"/>
  <c r="B740" i="7"/>
  <c r="C725" i="7"/>
  <c r="B725" i="7"/>
  <c r="C724" i="7"/>
  <c r="C723" i="7"/>
  <c r="B724" i="7"/>
  <c r="B723" i="7"/>
  <c r="C726" i="7" l="1"/>
  <c r="C729" i="7" s="1"/>
  <c r="C738" i="7" s="1"/>
  <c r="C746" i="7" s="1"/>
  <c r="C798" i="7"/>
  <c r="D797" i="7" s="1"/>
  <c r="C799" i="7"/>
  <c r="D587" i="7"/>
  <c r="C595" i="7" s="1"/>
  <c r="C596" i="7" s="1"/>
  <c r="C602" i="7" s="1"/>
  <c r="B569" i="7"/>
  <c r="D499" i="7"/>
  <c r="C499" i="7"/>
  <c r="C502" i="7" s="1"/>
  <c r="D493" i="7"/>
  <c r="D491" i="7"/>
  <c r="D468" i="7"/>
  <c r="C468" i="7"/>
  <c r="C471" i="7" s="1"/>
  <c r="D460" i="7"/>
  <c r="C504" i="7" l="1"/>
  <c r="C505" i="7" s="1"/>
  <c r="C508" i="7"/>
  <c r="C509" i="7" s="1"/>
  <c r="D796" i="7"/>
  <c r="C477" i="7"/>
  <c r="C478" i="7" s="1"/>
  <c r="C473" i="7"/>
  <c r="C474" i="7" s="1"/>
  <c r="C605" i="7"/>
  <c r="C603" i="7"/>
  <c r="C445" i="7"/>
  <c r="C442" i="7"/>
  <c r="D438" i="7"/>
  <c r="C438" i="7"/>
  <c r="D431" i="7"/>
  <c r="C446" i="7" s="1"/>
  <c r="E404" i="7"/>
  <c r="E403" i="7"/>
  <c r="F403" i="7" s="1"/>
  <c r="E386" i="7"/>
  <c r="E385" i="7"/>
  <c r="F385" i="7" s="1"/>
  <c r="E368" i="7"/>
  <c r="E367" i="7"/>
  <c r="F367" i="7" s="1"/>
  <c r="C480" i="7" l="1"/>
  <c r="C481" i="7" s="1"/>
  <c r="C511" i="7"/>
  <c r="C512" i="7" s="1"/>
  <c r="F404" i="7"/>
  <c r="E405" i="7"/>
  <c r="F405" i="7" s="1"/>
  <c r="F368" i="7"/>
  <c r="E369" i="7"/>
  <c r="F369" i="7" s="1"/>
  <c r="F386" i="7"/>
  <c r="E387" i="7"/>
  <c r="F387" i="7" s="1"/>
  <c r="C447" i="7"/>
  <c r="C441" i="7"/>
  <c r="C443" i="7" s="1"/>
  <c r="B344" i="7"/>
  <c r="B343" i="7"/>
  <c r="C330" i="7"/>
  <c r="B330" i="7"/>
  <c r="C323" i="7"/>
  <c r="C324" i="7" s="1"/>
  <c r="C328" i="7" s="1"/>
  <c r="B323" i="7"/>
  <c r="B322" i="7"/>
  <c r="B250" i="7"/>
  <c r="B249" i="7"/>
  <c r="B248" i="7"/>
  <c r="B244" i="7"/>
  <c r="B243" i="7"/>
  <c r="B242" i="7"/>
  <c r="B241" i="7"/>
  <c r="B240" i="7"/>
  <c r="B239" i="7"/>
  <c r="C191" i="7"/>
  <c r="C195" i="7" s="1"/>
  <c r="C196" i="7" s="1"/>
  <c r="C177" i="7"/>
  <c r="C180" i="7"/>
  <c r="B152" i="7"/>
  <c r="B151" i="7"/>
  <c r="C148" i="7"/>
  <c r="C149" i="7" s="1"/>
  <c r="C157" i="7" s="1"/>
  <c r="B148" i="7"/>
  <c r="B147" i="7"/>
  <c r="C97" i="7"/>
  <c r="C151" i="7" s="1"/>
  <c r="C153" i="7" s="1"/>
  <c r="B51" i="7"/>
  <c r="B46" i="7"/>
  <c r="B45" i="7"/>
  <c r="C161" i="7" l="1"/>
  <c r="C162" i="7" s="1"/>
  <c r="C167" i="7" s="1"/>
  <c r="C331" i="7"/>
  <c r="C332" i="7" s="1"/>
  <c r="C351" i="7" s="1"/>
  <c r="C346" i="7" s="1"/>
  <c r="C449" i="7"/>
  <c r="C450" i="7" s="1"/>
  <c r="C181" i="7"/>
  <c r="C182" i="7" s="1"/>
  <c r="C17" i="7"/>
  <c r="C19" i="7"/>
  <c r="C16" i="7"/>
  <c r="C18" i="7" s="1"/>
  <c r="C343" i="7" l="1"/>
  <c r="C340" i="7"/>
  <c r="C345" i="7" s="1"/>
  <c r="C20" i="7"/>
  <c r="C21" i="7" s="1"/>
  <c r="C348" i="7" l="1"/>
  <c r="C352" i="7" s="1"/>
  <c r="C353" i="7" s="1"/>
  <c r="A1" i="7"/>
  <c r="A1" i="6"/>
  <c r="A7" i="1" l="1"/>
  <c r="G31" i="8"/>
</calcChain>
</file>

<file path=xl/sharedStrings.xml><?xml version="1.0" encoding="utf-8"?>
<sst xmlns="http://schemas.openxmlformats.org/spreadsheetml/2006/main" count="1067" uniqueCount="457">
  <si>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</si>
  <si>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</si>
  <si>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</si>
  <si>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</si>
  <si>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</si>
  <si>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</si>
  <si>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</si>
  <si>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</si>
  <si>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</si>
  <si>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</si>
  <si>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</si>
  <si>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</si>
  <si>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</si>
  <si>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</si>
  <si>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</si>
  <si>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</si>
  <si>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</si>
  <si>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</si>
  <si>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 1</t>
  </si>
  <si>
    <t>Entry</t>
  </si>
  <si>
    <t>Uses of funds</t>
  </si>
  <si>
    <t>Equity purchase price</t>
  </si>
  <si>
    <t>Refinanced net debt</t>
  </si>
  <si>
    <t>Total uses of funds</t>
  </si>
  <si>
    <t>Sources of funds</t>
  </si>
  <si>
    <t>Equity financing</t>
  </si>
  <si>
    <t>Total sources of funds</t>
  </si>
  <si>
    <t>Basic shares outstanding</t>
  </si>
  <si>
    <t>Options outstanding</t>
  </si>
  <si>
    <t>Options strike price</t>
  </si>
  <si>
    <t>Dilution from options</t>
  </si>
  <si>
    <t>Diluted shares outstanding</t>
  </si>
  <si>
    <t>Net debt</t>
  </si>
  <si>
    <t>Acquisition enterprise value</t>
  </si>
  <si>
    <t>Current share price</t>
  </si>
  <si>
    <t>Advisory fees</t>
  </si>
  <si>
    <t>Debt issuance fees</t>
  </si>
  <si>
    <t>Cash and equivalents</t>
  </si>
  <si>
    <t>Short term debt</t>
  </si>
  <si>
    <t>Workout 2</t>
  </si>
  <si>
    <t>Workout 3</t>
  </si>
  <si>
    <t>Short term borrowings</t>
  </si>
  <si>
    <t>Long term debt</t>
  </si>
  <si>
    <t>Debt financing</t>
  </si>
  <si>
    <t>Workout 4</t>
  </si>
  <si>
    <t>Workout 5</t>
  </si>
  <si>
    <t>Workout 6</t>
  </si>
  <si>
    <t>Workout 7</t>
  </si>
  <si>
    <t>Workout 8</t>
  </si>
  <si>
    <t>Workout 9</t>
  </si>
  <si>
    <t>Workout 10</t>
  </si>
  <si>
    <t>Merger Analysis</t>
  </si>
  <si>
    <t>Offer premium</t>
  </si>
  <si>
    <t>Weighted average shares outstanding</t>
  </si>
  <si>
    <t>Restricted stock units outstanding</t>
  </si>
  <si>
    <t>Offer price</t>
  </si>
  <si>
    <t>Dilution from restricted stock units</t>
  </si>
  <si>
    <t>Options outstanding are detailed below.</t>
  </si>
  <si>
    <t>Number of options (mm)</t>
  </si>
  <si>
    <t>Basic shares outstanding (mm)</t>
  </si>
  <si>
    <t>Diluted shares outstanding (mm)</t>
  </si>
  <si>
    <t>Acquisition equity value (from previous question)</t>
  </si>
  <si>
    <t>Obligations under capital leases - short term</t>
  </si>
  <si>
    <t>Obligations under capital leases - long term</t>
  </si>
  <si>
    <t>Restricted stock units at latest balance sheet date</t>
  </si>
  <si>
    <t>Basis shares outstanding</t>
  </si>
  <si>
    <t>Marketable securities</t>
  </si>
  <si>
    <t xml:space="preserve">Cash and cash equivalents </t>
  </si>
  <si>
    <t>Enterprise value</t>
  </si>
  <si>
    <t>was also refinanced in the transaction.</t>
  </si>
  <si>
    <t>Transaction fees</t>
  </si>
  <si>
    <t>Equity issuance fees</t>
  </si>
  <si>
    <t>Equity fees</t>
  </si>
  <si>
    <t>Share premium</t>
  </si>
  <si>
    <t>Most recent balance sheet, in thousands</t>
  </si>
  <si>
    <t>Restricted stock units, in thousands</t>
  </si>
  <si>
    <t>Current portion of long term debt</t>
  </si>
  <si>
    <t>Advisory fees (as % of acquisition EV)</t>
  </si>
  <si>
    <t>Equity financing (%)</t>
  </si>
  <si>
    <t>Equity issuance fees (% of equity issued)</t>
  </si>
  <si>
    <t>Equity issuance</t>
  </si>
  <si>
    <t>Debt issuance</t>
  </si>
  <si>
    <t>Workout 11</t>
  </si>
  <si>
    <t>Using information below provide the proforma financials for the combo.</t>
  </si>
  <si>
    <t>Sales</t>
  </si>
  <si>
    <t>EBITDA</t>
  </si>
  <si>
    <t>EBIT</t>
  </si>
  <si>
    <t>Adjustments</t>
  </si>
  <si>
    <t>Combo</t>
  </si>
  <si>
    <t>Net income</t>
  </si>
  <si>
    <t>Workout 12</t>
  </si>
  <si>
    <t>Acquisition price</t>
  </si>
  <si>
    <t>SG&amp;A synergies</t>
  </si>
  <si>
    <t>Tax rate</t>
  </si>
  <si>
    <t>Interest rate on acquisition debt</t>
  </si>
  <si>
    <t>Expected S&amp;GA synergies are 100.0 each year, and applicable tax rate is 30.0%, and interest on new debt is 6.0%.</t>
  </si>
  <si>
    <t>Workout 13</t>
  </si>
  <si>
    <t>Workout 14</t>
  </si>
  <si>
    <t>Acquisition premium</t>
  </si>
  <si>
    <t>NA</t>
  </si>
  <si>
    <t>New shares issued</t>
  </si>
  <si>
    <t>Using the assumptions below calculate the exchange ratio and the number of new shares to be issued in the transaction.</t>
  </si>
  <si>
    <t>Exchange ratio</t>
  </si>
  <si>
    <t>Workout 15</t>
  </si>
  <si>
    <t>% equity financing</t>
  </si>
  <si>
    <t>% debt financing</t>
  </si>
  <si>
    <t>Marginal tax rate</t>
  </si>
  <si>
    <t>Effective tax rate</t>
  </si>
  <si>
    <t>Interest on acquisition debt</t>
  </si>
  <si>
    <t>EPS</t>
  </si>
  <si>
    <t>Combo net income - no adjustments</t>
  </si>
  <si>
    <t>+ Post tax synergies</t>
  </si>
  <si>
    <t>Proforma net income</t>
  </si>
  <si>
    <t>Acquirer shares outstanding</t>
  </si>
  <si>
    <t>New shares issued in transaction</t>
  </si>
  <si>
    <t>Proforma shares outstanding</t>
  </si>
  <si>
    <t>Proforma EPS</t>
  </si>
  <si>
    <t>EPS accretion / dilution</t>
  </si>
  <si>
    <t xml:space="preserve"> - Post tax interest on debt</t>
  </si>
  <si>
    <t>Workout 16</t>
  </si>
  <si>
    <t>Workout 17</t>
  </si>
  <si>
    <t>Workout 18</t>
  </si>
  <si>
    <t>a) 100% equity</t>
  </si>
  <si>
    <t>b) 100% debt</t>
  </si>
  <si>
    <t>Assume no synergies.</t>
  </si>
  <si>
    <t>Debt P/E</t>
  </si>
  <si>
    <t>Acquirer P/E</t>
  </si>
  <si>
    <t>Acquisition P/E</t>
  </si>
  <si>
    <t>How would your answer to previous workout change if acquirer's share price went up to 40.0.</t>
  </si>
  <si>
    <t>b) The answer will not change because cost of debt and acquisition P/E do not change.</t>
  </si>
  <si>
    <t>a) Using 100% equity financing the transaction will be accretive because acquisition P/E is lower than acquirer P/E.</t>
  </si>
  <si>
    <t>a) Using 100% equity financing the transaction will be dilutive because acquisition P/E is higher than acquirer P/E.</t>
  </si>
  <si>
    <t>b) Using 100% debt financing the transaction will be accretive because acquisition P/E is lower than debt P/E.</t>
  </si>
  <si>
    <t>Workout 19</t>
  </si>
  <si>
    <t>Purchase price</t>
  </si>
  <si>
    <t>Acquirer EPS</t>
  </si>
  <si>
    <t>EPS shortfall</t>
  </si>
  <si>
    <t>Net income shortfall</t>
  </si>
  <si>
    <t>Workout 20</t>
  </si>
  <si>
    <t>Pre tax synergies to achieve EPS neutrality (via fast formula)</t>
  </si>
  <si>
    <t>Pre tax synergies to achieve EPS neutrality</t>
  </si>
  <si>
    <t>ROIC</t>
  </si>
  <si>
    <t>Operating expenses</t>
  </si>
  <si>
    <t>Depreciation and amortization</t>
  </si>
  <si>
    <t>Using the assumptions below, calculate the combo net debt / EBITDA ratio.</t>
  </si>
  <si>
    <t>Pre tax SG&amp;A synergies</t>
  </si>
  <si>
    <t>Debt</t>
  </si>
  <si>
    <t>Cash</t>
  </si>
  <si>
    <t>Workout 21</t>
  </si>
  <si>
    <t>Workout 22</t>
  </si>
  <si>
    <t>Combo EBITDA</t>
  </si>
  <si>
    <t>Maximum debt / EBITDA ratio</t>
  </si>
  <si>
    <t xml:space="preserve">Maximum additional debt financing </t>
  </si>
  <si>
    <t xml:space="preserve">Cool Toys is looking into acquiring Trendy Toys. </t>
  </si>
  <si>
    <t>Cool Toys forecast year 1 EBITDA</t>
  </si>
  <si>
    <t>Trendy Toys forecast year 1 EBITDA</t>
  </si>
  <si>
    <t>Forecast synergies</t>
  </si>
  <si>
    <t>Trendy Toys share price</t>
  </si>
  <si>
    <t>Premium on top of acquisition price</t>
  </si>
  <si>
    <t>Assume there are no debt repayments scheduled neither for Cool Toys nor for Trendy Toys.</t>
  </si>
  <si>
    <t>Most recent balance sheet of Cool Toys, all figures are in thousands.</t>
  </si>
  <si>
    <t>Most recent balance sheet of Trendy Toys, all figures are in thousands.</t>
  </si>
  <si>
    <t>Combo proforma EBITDA</t>
  </si>
  <si>
    <t>Maximum debt / EBITDA multiple</t>
  </si>
  <si>
    <t>Maximum debt</t>
  </si>
  <si>
    <t>Cool Toys current portion of long term debt</t>
  </si>
  <si>
    <t>Cool Toys long term debt</t>
  </si>
  <si>
    <t>Trendy Toys short term debt</t>
  </si>
  <si>
    <t>Trendy Toys long term debt</t>
  </si>
  <si>
    <t>If Cool Toys uses debt and equity consideration only, what is the percentage of cash consideration it can offer to Trendy Toys.</t>
  </si>
  <si>
    <t>Trendy Toys debt is not refinanced in the transaction</t>
  </si>
  <si>
    <t>Maximum % cash consideration</t>
  </si>
  <si>
    <t>Workout 23</t>
  </si>
  <si>
    <t>Rex acquired Ruby in an all stock deal.</t>
  </si>
  <si>
    <t>Rex</t>
  </si>
  <si>
    <t>Ruby</t>
  </si>
  <si>
    <t>Share price</t>
  </si>
  <si>
    <t>Shares outstanding</t>
  </si>
  <si>
    <t>Market capitalization</t>
  </si>
  <si>
    <t>New shares issued in acquisition</t>
  </si>
  <si>
    <t>Total shares outstanding</t>
  </si>
  <si>
    <t>No shares</t>
  </si>
  <si>
    <t>Ownership</t>
  </si>
  <si>
    <t>Exchange ratio (new for old)</t>
  </si>
  <si>
    <t>Workout 24</t>
  </si>
  <si>
    <t>Penguin</t>
  </si>
  <si>
    <t>Flamingo</t>
  </si>
  <si>
    <t>Calculate Penguin's proforma ownership and the exchange ratio offered and cash per share to Flamingo's shareholders using assumptions below.</t>
  </si>
  <si>
    <t>Acquirer's cash used</t>
  </si>
  <si>
    <t>Flamingo's debt to be refinanced</t>
  </si>
  <si>
    <t>Yes</t>
  </si>
  <si>
    <t xml:space="preserve">Acquirer's cash used </t>
  </si>
  <si>
    <t>Equity financing raised</t>
  </si>
  <si>
    <t>Proforma shares</t>
  </si>
  <si>
    <t xml:space="preserve">Cash per share </t>
  </si>
  <si>
    <t>Workout 25</t>
  </si>
  <si>
    <t>Penguin acquired Flamingo in a part cash part stock deal.</t>
  </si>
  <si>
    <t>Calculate value created / (destroyed) using the assumptions below.</t>
  </si>
  <si>
    <t>Number of shares outstanding</t>
  </si>
  <si>
    <t>Risk premium</t>
  </si>
  <si>
    <t>No midyear adjustment required</t>
  </si>
  <si>
    <t>Discount rate</t>
  </si>
  <si>
    <t>Pre tax synergies</t>
  </si>
  <si>
    <t>Post tax synergies</t>
  </si>
  <si>
    <t>Terminal value</t>
  </si>
  <si>
    <t>Sum of present values of cash flows</t>
  </si>
  <si>
    <t>Present value of terminal value</t>
  </si>
  <si>
    <t>Value of synergies</t>
  </si>
  <si>
    <t>Value created / (destroyed)</t>
  </si>
  <si>
    <t>Printer acquired Fax for 2,000.0.</t>
  </si>
  <si>
    <t>Workout 26</t>
  </si>
  <si>
    <t>Calculate the return on beginning invested capital one year post deal.</t>
  </si>
  <si>
    <t xml:space="preserve">Synergies </t>
  </si>
  <si>
    <t>Synergies post tax</t>
  </si>
  <si>
    <t>NOPAT adjusted for synergies</t>
  </si>
  <si>
    <t>Acquisition equity value</t>
  </si>
  <si>
    <t>Workout 27</t>
  </si>
  <si>
    <t>Create a proforma balance sheet for Cats and Dogs using financials below.</t>
  </si>
  <si>
    <t>Cats</t>
  </si>
  <si>
    <t>Dogs</t>
  </si>
  <si>
    <t>Proforma</t>
  </si>
  <si>
    <t xml:space="preserve">Cash </t>
  </si>
  <si>
    <t>Accounts receivable</t>
  </si>
  <si>
    <t>Inventories</t>
  </si>
  <si>
    <t>PP&amp;E</t>
  </si>
  <si>
    <t>Total assets</t>
  </si>
  <si>
    <t>Goodwill</t>
  </si>
  <si>
    <t>Total liabilities</t>
  </si>
  <si>
    <t>Shareholders equity</t>
  </si>
  <si>
    <t>Total liabilities and shareholder's equity</t>
  </si>
  <si>
    <t>Cats Inc. acquired the equity of Dogs for 10,000.0 using 50% debt and 50% equity.</t>
  </si>
  <si>
    <t>Equity financing issued</t>
  </si>
  <si>
    <t>Debt financing issued</t>
  </si>
  <si>
    <t>Target's net assets</t>
  </si>
  <si>
    <t xml:space="preserve"> - Existing target goodwill</t>
  </si>
  <si>
    <t>Target's identifiable net assets</t>
  </si>
  <si>
    <t>Total current assets</t>
  </si>
  <si>
    <t>Total short term liabilities</t>
  </si>
  <si>
    <t>Workout 28</t>
  </si>
  <si>
    <t>Proforma equity</t>
  </si>
  <si>
    <t>Workout 29</t>
  </si>
  <si>
    <t>Proforma debt</t>
  </si>
  <si>
    <t>Workout 30</t>
  </si>
  <si>
    <t>% Premium</t>
  </si>
  <si>
    <t>Shares out.</t>
  </si>
  <si>
    <t>Mkt. cap.</t>
  </si>
  <si>
    <t>EV</t>
  </si>
  <si>
    <t>LTM EBITDA</t>
  </si>
  <si>
    <t>Saturn is acquiring Mercury in an M&amp;A transaction.</t>
  </si>
  <si>
    <t>Perform Analysis at Various Prices for the transaction using the table below.</t>
  </si>
  <si>
    <t>LTM</t>
  </si>
  <si>
    <t>EV/</t>
  </si>
  <si>
    <t>Tab 1</t>
  </si>
  <si>
    <t>Tab 2</t>
  </si>
  <si>
    <t>Cash M&amp;A deal</t>
  </si>
  <si>
    <t>Tab 3</t>
  </si>
  <si>
    <t>Stock M&amp;A deal</t>
  </si>
  <si>
    <t>M&amp;A analysis</t>
  </si>
  <si>
    <t xml:space="preserve">Assume there is no adjustment required for pension plan assets and liabilities. </t>
  </si>
  <si>
    <t>Provisions, other assets and other liabilities are operating.</t>
  </si>
  <si>
    <t>Construct the sources and uses of funds table.</t>
  </si>
  <si>
    <t>The acquirer will still use a maximum of 1,000.0 of its existing cash balance.</t>
  </si>
  <si>
    <t>Expected S&amp;GA synergies are 100.0 each year, and applicable tax rate is 30.0%</t>
  </si>
  <si>
    <t>EPS accretion / (dilution)</t>
  </si>
  <si>
    <t>Determine if the transaction would be accretive / (dilutive) using:</t>
  </si>
  <si>
    <t>Recalculate your answer to the previous question assuming that acquirer wants to use 1,000.0 in cash from its balance sheet to finance the acquisition.</t>
  </si>
  <si>
    <t>Options outstanding, in thousands</t>
  </si>
  <si>
    <t>Calculate accretion / (dilution) for the transaction and pre tax synergies that the combo has to achieve in order to achieve EPS accretion / (dilution) neutrality.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</si>
  <si>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</si>
  <si>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</si>
  <si>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</si>
  <si>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</si>
  <si>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</si>
  <si>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</si>
  <si>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</si>
  <si>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</si>
  <si>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Total debt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</si>
  <si>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</si>
  <si>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</si>
  <si>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</si>
  <si>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</si>
  <si>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</si>
  <si>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</si>
  <si>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</si>
  <si>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</si>
  <si>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</si>
  <si>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</si>
  <si>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</si>
  <si>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</si>
  <si>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</si>
  <si>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</si>
  <si>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</si>
  <si>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</si>
  <si>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</si>
  <si>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</si>
  <si>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</si>
  <si>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</si>
  <si>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</si>
  <si>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</si>
  <si>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</si>
  <si>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</si>
  <si>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</si>
  <si>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</si>
  <si>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</si>
  <si>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- interest on acquisition debt post tax</t>
  </si>
  <si>
    <t>Synergies vs premium analysis</t>
  </si>
  <si>
    <t>Premium paid</t>
  </si>
  <si>
    <t>Wacc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</si>
  <si>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</si>
  <si>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</si>
  <si>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</si>
  <si>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</si>
  <si>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</si>
  <si>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</si>
  <si>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</si>
  <si>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Existing debt</t>
  </si>
  <si>
    <t>Target LTM EBITDA</t>
  </si>
  <si>
    <t>Acquisition EV / EBITDA</t>
  </si>
  <si>
    <t>Deal debt financing</t>
  </si>
  <si>
    <t>Fee financing (debt)</t>
  </si>
  <si>
    <t>Deal equity financing</t>
  </si>
  <si>
    <t>Acquirer LTM EBITDA</t>
  </si>
  <si>
    <t xml:space="preserve"> Total pre-deal debt</t>
  </si>
  <si>
    <t>Pro-forma total debt</t>
  </si>
  <si>
    <t>Pro-forma total debt / LTM EBITDA multiple</t>
  </si>
  <si>
    <t>&lt; for BBB+ credit rating</t>
  </si>
  <si>
    <t>Revenues</t>
  </si>
  <si>
    <t>Side by side analysis</t>
  </si>
  <si>
    <t>Revenue growth</t>
  </si>
  <si>
    <t>EBITDA margin</t>
  </si>
  <si>
    <t>EPS growth</t>
  </si>
  <si>
    <t>Cash per share</t>
  </si>
  <si>
    <t>M&amp;A Stock Deal</t>
  </si>
  <si>
    <t>Year 1 EBITDA</t>
  </si>
  <si>
    <t>Enterprise Value</t>
  </si>
  <si>
    <t>EV / Year 1 EBITDA</t>
  </si>
  <si>
    <t>% ownership</t>
  </si>
  <si>
    <t>Implied EV</t>
  </si>
  <si>
    <t xml:space="preserve"> Implied market cap.</t>
  </si>
  <si>
    <t xml:space="preserve"> Implied share price</t>
  </si>
  <si>
    <t>Buyer</t>
  </si>
  <si>
    <t>Current share prices</t>
  </si>
  <si>
    <t>Valuation using buyer's EV / Year 1 EBITDA multiple</t>
  </si>
  <si>
    <t>Valuation using target's EV / Year 1 EBITDA multiple</t>
  </si>
  <si>
    <t>Implied market cap</t>
  </si>
  <si>
    <t>Share price exchange ratio</t>
  </si>
  <si>
    <t>% contribution</t>
  </si>
  <si>
    <t>Exchange ratio (new shares issued / old target shares)</t>
  </si>
  <si>
    <t>Contribution analysis</t>
  </si>
  <si>
    <t>Income statement data</t>
  </si>
  <si>
    <t>Transaction data</t>
  </si>
  <si>
    <t>M&amp;A Stock Deal - Side by Side Analysis and Contribution Analysis</t>
  </si>
  <si>
    <t>- Interest on acquisition debt post tax</t>
  </si>
  <si>
    <t>Workout 31</t>
  </si>
  <si>
    <t>AVP Analysis</t>
  </si>
  <si>
    <t>Side by Side and Contribution Analysis</t>
  </si>
  <si>
    <t>Tab 4</t>
  </si>
  <si>
    <t>Tab 5</t>
  </si>
  <si>
    <t>Side by side and Contribution</t>
  </si>
  <si>
    <t>Calculate equity purchase price for Frogner using the following assumptions</t>
  </si>
  <si>
    <t>Calculate equity purchase price for Holmenkollen Pharma using information below.</t>
  </si>
  <si>
    <t>The equity of Nordstrand Plc. was acquired for 2,000.0</t>
  </si>
  <si>
    <t>Assume that Nordstrand net debt was not refinanced, there was no advisory fees, and no cash was used in the acquisition.</t>
  </si>
  <si>
    <t>Restate your answer to the previous workout assuming that Nordstrand's net debt of 1,200.0</t>
  </si>
  <si>
    <t>Calculate the total amount of debt financing required to complete the acquisition of Oslo Fjord Plc using assumptions below.</t>
  </si>
  <si>
    <t>Trysil Plc.</t>
  </si>
  <si>
    <t>Hemsedal Co.</t>
  </si>
  <si>
    <t>Trysil Plc has acquired Hemsedal Co for 1,500.0.  The acquisition is 100% financed with equity.</t>
  </si>
  <si>
    <t>Trysil Plc has acquired Hemsedal Co for 1,500.0.  The acquisition is 100% financed with debt.</t>
  </si>
  <si>
    <t>Trysil Plc has acquired Hemsedal Co for 1,500.0.  The acquisition is 50% financed with debt.</t>
  </si>
  <si>
    <t>Assume average strike price for any outstanding options is 0.756</t>
  </si>
  <si>
    <t>Using your answer to the previous question and the most recent balance sheet below, calculate acquisition enterprise value for Holmenkollen Pharma.</t>
  </si>
  <si>
    <t>Workout 32</t>
  </si>
  <si>
    <t>Workout 33</t>
  </si>
  <si>
    <t>Workout 34</t>
  </si>
  <si>
    <t>Your assumptions for the Oslo Fjord acquisition have changed.</t>
  </si>
  <si>
    <t>Equity issuance fees will go up to 250.0.</t>
  </si>
  <si>
    <t>State the needed information to fill out the sources and uses of funds table for Halden Company, using information below.</t>
  </si>
  <si>
    <t>Assume net debt of Halden Company will be refinanced, and no cash will be used from the acquirer's balance sheet.</t>
  </si>
  <si>
    <t>Gardermoen</t>
  </si>
  <si>
    <t>Fornebu</t>
  </si>
  <si>
    <t>Calculate EPS accretion /(dilution) for the transaction.</t>
  </si>
  <si>
    <t>Using your calculations from the previous workout calculate relative acquirer P/E, acquisition P/E and debt P/E.</t>
  </si>
  <si>
    <t>Oslo</t>
  </si>
  <si>
    <t>Bergen</t>
  </si>
  <si>
    <t>Jarlsberg</t>
  </si>
  <si>
    <t>Kavli</t>
  </si>
  <si>
    <t>A-Ha</t>
  </si>
  <si>
    <t>Teigen</t>
  </si>
  <si>
    <t>Assume A-Ha did not use any cash in transaction, and net debt of the target was refinanced.</t>
  </si>
  <si>
    <t>Would your answer to previous workout change if Teigen's net debt was not refinanced ?</t>
  </si>
  <si>
    <t>No - the answer would not change as the net debt of the target would still be consolidated in the pro-forma accounts.</t>
  </si>
  <si>
    <t>Bjorn</t>
  </si>
  <si>
    <t>Vegard</t>
  </si>
  <si>
    <t xml:space="preserve">Bjorn wants to keep its current credit rating post deal. </t>
  </si>
  <si>
    <t>Current Bjorn's debt</t>
  </si>
  <si>
    <t>Current Vegard's debt</t>
  </si>
  <si>
    <t>Cool Toys short term debt</t>
  </si>
  <si>
    <t>Additional debt to be raised in the transaction</t>
  </si>
  <si>
    <t>Calculate Rex's proforma ownership and the exchange ratio offered to Ruby's shareholders using assumptions below.</t>
  </si>
  <si>
    <t>The forecast synergies are 50.0, 100.0, and 200.0 in the first three years of the transaction respectively.</t>
  </si>
  <si>
    <t>The synergies are expected to stay flat after year 3.</t>
  </si>
  <si>
    <t>Jupiter's balance sheet equity</t>
  </si>
  <si>
    <t>Mars' balance sheet equity</t>
  </si>
  <si>
    <t>Jupiter acquired the equity of Mars for 300.</t>
  </si>
  <si>
    <t>Calculate proforma equity balance for the combined entity using the assumptions below.</t>
  </si>
  <si>
    <t>Calculate proforma debt balance for the combined entity using assumptions below.</t>
  </si>
  <si>
    <t>Jupiter's balance sheet debt</t>
  </si>
  <si>
    <t>Marses balance sheet debt, not to be refinanced</t>
  </si>
  <si>
    <t>Calculate acquisition enterprise value for Olaf Inc., using the information below.</t>
  </si>
  <si>
    <t>Expected S&amp;GA synergies are 100.0 each year, applicable tax rate is 30.0%, and interest on new debt is 6.0%.</t>
  </si>
  <si>
    <t>Gardermoen has acquired 100% of Fornebu financed with equity only.</t>
  </si>
  <si>
    <t>Gardermoen has acquired 100% of Fornebu financed with debt only.</t>
  </si>
  <si>
    <t>Oslo acquired 100% of Bergen financed with 50% debt and 50% equity.</t>
  </si>
  <si>
    <t>Gardermoen has acquired 100% of Fornebu financed with 50% debt and 50% equity.</t>
  </si>
  <si>
    <t>Jarlsberg acquired 100% of Kavli financed with 70% equity and the rest with debt.</t>
  </si>
  <si>
    <t>A-Ha acquired 100% of Teigen through debt financing only.</t>
  </si>
  <si>
    <t>Bjorn acquired 100% of Vegard through debt financing only.</t>
  </si>
  <si>
    <t>Calculate the maximum debt capacity for the combo, and additional debt Bjorn can issue in the transaction, if the leverage limit for Bjorn's current credit rating is 3.0x debt / EBITDA</t>
  </si>
  <si>
    <t>Cool Toys is currently rated BBB and is not willing to lose its current credit rating.</t>
  </si>
  <si>
    <t>The upper limit for a BBB rating in the toys and packaged goods industry  is 3.0x debt / EBITDA.</t>
  </si>
  <si>
    <t>Using the information below calculate the maximum amount of debt Cool Toys can raise in the transaction.</t>
  </si>
  <si>
    <t>Acquisition share price</t>
  </si>
  <si>
    <t>Debt financing raised</t>
  </si>
  <si>
    <t>End</t>
  </si>
  <si>
    <t>Acquisition assumptions and valuation</t>
  </si>
  <si>
    <t>Proforma debt capacity</t>
  </si>
  <si>
    <t xml:space="preserve">Current share price </t>
  </si>
  <si>
    <t>Accounts payable</t>
  </si>
  <si>
    <t>Maximum combo debt /EBITDA</t>
  </si>
  <si>
    <t xml:space="preserve"> - interest on acquisition debt post tax</t>
  </si>
  <si>
    <t>WACC</t>
  </si>
  <si>
    <t>Debt issued in the transaction to buy target equity</t>
  </si>
  <si>
    <t>Combo net debt</t>
  </si>
  <si>
    <t>Combo net debt / EBITDA</t>
  </si>
  <si>
    <t>Percentage of equity price financed with equity</t>
  </si>
  <si>
    <t>Cost of acquisition debt and existing debt</t>
  </si>
  <si>
    <t>The acquirer used 30.0% equity financing to complete the acquisition.</t>
  </si>
  <si>
    <t>Now you believe the acquisition of the company will be 100.0% equity financed, and target net debt will not be refinanced.</t>
  </si>
  <si>
    <t>Advisory fees stay the same at 20.0. There will be no debt issuance fees.</t>
  </si>
  <si>
    <t>Fully diluted acquisition equity value</t>
  </si>
  <si>
    <t>Total existing debt</t>
  </si>
  <si>
    <t>Printer acquired Fax for a premium of 2,000.0.</t>
  </si>
  <si>
    <t>Fax's share price</t>
  </si>
  <si>
    <t>Fax's existing net debt</t>
  </si>
  <si>
    <t>Fax's WACC</t>
  </si>
  <si>
    <t>Fax's EBIT, year 1</t>
  </si>
  <si>
    <t>Fax's EBIT</t>
  </si>
  <si>
    <t>Fax's NOPAT</t>
  </si>
  <si>
    <t>Basic shares outstanding - class A (millions)</t>
  </si>
  <si>
    <t>Basic shares outstanding - class B (millions)</t>
  </si>
  <si>
    <t>Latest balance sheet (millions)</t>
  </si>
  <si>
    <t>Restate your answer to the previous workout assuming that total fees were 40.0.</t>
  </si>
  <si>
    <t>Cash from acquirer's balance sheet</t>
  </si>
  <si>
    <t>Cash used from acquirer's balance sheet</t>
  </si>
  <si>
    <t>Discount factor</t>
  </si>
  <si>
    <t>PV of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</si>
</sst>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  <numFmt numFmtId="176" formatCode="#,##0.00_);\(#,##0.00\);0.00_);@_)"/>
    <numFmt numFmtId="177" formatCode="#,##0.000_);\(#,##0.000\);0.000_);@_)"/>
    <numFmt numFmtId="178" formatCode="&quot;Year &quot;0"/>
    <numFmt numFmtId="179" formatCode="0.0%_);\(0.0%\);0.0%_);@_)"/>
    <numFmt numFmtId="180" formatCode="#,##0.0\x_);\(#,##0.0\x\)"/>
    <numFmt numFmtId="181" formatCode="#,##0.0_);\(#,##0.0\)"/>
    <numFmt numFmtId="182" formatCode="#,##0.0_)_%;\(#,##0.0\)_%;#,##0.0_)_%;@_)_%"/>
  </numFmts>
  <fonts count="3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9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82" fontId="35" fillId="0" borderId="0" applyFill="0" applyBorder="0" applyAlignment="0" applyProtection="0"/>
    <xf numFmtId="181" fontId="3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12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4" fontId="5" fillId="0" borderId="0" xfId="50" applyNumberFormat="1" applyFill="1">
      <alignment horizontal="left" vertical="center"/>
    </xf>
    <xf numFmtId="172" fontId="0" fillId="0" borderId="0" xfId="57" applyFont="1" applyFill="1"/>
    <xf numFmtId="174" fontId="31" fillId="0" borderId="0" xfId="58" applyNumberFormat="1" applyFill="1"/>
    <xf numFmtId="172" fontId="31" fillId="0" borderId="0" xfId="58" applyNumberFormat="1" applyFill="1"/>
    <xf numFmtId="175" fontId="0" fillId="0" borderId="0" xfId="0" applyNumberFormat="1"/>
    <xf numFmtId="171" fontId="0" fillId="0" borderId="0" xfId="56" applyFont="1"/>
    <xf numFmtId="171" fontId="31" fillId="0" borderId="0" xfId="56" applyFont="1" applyFill="1"/>
    <xf numFmtId="176" fontId="31" fillId="0" borderId="0" xfId="58" applyNumberFormat="1" applyFill="1"/>
    <xf numFmtId="176" fontId="0" fillId="0" borderId="0" xfId="0" applyNumberFormat="1"/>
    <xf numFmtId="177" fontId="31" fillId="0" borderId="0" xfId="58" applyNumberFormat="1" applyFill="1"/>
    <xf numFmtId="172" fontId="31" fillId="0" borderId="0" xfId="57" applyFont="1" applyFill="1"/>
    <xf numFmtId="170" fontId="31" fillId="0" borderId="0" xfId="58" applyFill="1" applyAlignment="1">
      <alignment vertical="top"/>
    </xf>
    <xf numFmtId="170" fontId="3" fillId="5" borderId="0" xfId="51" applyNumberFormat="1" applyFont="1" applyAlignment="1">
      <alignment horizontal="left"/>
    </xf>
    <xf numFmtId="174" fontId="0" fillId="0" borderId="0" xfId="0" applyNumberFormat="1"/>
    <xf numFmtId="174" fontId="0" fillId="0" borderId="0" xfId="0" applyAlignment="1">
      <alignment horizontal="righ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9" fontId="0" fillId="0" borderId="0" xfId="0" applyNumberFormat="1"/>
    <xf numFmtId="171" fontId="31" fillId="0" borderId="0" xfId="58" applyNumberFormat="1" applyFill="1"/>
    <xf numFmtId="174" fontId="31" fillId="0" borderId="0" xfId="58" applyNumberFormat="1" applyFill="1" applyAlignment="1">
      <alignment horizontal="right"/>
    </xf>
    <xf numFmtId="178" fontId="32" fillId="0" borderId="0" xfId="59" applyNumberFormat="1" applyAlignment="1">
      <alignment horizontal="center"/>
    </xf>
    <xf numFmtId="174" fontId="34" fillId="0" borderId="0" xfId="0" applyFont="1"/>
    <xf numFmtId="179" fontId="0" fillId="0" borderId="0" xfId="0" applyNumberFormat="1"/>
    <xf numFmtId="180" fontId="0" fillId="0" borderId="0" xfId="0" applyNumberFormat="1"/>
    <xf numFmtId="179" fontId="31" fillId="0" borderId="0" xfId="58" applyNumberFormat="1" applyFill="1"/>
    <xf numFmtId="174" fontId="32" fillId="0" borderId="0" xfId="59" applyNumberFormat="1" applyAlignment="1">
      <alignment horizontal="center" wrapText="1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81" fontId="31" fillId="0" borderId="0" xfId="66"/>
    <xf numFmtId="171" fontId="31" fillId="37" borderId="12" xfId="56" applyFont="1" applyFill="1" applyBorder="1" applyProtection="1">
      <protection locked="0"/>
    </xf>
    <xf numFmtId="181" fontId="31" fillId="0" borderId="0" xfId="66" applyAlignment="1">
      <alignment horizontal="right"/>
    </xf>
    <xf numFmtId="39" fontId="31" fillId="0" borderId="0" xfId="66" applyNumberFormat="1"/>
    <xf numFmtId="172" fontId="0" fillId="0" borderId="0" xfId="67" applyFont="1"/>
    <xf numFmtId="177" fontId="0" fillId="0" borderId="0" xfId="0" applyNumberFormat="1"/>
    <xf numFmtId="171" fontId="0" fillId="0" borderId="0" xfId="68" applyFont="1"/>
    <xf numFmtId="174" fontId="32" fillId="0" borderId="0" xfId="59" applyNumberFormat="1" applyFill="1" applyAlignment="1">
      <alignment horizontal="center"/>
    </xf>
    <xf numFmtId="170" fontId="33" fillId="2" borderId="0" xfId="48" applyNumberFormat="1" applyFill="1" applyAlignment="1">
      <alignment horizontal="center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Multiple 2" xfId="68" xr:uid="{DE271732-D91C-479F-9D21-F2FD7E9E8624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30</xdr:row>
      <xdr:rowOff>185166</xdr:rowOff>
    </xdr:from>
    <xdr:to>
      <xdr:col>5</xdr:col>
      <xdr:colOff>304800</xdr:colOff>
      <xdr:row>42</xdr:row>
      <xdr:rowOff>25718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6281166"/>
          <a:ext cx="5715001" cy="212940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19050</xdr:colOff>
      <xdr:row>56</xdr:row>
      <xdr:rowOff>95250</xdr:rowOff>
    </xdr:from>
    <xdr:to>
      <xdr:col>7</xdr:col>
      <xdr:colOff>326709</xdr:colOff>
      <xdr:row>82</xdr:row>
      <xdr:rowOff>116925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14"/>
        <a:stretch/>
      </xdr:blipFill>
      <xdr:spPr>
        <a:xfrm>
          <a:off x="114300" y="11334750"/>
          <a:ext cx="7277100" cy="497467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0</xdr:col>
      <xdr:colOff>95249</xdr:colOff>
      <xdr:row>100</xdr:row>
      <xdr:rowOff>0</xdr:rowOff>
    </xdr:from>
    <xdr:to>
      <xdr:col>3</xdr:col>
      <xdr:colOff>101917</xdr:colOff>
      <xdr:row>105</xdr:row>
      <xdr:rowOff>76071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9" y="19678650"/>
          <a:ext cx="4143375" cy="10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3</xdr:col>
      <xdr:colOff>174309</xdr:colOff>
      <xdr:row>114</xdr:row>
      <xdr:rowOff>114119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21012150"/>
          <a:ext cx="4210050" cy="144761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0</xdr:col>
      <xdr:colOff>95249</xdr:colOff>
      <xdr:row>116</xdr:row>
      <xdr:rowOff>0</xdr:rowOff>
    </xdr:from>
    <xdr:to>
      <xdr:col>5</xdr:col>
      <xdr:colOff>216218</xdr:colOff>
      <xdr:row>145</xdr:row>
      <xdr:rowOff>76200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49" y="22726650"/>
          <a:ext cx="5724526" cy="5600700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0</xdr:col>
      <xdr:colOff>66676</xdr:colOff>
      <xdr:row>282</xdr:row>
      <xdr:rowOff>9525</xdr:rowOff>
    </xdr:from>
    <xdr:to>
      <xdr:col>1</xdr:col>
      <xdr:colOff>2688909</xdr:colOff>
      <xdr:row>289</xdr:row>
      <xdr:rowOff>166503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676" y="54740175"/>
          <a:ext cx="2714624" cy="149333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2</xdr:col>
      <xdr:colOff>9524</xdr:colOff>
      <xdr:row>282</xdr:row>
      <xdr:rowOff>47624</xdr:rowOff>
    </xdr:from>
    <xdr:to>
      <xdr:col>5</xdr:col>
      <xdr:colOff>469582</xdr:colOff>
      <xdr:row>288</xdr:row>
      <xdr:rowOff>154133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567" t="8381"/>
        <a:stretch/>
      </xdr:blipFill>
      <xdr:spPr>
        <a:xfrm>
          <a:off x="3409949" y="54778274"/>
          <a:ext cx="2657475" cy="124950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28574</xdr:colOff>
      <xdr:row>292</xdr:row>
      <xdr:rowOff>19050</xdr:rowOff>
    </xdr:from>
    <xdr:to>
      <xdr:col>3</xdr:col>
      <xdr:colOff>609599</xdr:colOff>
      <xdr:row>320</xdr:row>
      <xdr:rowOff>53623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907" b="891"/>
        <a:stretch/>
      </xdr:blipFill>
      <xdr:spPr>
        <a:xfrm>
          <a:off x="123824" y="56654700"/>
          <a:ext cx="4619625" cy="537142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680</xdr:row>
      <xdr:rowOff>28575</xdr:rowOff>
    </xdr:from>
    <xdr:to>
      <xdr:col>3</xdr:col>
      <xdr:colOff>647114</xdr:colOff>
      <xdr:row>700</xdr:row>
      <xdr:rowOff>11909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0" y="130959225"/>
          <a:ext cx="4685714" cy="3790476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3</xdr:col>
      <xdr:colOff>444257</xdr:colOff>
      <xdr:row>720</xdr:row>
      <xdr:rowOff>151952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35121650"/>
          <a:ext cx="4485714" cy="3580952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1992187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21" customFormat="1" ht="75" customHeight="1" x14ac:dyDescent="0.45">
      <c r="A2" s="103" t="s">
        <v>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102"/>
      <c r="D4" s="102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104" t="s">
        <v>11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s="22" customFormat="1" ht="15" customHeight="1" x14ac:dyDescent="0.4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s="22" customFormat="1" ht="15" customHeight="1" x14ac:dyDescent="0.45">
      <c r="A7" s="104" t="str">
        <f ca="1">"© "&amp;YEAR(TODAY())&amp;" Financial Edge Training Ltd."</f>
        <v>© 2021 Financial Edge Training Ltd.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105"/>
      <c r="H9" s="105"/>
      <c r="I9" s="105"/>
      <c r="J9" s="105"/>
      <c r="K9" s="27"/>
    </row>
    <row r="10" spans="1:14" s="22" customFormat="1" ht="15" customHeight="1" x14ac:dyDescent="0.45">
      <c r="B10" s="23"/>
      <c r="C10" s="23"/>
      <c r="F10" s="27"/>
      <c r="G10" s="105"/>
      <c r="H10" s="105"/>
      <c r="I10" s="105"/>
      <c r="J10" s="105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101"/>
      <c r="H12" s="101"/>
      <c r="I12" s="101"/>
      <c r="J12" s="101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101"/>
      <c r="H13" s="101"/>
      <c r="I13" s="101"/>
      <c r="J13" s="101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101"/>
      <c r="H14" s="101"/>
      <c r="I14" s="101"/>
      <c r="J14" s="101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101"/>
      <c r="H16" s="101"/>
      <c r="I16" s="101"/>
      <c r="J16" s="101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1992187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107" t="s">
        <v>0</v>
      </c>
      <c r="C4" s="107"/>
      <c r="D4" s="107"/>
      <c r="E4" s="107"/>
      <c r="F4" s="107"/>
      <c r="G4" s="107"/>
      <c r="H4" s="107"/>
      <c r="I4" s="107"/>
      <c r="K4" s="1"/>
      <c r="L4" s="107" t="s">
        <v>2</v>
      </c>
      <c r="M4" s="107"/>
      <c r="N4" s="107"/>
      <c r="O4" s="107"/>
      <c r="P4" s="107"/>
      <c r="Q4" s="44"/>
      <c r="R4" s="44"/>
    </row>
    <row r="5" spans="1:18" s="2" customFormat="1" ht="15" customHeight="1" x14ac:dyDescent="0.45">
      <c r="A5" s="16"/>
      <c r="B5" s="7" t="s">
        <v>1</v>
      </c>
      <c r="C5" s="106" t="s">
        <v>257</v>
      </c>
      <c r="D5" s="106"/>
      <c r="E5" s="106"/>
      <c r="F5" s="106"/>
      <c r="G5" s="106"/>
      <c r="H5" s="106"/>
      <c r="I5" s="106"/>
      <c r="J5" s="106"/>
      <c r="K5" s="106"/>
      <c r="L5" s="8" t="s">
        <v>3</v>
      </c>
      <c r="M5" s="8"/>
      <c r="N5" s="109" t="s">
        <v>9</v>
      </c>
      <c r="O5" s="109"/>
      <c r="P5" s="109"/>
      <c r="Q5" s="109"/>
      <c r="R5" s="44"/>
    </row>
    <row r="6" spans="1:18" s="2" customFormat="1" ht="15" customHeight="1" x14ac:dyDescent="0.45">
      <c r="A6" s="3"/>
      <c r="B6" s="7" t="s">
        <v>1</v>
      </c>
      <c r="C6" s="106" t="s">
        <v>254</v>
      </c>
      <c r="D6" s="106"/>
      <c r="E6" s="106"/>
      <c r="F6" s="106"/>
      <c r="G6" s="106"/>
      <c r="H6" s="106"/>
      <c r="I6" s="106"/>
      <c r="J6" s="106"/>
      <c r="K6" s="106"/>
      <c r="L6" s="8" t="s">
        <v>4</v>
      </c>
      <c r="M6" s="8"/>
      <c r="N6" s="110">
        <v>42369</v>
      </c>
      <c r="O6" s="110"/>
      <c r="P6" s="110"/>
      <c r="Q6" s="110"/>
      <c r="R6" s="44"/>
    </row>
    <row r="7" spans="1:18" s="2" customFormat="1" ht="15" customHeight="1" x14ac:dyDescent="0.45">
      <c r="A7" s="17"/>
      <c r="B7" s="7" t="s">
        <v>1</v>
      </c>
      <c r="C7" s="106" t="s">
        <v>256</v>
      </c>
      <c r="D7" s="106"/>
      <c r="E7" s="106"/>
      <c r="F7" s="106"/>
      <c r="G7" s="106"/>
      <c r="H7" s="106"/>
      <c r="I7" s="106"/>
      <c r="J7" s="106"/>
      <c r="K7" s="106"/>
      <c r="L7" s="8" t="s">
        <v>5</v>
      </c>
      <c r="M7" s="8"/>
      <c r="N7" s="109"/>
      <c r="O7" s="109"/>
      <c r="P7" s="109"/>
      <c r="Q7" s="109"/>
      <c r="R7" s="44"/>
    </row>
    <row r="8" spans="1:18" s="2" customFormat="1" ht="15" customHeight="1" x14ac:dyDescent="0.45">
      <c r="A8" s="17"/>
      <c r="B8" s="7" t="s">
        <v>1</v>
      </c>
      <c r="C8" s="75" t="s">
        <v>355</v>
      </c>
      <c r="D8" s="42"/>
      <c r="E8" s="42"/>
      <c r="F8" s="17"/>
      <c r="G8" s="17"/>
      <c r="H8" s="17"/>
      <c r="I8" s="17"/>
      <c r="K8" s="17"/>
      <c r="L8" s="8" t="s">
        <v>6</v>
      </c>
      <c r="M8" s="8"/>
      <c r="N8" s="109"/>
      <c r="O8" s="109"/>
      <c r="P8" s="109"/>
      <c r="Q8" s="109"/>
      <c r="R8" s="44"/>
    </row>
    <row r="9" spans="1:18" s="2" customFormat="1" ht="15" customHeight="1" x14ac:dyDescent="0.45">
      <c r="A9" s="42"/>
      <c r="F9" s="42"/>
      <c r="G9" s="42"/>
      <c r="H9" s="42"/>
      <c r="I9" s="42"/>
      <c r="K9" s="17"/>
      <c r="L9" s="8" t="s">
        <v>7</v>
      </c>
      <c r="M9" s="8"/>
      <c r="N9" s="109" t="s">
        <v>10</v>
      </c>
      <c r="O9" s="109"/>
      <c r="P9" s="109"/>
      <c r="Q9" s="109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111">
        <v>0</v>
      </c>
      <c r="O10" s="111"/>
      <c r="P10" s="111"/>
      <c r="Q10" s="111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108" t="s">
        <v>17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N13" s="1"/>
      <c r="O13" s="107" t="s">
        <v>12</v>
      </c>
      <c r="P13" s="107"/>
      <c r="Q13" s="107"/>
      <c r="R13" s="61"/>
    </row>
    <row r="14" spans="1:18" s="2" customFormat="1" ht="15" customHeight="1" x14ac:dyDescent="0.45">
      <c r="A14" s="59"/>
      <c r="B14" s="106" t="s">
        <v>252</v>
      </c>
      <c r="C14" s="106"/>
      <c r="D14" s="106" t="s">
        <v>257</v>
      </c>
      <c r="E14" s="106"/>
      <c r="F14" s="106"/>
      <c r="G14" s="106"/>
      <c r="H14" s="106"/>
      <c r="I14" s="106"/>
      <c r="J14" s="106"/>
      <c r="K14" s="106"/>
      <c r="L14" s="106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106" t="s">
        <v>253</v>
      </c>
      <c r="C15" s="106"/>
      <c r="D15" s="106" t="s">
        <v>254</v>
      </c>
      <c r="E15" s="106"/>
      <c r="F15" s="106"/>
      <c r="G15" s="106"/>
      <c r="H15" s="106"/>
      <c r="I15" s="106"/>
      <c r="J15" s="106"/>
      <c r="K15" s="106"/>
      <c r="L15" s="106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106" t="s">
        <v>255</v>
      </c>
      <c r="C16" s="106"/>
      <c r="D16" s="106" t="s">
        <v>256</v>
      </c>
      <c r="E16" s="106"/>
      <c r="F16" s="106"/>
      <c r="G16" s="106"/>
      <c r="H16" s="106"/>
      <c r="I16" s="106"/>
      <c r="J16" s="106"/>
      <c r="K16" s="106"/>
      <c r="L16" s="106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106" t="s">
        <v>356</v>
      </c>
      <c r="C17" s="106"/>
      <c r="D17" s="106" t="s">
        <v>354</v>
      </c>
      <c r="E17" s="106"/>
      <c r="F17" s="106"/>
      <c r="G17" s="106"/>
      <c r="H17" s="106"/>
      <c r="I17" s="106"/>
      <c r="J17" s="106"/>
      <c r="K17" s="106"/>
      <c r="L17" s="106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106" t="s">
        <v>357</v>
      </c>
      <c r="C18" s="106"/>
      <c r="D18" s="106" t="s">
        <v>358</v>
      </c>
      <c r="E18" s="106"/>
      <c r="F18" s="106"/>
      <c r="G18" s="106"/>
      <c r="H18" s="106"/>
      <c r="I18" s="106"/>
      <c r="J18" s="106"/>
      <c r="K18" s="106"/>
      <c r="L18" s="106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3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C5:K5"/>
    <mergeCell ref="C6:K6"/>
    <mergeCell ref="C7:K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938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359</v>
      </c>
    </row>
    <row r="7" spans="1:10" ht="15" customHeight="1" x14ac:dyDescent="0.45">
      <c r="C7" t="s">
        <v>19</v>
      </c>
    </row>
    <row r="8" spans="1:10" ht="15" customHeight="1" x14ac:dyDescent="0.45">
      <c r="B8" s="15" t="s">
        <v>34</v>
      </c>
      <c r="C8" s="70">
        <v>34.15</v>
      </c>
      <c r="D8" s="65"/>
      <c r="E8" s="65"/>
      <c r="F8" s="65"/>
      <c r="G8" s="65"/>
    </row>
    <row r="9" spans="1:10" ht="15" customHeight="1" x14ac:dyDescent="0.45">
      <c r="A9" s="63"/>
      <c r="B9" s="15" t="s">
        <v>52</v>
      </c>
      <c r="C9" s="73">
        <v>0.25</v>
      </c>
      <c r="D9" s="69"/>
      <c r="E9" s="69"/>
      <c r="F9" s="69"/>
      <c r="G9" s="69"/>
    </row>
    <row r="10" spans="1:10" ht="15" customHeight="1" x14ac:dyDescent="0.45">
      <c r="B10" s="15" t="s">
        <v>27</v>
      </c>
      <c r="C10" s="74">
        <v>1000</v>
      </c>
    </row>
    <row r="11" spans="1:10" ht="15" customHeight="1" x14ac:dyDescent="0.45">
      <c r="B11" s="15" t="s">
        <v>53</v>
      </c>
      <c r="C11" s="74">
        <v>1050</v>
      </c>
      <c r="D11" s="65"/>
      <c r="E11" s="65"/>
      <c r="F11" s="65"/>
      <c r="G11" s="65"/>
    </row>
    <row r="12" spans="1:10" ht="15" customHeight="1" x14ac:dyDescent="0.45">
      <c r="B12" s="15" t="s">
        <v>28</v>
      </c>
      <c r="C12" s="74">
        <v>220</v>
      </c>
      <c r="D12" s="68"/>
      <c r="E12" s="68"/>
      <c r="G12" s="68"/>
    </row>
    <row r="13" spans="1:10" ht="15" customHeight="1" x14ac:dyDescent="0.45">
      <c r="B13" s="15" t="s">
        <v>29</v>
      </c>
      <c r="C13" s="70">
        <v>37.25</v>
      </c>
    </row>
    <row r="14" spans="1:10" ht="15" customHeight="1" x14ac:dyDescent="0.45">
      <c r="B14" s="15" t="s">
        <v>54</v>
      </c>
      <c r="C14" s="74">
        <v>100</v>
      </c>
      <c r="D14" s="65"/>
      <c r="E14" s="65"/>
      <c r="F14" s="65"/>
      <c r="G14" s="65"/>
    </row>
    <row r="15" spans="1:10" ht="15" customHeight="1" x14ac:dyDescent="0.45">
      <c r="D15" s="64"/>
      <c r="E15" s="64"/>
      <c r="F15" s="64"/>
      <c r="G15" s="64"/>
      <c r="I15" s="67"/>
    </row>
    <row r="16" spans="1:10" ht="15" customHeight="1" x14ac:dyDescent="0.45">
      <c r="B16" s="15" t="s">
        <v>55</v>
      </c>
      <c r="C16" s="71">
        <f>C8*(1+C9)</f>
        <v>42.6875</v>
      </c>
      <c r="I16" s="67"/>
    </row>
    <row r="17" spans="1:9" ht="15" customHeight="1" x14ac:dyDescent="0.45">
      <c r="B17" s="15" t="s">
        <v>27</v>
      </c>
      <c r="C17" s="71">
        <f>C10</f>
        <v>1000</v>
      </c>
      <c r="I17" s="67"/>
    </row>
    <row r="18" spans="1:9" ht="15" customHeight="1" x14ac:dyDescent="0.45">
      <c r="B18" s="15" t="s">
        <v>30</v>
      </c>
      <c r="C18">
        <f>(C16-C13)/C16*C12</f>
        <v>28.023426061493414</v>
      </c>
      <c r="I18" s="67"/>
    </row>
    <row r="19" spans="1:9" ht="15" customHeight="1" x14ac:dyDescent="0.45">
      <c r="B19" s="15" t="s">
        <v>56</v>
      </c>
      <c r="C19">
        <f>C14</f>
        <v>100</v>
      </c>
      <c r="I19" s="67"/>
    </row>
    <row r="20" spans="1:9" ht="15" customHeight="1" x14ac:dyDescent="0.45">
      <c r="B20" s="15" t="s">
        <v>31</v>
      </c>
      <c r="C20">
        <f>SUM(C17:C19)</f>
        <v>1128.0234260614934</v>
      </c>
      <c r="I20" s="67"/>
    </row>
    <row r="21" spans="1:9" ht="15" customHeight="1" x14ac:dyDescent="0.45">
      <c r="B21" s="15" t="s">
        <v>21</v>
      </c>
      <c r="C21">
        <f>C20*C16</f>
        <v>48152.5</v>
      </c>
      <c r="I21" s="67"/>
    </row>
    <row r="22" spans="1:9" ht="15" customHeight="1" x14ac:dyDescent="0.45">
      <c r="I22" s="67"/>
    </row>
    <row r="23" spans="1:9" ht="15" customHeight="1" x14ac:dyDescent="0.45">
      <c r="A23" s="14" t="s">
        <v>39</v>
      </c>
      <c r="I23" s="67"/>
    </row>
    <row r="24" spans="1:9" ht="15" customHeight="1" x14ac:dyDescent="0.45">
      <c r="B24" s="15" t="s">
        <v>360</v>
      </c>
      <c r="I24" s="67"/>
    </row>
    <row r="25" spans="1:9" ht="15" customHeight="1" x14ac:dyDescent="0.45">
      <c r="I25" s="67"/>
    </row>
    <row r="26" spans="1:9" ht="15" customHeight="1" x14ac:dyDescent="0.45">
      <c r="B26" s="15" t="s">
        <v>34</v>
      </c>
      <c r="C26" s="70">
        <v>5.0599999999999996</v>
      </c>
      <c r="I26" s="67"/>
    </row>
    <row r="27" spans="1:9" ht="15" customHeight="1" x14ac:dyDescent="0.45">
      <c r="B27" s="15" t="s">
        <v>52</v>
      </c>
      <c r="C27" s="73">
        <v>0.3</v>
      </c>
      <c r="I27" s="67"/>
    </row>
    <row r="28" spans="1:9" ht="15" customHeight="1" x14ac:dyDescent="0.45">
      <c r="B28" s="15" t="s">
        <v>59</v>
      </c>
      <c r="C28" s="72">
        <v>261.18017300000002</v>
      </c>
      <c r="I28" s="67"/>
    </row>
    <row r="29" spans="1:9" ht="15" customHeight="1" x14ac:dyDescent="0.45">
      <c r="B29" s="15" t="s">
        <v>370</v>
      </c>
      <c r="C29" s="72"/>
      <c r="I29" s="67"/>
    </row>
    <row r="30" spans="1:9" ht="15" customHeight="1" x14ac:dyDescent="0.45">
      <c r="C30" s="65"/>
      <c r="I30" s="67"/>
    </row>
    <row r="31" spans="1:9" ht="15" customHeight="1" x14ac:dyDescent="0.45">
      <c r="B31" s="15" t="s">
        <v>57</v>
      </c>
      <c r="I31" s="67"/>
    </row>
    <row r="32" spans="1:9" ht="15" customHeight="1" x14ac:dyDescent="0.45">
      <c r="I32" s="67"/>
    </row>
    <row r="33" spans="2:9" ht="15" customHeight="1" x14ac:dyDescent="0.45">
      <c r="I33" s="67"/>
    </row>
    <row r="34" spans="2:9" ht="15" customHeight="1" x14ac:dyDescent="0.45">
      <c r="I34" s="67"/>
    </row>
    <row r="35" spans="2:9" ht="15" customHeight="1" x14ac:dyDescent="0.45">
      <c r="I35" s="67"/>
    </row>
    <row r="36" spans="2:9" ht="15" customHeight="1" x14ac:dyDescent="0.45">
      <c r="I36" s="67"/>
    </row>
    <row r="37" spans="2:9" ht="15" customHeight="1" x14ac:dyDescent="0.45">
      <c r="I37" s="67"/>
    </row>
    <row r="38" spans="2:9" ht="15" customHeight="1" x14ac:dyDescent="0.45">
      <c r="I38" s="67"/>
    </row>
    <row r="39" spans="2:9" ht="15" customHeight="1" x14ac:dyDescent="0.45">
      <c r="I39" s="67"/>
    </row>
    <row r="40" spans="2:9" ht="15" customHeight="1" x14ac:dyDescent="0.45">
      <c r="I40" s="67"/>
    </row>
    <row r="41" spans="2:9" ht="15" customHeight="1" x14ac:dyDescent="0.45">
      <c r="I41" s="67"/>
    </row>
    <row r="42" spans="2:9" ht="15" customHeight="1" x14ac:dyDescent="0.45">
      <c r="I42" s="67"/>
    </row>
    <row r="43" spans="2:9" ht="15" customHeight="1" x14ac:dyDescent="0.45">
      <c r="I43" s="67"/>
    </row>
    <row r="44" spans="2:9" ht="15" customHeight="1" x14ac:dyDescent="0.45">
      <c r="I44" s="67"/>
    </row>
    <row r="45" spans="2:9" ht="15" customHeight="1" x14ac:dyDescent="0.45">
      <c r="B45" s="15" t="str">
        <f>B26</f>
        <v>Current share price</v>
      </c>
      <c r="C45" s="71">
        <f>C26</f>
        <v>5.0599999999999996</v>
      </c>
      <c r="I45" s="67"/>
    </row>
    <row r="46" spans="2:9" ht="15" customHeight="1" x14ac:dyDescent="0.45">
      <c r="B46" s="15" t="str">
        <f>B27</f>
        <v>Offer premium</v>
      </c>
      <c r="C46" s="64">
        <f>C27</f>
        <v>0.3</v>
      </c>
      <c r="I46" s="67"/>
    </row>
    <row r="47" spans="2:9" ht="15" customHeight="1" x14ac:dyDescent="0.45">
      <c r="B47" s="15" t="s">
        <v>55</v>
      </c>
      <c r="C47" s="71">
        <f>C45*(1+C46)</f>
        <v>6.5779999999999994</v>
      </c>
      <c r="I47" s="67"/>
    </row>
    <row r="48" spans="2:9" ht="15" customHeight="1" x14ac:dyDescent="0.45">
      <c r="B48" s="15" t="s">
        <v>58</v>
      </c>
      <c r="C48" s="72">
        <v>8.4314999999999998</v>
      </c>
      <c r="I48" s="67"/>
    </row>
    <row r="49" spans="1:9" ht="15" customHeight="1" x14ac:dyDescent="0.45">
      <c r="B49" s="15" t="s">
        <v>29</v>
      </c>
      <c r="C49" s="70">
        <v>0.75600000000000001</v>
      </c>
      <c r="I49" s="67"/>
    </row>
    <row r="50" spans="1:9" ht="15" customHeight="1" x14ac:dyDescent="0.45">
      <c r="B50" s="15" t="s">
        <v>30</v>
      </c>
      <c r="C50" s="76">
        <f>(C47-C49)/C47*C48</f>
        <v>7.4624799331103677</v>
      </c>
      <c r="I50" s="67"/>
    </row>
    <row r="51" spans="1:9" ht="15" customHeight="1" x14ac:dyDescent="0.45">
      <c r="B51" s="15" t="str">
        <f>B28</f>
        <v>Basic shares outstanding (mm)</v>
      </c>
      <c r="C51" s="76">
        <f>C28</f>
        <v>261.18017300000002</v>
      </c>
      <c r="I51" s="67"/>
    </row>
    <row r="52" spans="1:9" ht="15" customHeight="1" x14ac:dyDescent="0.45">
      <c r="B52" s="15" t="s">
        <v>60</v>
      </c>
      <c r="C52">
        <f>C51+C50</f>
        <v>268.64265293311041</v>
      </c>
      <c r="I52" s="67"/>
    </row>
    <row r="53" spans="1:9" ht="15" customHeight="1" x14ac:dyDescent="0.45">
      <c r="B53" s="15" t="s">
        <v>21</v>
      </c>
      <c r="C53">
        <f>C52*C47</f>
        <v>1767.1313709940002</v>
      </c>
      <c r="I53" s="67"/>
    </row>
    <row r="54" spans="1:9" ht="15" customHeight="1" x14ac:dyDescent="0.45">
      <c r="I54" s="67"/>
    </row>
    <row r="55" spans="1:9" ht="15" customHeight="1" x14ac:dyDescent="0.45">
      <c r="A55" s="14" t="s">
        <v>40</v>
      </c>
      <c r="I55" s="67"/>
    </row>
    <row r="56" spans="1:9" ht="15" customHeight="1" x14ac:dyDescent="0.45">
      <c r="B56" s="15" t="s">
        <v>371</v>
      </c>
      <c r="I56" s="67"/>
    </row>
    <row r="57" spans="1:9" ht="15" customHeight="1" x14ac:dyDescent="0.45">
      <c r="I57" s="67"/>
    </row>
    <row r="58" spans="1:9" ht="15" customHeight="1" x14ac:dyDescent="0.45">
      <c r="I58" s="67"/>
    </row>
    <row r="59" spans="1:9" ht="15" customHeight="1" x14ac:dyDescent="0.45">
      <c r="I59" s="67"/>
    </row>
    <row r="60" spans="1:9" ht="15" customHeight="1" x14ac:dyDescent="0.45">
      <c r="I60" s="67"/>
    </row>
    <row r="61" spans="1:9" ht="15" customHeight="1" x14ac:dyDescent="0.45">
      <c r="I61" s="67"/>
    </row>
    <row r="62" spans="1:9" ht="15" customHeight="1" x14ac:dyDescent="0.45">
      <c r="I62" s="67"/>
    </row>
    <row r="63" spans="1:9" ht="15" customHeight="1" x14ac:dyDescent="0.45">
      <c r="I63" s="67"/>
    </row>
    <row r="64" spans="1:9" ht="15" customHeight="1" x14ac:dyDescent="0.45">
      <c r="I64" s="67"/>
    </row>
    <row r="65" spans="9:9" ht="15" customHeight="1" x14ac:dyDescent="0.45">
      <c r="I65" s="67"/>
    </row>
    <row r="66" spans="9:9" ht="15" customHeight="1" x14ac:dyDescent="0.45">
      <c r="I66" s="67"/>
    </row>
    <row r="67" spans="9:9" ht="15" customHeight="1" x14ac:dyDescent="0.45">
      <c r="I67" s="67"/>
    </row>
    <row r="68" spans="9:9" ht="15" customHeight="1" x14ac:dyDescent="0.45">
      <c r="I68" s="67"/>
    </row>
    <row r="69" spans="9:9" ht="15" customHeight="1" x14ac:dyDescent="0.45">
      <c r="I69" s="67"/>
    </row>
    <row r="70" spans="9:9" ht="15" customHeight="1" x14ac:dyDescent="0.45">
      <c r="I70" s="67"/>
    </row>
    <row r="71" spans="9:9" ht="15" customHeight="1" x14ac:dyDescent="0.45">
      <c r="I71" s="67"/>
    </row>
    <row r="72" spans="9:9" ht="15" customHeight="1" x14ac:dyDescent="0.45">
      <c r="I72" s="67"/>
    </row>
    <row r="73" spans="9:9" ht="15" customHeight="1" x14ac:dyDescent="0.45">
      <c r="I73" s="67"/>
    </row>
    <row r="74" spans="9:9" ht="15" customHeight="1" x14ac:dyDescent="0.45">
      <c r="I74" s="67"/>
    </row>
    <row r="75" spans="9:9" ht="15" customHeight="1" x14ac:dyDescent="0.45">
      <c r="I75" s="67"/>
    </row>
    <row r="76" spans="9:9" ht="15" customHeight="1" x14ac:dyDescent="0.45">
      <c r="I76" s="67"/>
    </row>
    <row r="77" spans="9:9" ht="15" customHeight="1" x14ac:dyDescent="0.45">
      <c r="I77" s="67"/>
    </row>
    <row r="78" spans="9:9" ht="15" customHeight="1" x14ac:dyDescent="0.45">
      <c r="I78" s="67"/>
    </row>
    <row r="79" spans="9:9" ht="15" customHeight="1" x14ac:dyDescent="0.45">
      <c r="I79" s="67"/>
    </row>
    <row r="80" spans="9:9" ht="15" customHeight="1" x14ac:dyDescent="0.45">
      <c r="I80" s="67"/>
    </row>
    <row r="81" spans="1:9" ht="15" customHeight="1" x14ac:dyDescent="0.45">
      <c r="I81" s="67"/>
    </row>
    <row r="82" spans="1:9" ht="15" customHeight="1" x14ac:dyDescent="0.45">
      <c r="I82" s="67"/>
    </row>
    <row r="83" spans="1:9" ht="15" customHeight="1" x14ac:dyDescent="0.45">
      <c r="I83" s="67"/>
    </row>
    <row r="84" spans="1:9" ht="15" customHeight="1" x14ac:dyDescent="0.45">
      <c r="B84" s="15" t="s">
        <v>61</v>
      </c>
      <c r="C84">
        <f>C53</f>
        <v>1767.1313709940002</v>
      </c>
      <c r="I84" s="67"/>
    </row>
    <row r="85" spans="1:9" ht="15" customHeight="1" x14ac:dyDescent="0.45">
      <c r="B85" s="15" t="s">
        <v>62</v>
      </c>
      <c r="C85" s="65">
        <v>0.111</v>
      </c>
      <c r="I85" s="67"/>
    </row>
    <row r="86" spans="1:9" ht="15" customHeight="1" x14ac:dyDescent="0.45">
      <c r="B86" s="15" t="s">
        <v>63</v>
      </c>
      <c r="C86" s="65">
        <v>1.54</v>
      </c>
      <c r="I86" s="67"/>
    </row>
    <row r="87" spans="1:9" ht="15" customHeight="1" x14ac:dyDescent="0.45">
      <c r="B87" s="15" t="s">
        <v>37</v>
      </c>
      <c r="C87" s="65">
        <v>234.87200000000001</v>
      </c>
      <c r="I87" s="67"/>
    </row>
    <row r="88" spans="1:9" ht="15" customHeight="1" x14ac:dyDescent="0.45">
      <c r="B88" s="15" t="s">
        <v>33</v>
      </c>
      <c r="C88">
        <f>C84+SUM(C85:C86)-C87</f>
        <v>1533.9103709940002</v>
      </c>
      <c r="I88" s="67"/>
    </row>
    <row r="89" spans="1:9" ht="19.5" customHeight="1" x14ac:dyDescent="0.45">
      <c r="I89" s="67"/>
    </row>
    <row r="90" spans="1:9" ht="15" customHeight="1" x14ac:dyDescent="0.45">
      <c r="A90" s="14" t="s">
        <v>44</v>
      </c>
      <c r="I90" s="67"/>
    </row>
    <row r="91" spans="1:9" ht="15" customHeight="1" x14ac:dyDescent="0.45">
      <c r="B91" s="15" t="s">
        <v>409</v>
      </c>
      <c r="I91" s="67"/>
    </row>
    <row r="92" spans="1:9" ht="15" customHeight="1" x14ac:dyDescent="0.45">
      <c r="B92" s="15" t="s">
        <v>258</v>
      </c>
      <c r="I92" s="67"/>
    </row>
    <row r="93" spans="1:9" ht="15" customHeight="1" x14ac:dyDescent="0.45">
      <c r="B93" s="15" t="s">
        <v>259</v>
      </c>
      <c r="I93" s="67"/>
    </row>
    <row r="94" spans="1:9" ht="15" customHeight="1" x14ac:dyDescent="0.45">
      <c r="I94" s="67"/>
    </row>
    <row r="95" spans="1:9" ht="15" customHeight="1" x14ac:dyDescent="0.45">
      <c r="B95" s="15" t="s">
        <v>34</v>
      </c>
      <c r="C95" s="70">
        <v>251.5</v>
      </c>
      <c r="I95" s="67"/>
    </row>
    <row r="96" spans="1:9" ht="15" customHeight="1" x14ac:dyDescent="0.45">
      <c r="B96" s="15" t="s">
        <v>52</v>
      </c>
      <c r="C96" s="73">
        <v>0.35</v>
      </c>
      <c r="I96" s="67"/>
    </row>
    <row r="97" spans="2:9" ht="15" customHeight="1" x14ac:dyDescent="0.45">
      <c r="B97" s="15" t="s">
        <v>449</v>
      </c>
      <c r="C97" s="65">
        <f>160</f>
        <v>160</v>
      </c>
      <c r="I97" s="67"/>
    </row>
    <row r="98" spans="2:9" ht="15" customHeight="1" x14ac:dyDescent="0.45">
      <c r="B98" s="15" t="s">
        <v>450</v>
      </c>
      <c r="C98" s="65">
        <v>702.56269999999995</v>
      </c>
      <c r="I98" s="67"/>
    </row>
    <row r="99" spans="2:9" ht="15" customHeight="1" x14ac:dyDescent="0.45">
      <c r="I99" s="67"/>
    </row>
    <row r="100" spans="2:9" ht="15" customHeight="1" x14ac:dyDescent="0.45">
      <c r="B100" s="15" t="s">
        <v>64</v>
      </c>
      <c r="I100" s="67"/>
    </row>
    <row r="101" spans="2:9" ht="15" customHeight="1" x14ac:dyDescent="0.45">
      <c r="I101" s="67"/>
    </row>
    <row r="102" spans="2:9" ht="15" customHeight="1" x14ac:dyDescent="0.45">
      <c r="I102" s="67"/>
    </row>
    <row r="103" spans="2:9" ht="15" customHeight="1" x14ac:dyDescent="0.45">
      <c r="I103" s="67"/>
    </row>
    <row r="104" spans="2:9" ht="15" customHeight="1" x14ac:dyDescent="0.45">
      <c r="I104" s="67"/>
    </row>
    <row r="105" spans="2:9" ht="15" customHeight="1" x14ac:dyDescent="0.45">
      <c r="I105" s="67"/>
    </row>
    <row r="106" spans="2:9" ht="15" customHeight="1" x14ac:dyDescent="0.45">
      <c r="I106" s="67"/>
    </row>
    <row r="107" spans="2:9" ht="15" customHeight="1" x14ac:dyDescent="0.45">
      <c r="B107" s="15" t="s">
        <v>28</v>
      </c>
      <c r="I107" s="67"/>
    </row>
    <row r="108" spans="2:9" ht="15" customHeight="1" x14ac:dyDescent="0.45">
      <c r="I108" s="67"/>
    </row>
    <row r="109" spans="2:9" ht="15" customHeight="1" x14ac:dyDescent="0.45">
      <c r="I109" s="67"/>
    </row>
    <row r="110" spans="2:9" ht="15" customHeight="1" x14ac:dyDescent="0.45">
      <c r="I110" s="67"/>
    </row>
    <row r="111" spans="2:9" ht="15" customHeight="1" x14ac:dyDescent="0.45">
      <c r="I111" s="67"/>
    </row>
    <row r="112" spans="2:9" ht="15" customHeight="1" x14ac:dyDescent="0.45">
      <c r="I112" s="67"/>
    </row>
    <row r="113" spans="2:9" ht="15" customHeight="1" x14ac:dyDescent="0.45">
      <c r="I113" s="67"/>
    </row>
    <row r="114" spans="2:9" ht="15" customHeight="1" x14ac:dyDescent="0.45">
      <c r="I114" s="67"/>
    </row>
    <row r="115" spans="2:9" ht="15" customHeight="1" x14ac:dyDescent="0.45">
      <c r="I115" s="67"/>
    </row>
    <row r="116" spans="2:9" ht="15" customHeight="1" x14ac:dyDescent="0.45">
      <c r="B116" s="15" t="s">
        <v>451</v>
      </c>
      <c r="I116" s="67"/>
    </row>
    <row r="117" spans="2:9" ht="15" customHeight="1" x14ac:dyDescent="0.45">
      <c r="I117" s="67"/>
    </row>
    <row r="118" spans="2:9" ht="15" customHeight="1" x14ac:dyDescent="0.45">
      <c r="I118" s="67"/>
    </row>
    <row r="119" spans="2:9" ht="15" customHeight="1" x14ac:dyDescent="0.45">
      <c r="I119" s="67"/>
    </row>
    <row r="120" spans="2:9" ht="15" customHeight="1" x14ac:dyDescent="0.45">
      <c r="I120" s="67"/>
    </row>
    <row r="121" spans="2:9" ht="15" customHeight="1" x14ac:dyDescent="0.45">
      <c r="I121" s="67"/>
    </row>
    <row r="122" spans="2:9" ht="15" customHeight="1" x14ac:dyDescent="0.45">
      <c r="I122" s="67"/>
    </row>
    <row r="123" spans="2:9" ht="15" customHeight="1" x14ac:dyDescent="0.45">
      <c r="I123" s="67"/>
    </row>
    <row r="124" spans="2:9" ht="15" customHeight="1" x14ac:dyDescent="0.45">
      <c r="I124" s="67"/>
    </row>
    <row r="125" spans="2:9" ht="15" customHeight="1" x14ac:dyDescent="0.45">
      <c r="I125" s="67"/>
    </row>
    <row r="126" spans="2:9" ht="15" customHeight="1" x14ac:dyDescent="0.45">
      <c r="I126" s="67"/>
    </row>
    <row r="127" spans="2:9" ht="15" customHeight="1" x14ac:dyDescent="0.45">
      <c r="I127" s="67"/>
    </row>
    <row r="128" spans="2:9" ht="15" customHeight="1" x14ac:dyDescent="0.45">
      <c r="I128" s="67"/>
    </row>
    <row r="129" spans="9:9" ht="15" customHeight="1" x14ac:dyDescent="0.45">
      <c r="I129" s="67"/>
    </row>
    <row r="130" spans="9:9" ht="15" customHeight="1" x14ac:dyDescent="0.45">
      <c r="I130" s="67"/>
    </row>
    <row r="131" spans="9:9" ht="15" customHeight="1" x14ac:dyDescent="0.45">
      <c r="I131" s="67"/>
    </row>
    <row r="132" spans="9:9" ht="15" customHeight="1" x14ac:dyDescent="0.45">
      <c r="I132" s="67"/>
    </row>
    <row r="133" spans="9:9" ht="15" customHeight="1" x14ac:dyDescent="0.45">
      <c r="I133" s="67"/>
    </row>
    <row r="134" spans="9:9" ht="15" customHeight="1" x14ac:dyDescent="0.45">
      <c r="I134" s="67"/>
    </row>
    <row r="135" spans="9:9" ht="15" customHeight="1" x14ac:dyDescent="0.45">
      <c r="I135" s="67"/>
    </row>
    <row r="136" spans="9:9" ht="15" customHeight="1" x14ac:dyDescent="0.45">
      <c r="I136" s="67"/>
    </row>
    <row r="137" spans="9:9" ht="15" customHeight="1" x14ac:dyDescent="0.45">
      <c r="I137" s="67"/>
    </row>
    <row r="138" spans="9:9" ht="15" customHeight="1" x14ac:dyDescent="0.45">
      <c r="I138" s="67"/>
    </row>
    <row r="139" spans="9:9" ht="15" customHeight="1" x14ac:dyDescent="0.45">
      <c r="I139" s="67"/>
    </row>
    <row r="140" spans="9:9" ht="15" customHeight="1" x14ac:dyDescent="0.45">
      <c r="I140" s="67"/>
    </row>
    <row r="141" spans="9:9" ht="15" customHeight="1" x14ac:dyDescent="0.45">
      <c r="I141" s="67"/>
    </row>
    <row r="142" spans="9:9" ht="15" customHeight="1" x14ac:dyDescent="0.45">
      <c r="I142" s="67"/>
    </row>
    <row r="143" spans="9:9" ht="15" customHeight="1" x14ac:dyDescent="0.45">
      <c r="I143" s="67"/>
    </row>
    <row r="144" spans="9:9" ht="15" customHeight="1" x14ac:dyDescent="0.45">
      <c r="I144" s="67"/>
    </row>
    <row r="145" spans="2:9" ht="15" customHeight="1" x14ac:dyDescent="0.45">
      <c r="I145" s="67"/>
    </row>
    <row r="146" spans="2:9" ht="15" customHeight="1" x14ac:dyDescent="0.45">
      <c r="I146" s="67"/>
    </row>
    <row r="147" spans="2:9" ht="15" customHeight="1" x14ac:dyDescent="0.45">
      <c r="B147" s="15" t="str">
        <f>B95</f>
        <v>Current share price</v>
      </c>
      <c r="C147">
        <f>C95</f>
        <v>251.5</v>
      </c>
      <c r="I147" s="67"/>
    </row>
    <row r="148" spans="2:9" ht="15" customHeight="1" x14ac:dyDescent="0.45">
      <c r="B148" s="15" t="str">
        <f>B96</f>
        <v>Offer premium</v>
      </c>
      <c r="C148" s="64">
        <f>C96</f>
        <v>0.35</v>
      </c>
      <c r="I148" s="67"/>
    </row>
    <row r="149" spans="2:9" ht="15" customHeight="1" x14ac:dyDescent="0.45">
      <c r="B149" s="15" t="s">
        <v>55</v>
      </c>
      <c r="C149">
        <f>C147*(1+C148)</f>
        <v>339.52500000000003</v>
      </c>
      <c r="I149" s="67"/>
    </row>
    <row r="150" spans="2:9" ht="15" customHeight="1" x14ac:dyDescent="0.45">
      <c r="I150" s="67"/>
    </row>
    <row r="151" spans="2:9" ht="15" customHeight="1" x14ac:dyDescent="0.45">
      <c r="B151" s="15" t="str">
        <f>B97</f>
        <v>Basic shares outstanding - class A (millions)</v>
      </c>
      <c r="C151">
        <f>C97</f>
        <v>160</v>
      </c>
      <c r="I151" s="67"/>
    </row>
    <row r="152" spans="2:9" ht="15" customHeight="1" x14ac:dyDescent="0.45">
      <c r="B152" s="15" t="str">
        <f>B98</f>
        <v>Basic shares outstanding - class B (millions)</v>
      </c>
      <c r="C152">
        <f>C98</f>
        <v>702.56269999999995</v>
      </c>
      <c r="I152" s="67"/>
    </row>
    <row r="153" spans="2:9" ht="15" customHeight="1" x14ac:dyDescent="0.45">
      <c r="B153" s="15" t="s">
        <v>65</v>
      </c>
      <c r="C153">
        <f>SUM(C151:C152)</f>
        <v>862.56269999999995</v>
      </c>
      <c r="I153" s="67"/>
    </row>
    <row r="154" spans="2:9" ht="15" customHeight="1" x14ac:dyDescent="0.45">
      <c r="I154" s="67"/>
    </row>
    <row r="155" spans="2:9" ht="15" customHeight="1" x14ac:dyDescent="0.45">
      <c r="B155" s="15" t="s">
        <v>28</v>
      </c>
      <c r="C155" s="65">
        <v>0.79400000000000004</v>
      </c>
      <c r="I155" s="67"/>
    </row>
    <row r="156" spans="2:9" ht="15" customHeight="1" x14ac:dyDescent="0.45">
      <c r="B156" s="15" t="s">
        <v>29</v>
      </c>
      <c r="C156" s="70">
        <v>203.49</v>
      </c>
      <c r="I156" s="67"/>
    </row>
    <row r="157" spans="2:9" ht="15" customHeight="1" x14ac:dyDescent="0.45">
      <c r="B157" s="15" t="s">
        <v>30</v>
      </c>
      <c r="C157">
        <f>(C149-C156)/C149*C155</f>
        <v>0.3181261762756793</v>
      </c>
      <c r="I157" s="67"/>
    </row>
    <row r="158" spans="2:9" ht="15" customHeight="1" x14ac:dyDescent="0.45">
      <c r="I158" s="67"/>
    </row>
    <row r="159" spans="2:9" ht="15" customHeight="1" x14ac:dyDescent="0.45">
      <c r="B159" s="15" t="s">
        <v>56</v>
      </c>
      <c r="C159" s="65">
        <v>1.952</v>
      </c>
    </row>
    <row r="161" spans="1:3" ht="15" customHeight="1" x14ac:dyDescent="0.45">
      <c r="B161" s="15" t="s">
        <v>31</v>
      </c>
      <c r="C161">
        <f>C159+C157+C153</f>
        <v>864.8328261762756</v>
      </c>
    </row>
    <row r="162" spans="1:3" ht="15" customHeight="1" x14ac:dyDescent="0.45">
      <c r="B162" s="15" t="s">
        <v>21</v>
      </c>
      <c r="C162">
        <f>C161*C149</f>
        <v>293632.3653075</v>
      </c>
    </row>
    <row r="163" spans="1:3" ht="15" customHeight="1" x14ac:dyDescent="0.45">
      <c r="B163" s="15" t="s">
        <v>66</v>
      </c>
      <c r="C163" s="65">
        <v>5440</v>
      </c>
    </row>
    <row r="164" spans="1:3" ht="15" customHeight="1" x14ac:dyDescent="0.45">
      <c r="B164" s="15" t="s">
        <v>67</v>
      </c>
      <c r="C164" s="65">
        <v>3731</v>
      </c>
    </row>
    <row r="165" spans="1:3" ht="15" customHeight="1" x14ac:dyDescent="0.45">
      <c r="B165" s="15" t="s">
        <v>42</v>
      </c>
      <c r="C165" s="65">
        <v>17100</v>
      </c>
    </row>
    <row r="166" spans="1:3" ht="15" customHeight="1" x14ac:dyDescent="0.45">
      <c r="B166" s="15" t="s">
        <v>38</v>
      </c>
      <c r="C166" s="65">
        <v>6151</v>
      </c>
    </row>
    <row r="167" spans="1:3" ht="15" customHeight="1" x14ac:dyDescent="0.45">
      <c r="B167" s="15" t="s">
        <v>68</v>
      </c>
      <c r="C167">
        <f>C162+SUM(C165:C166)-SUM(C163:C164)</f>
        <v>307712.3653075</v>
      </c>
    </row>
    <row r="169" spans="1:3" ht="15" customHeight="1" x14ac:dyDescent="0.45">
      <c r="A169" s="14" t="s">
        <v>45</v>
      </c>
    </row>
    <row r="170" spans="1:3" ht="15" customHeight="1" x14ac:dyDescent="0.45">
      <c r="B170" s="15" t="s">
        <v>361</v>
      </c>
    </row>
    <row r="171" spans="1:3" ht="15" customHeight="1" x14ac:dyDescent="0.45">
      <c r="B171" s="15" t="s">
        <v>437</v>
      </c>
    </row>
    <row r="172" spans="1:3" ht="15" customHeight="1" x14ac:dyDescent="0.45">
      <c r="B172" s="15" t="s">
        <v>362</v>
      </c>
    </row>
    <row r="173" spans="1:3" ht="15" customHeight="1" x14ac:dyDescent="0.45">
      <c r="B173" s="15" t="s">
        <v>260</v>
      </c>
    </row>
    <row r="175" spans="1:3" ht="15" customHeight="1" x14ac:dyDescent="0.45">
      <c r="B175" s="15" t="s">
        <v>20</v>
      </c>
    </row>
    <row r="176" spans="1:3" ht="15" customHeight="1" x14ac:dyDescent="0.45">
      <c r="B176" s="15" t="s">
        <v>21</v>
      </c>
      <c r="C176" s="65">
        <v>2000</v>
      </c>
    </row>
    <row r="177" spans="1:3" ht="15" customHeight="1" x14ac:dyDescent="0.45">
      <c r="B177" s="15" t="s">
        <v>23</v>
      </c>
      <c r="C177">
        <f>SUM(C176)</f>
        <v>2000</v>
      </c>
    </row>
    <row r="179" spans="1:3" ht="15" customHeight="1" x14ac:dyDescent="0.45">
      <c r="B179" s="15" t="s">
        <v>24</v>
      </c>
    </row>
    <row r="180" spans="1:3" ht="15" customHeight="1" x14ac:dyDescent="0.45">
      <c r="B180" s="15" t="s">
        <v>25</v>
      </c>
      <c r="C180" s="65">
        <f>C176*0.3</f>
        <v>600</v>
      </c>
    </row>
    <row r="181" spans="1:3" ht="15" customHeight="1" x14ac:dyDescent="0.45">
      <c r="B181" s="15" t="s">
        <v>43</v>
      </c>
      <c r="C181">
        <f>C177-C180</f>
        <v>1400</v>
      </c>
    </row>
    <row r="182" spans="1:3" ht="15" customHeight="1" x14ac:dyDescent="0.45">
      <c r="B182" s="15" t="s">
        <v>26</v>
      </c>
      <c r="C182">
        <f>SUM(C180:C181)</f>
        <v>2000</v>
      </c>
    </row>
    <row r="184" spans="1:3" ht="15" customHeight="1" x14ac:dyDescent="0.45">
      <c r="A184" s="14" t="s">
        <v>46</v>
      </c>
    </row>
    <row r="185" spans="1:3" ht="15" customHeight="1" x14ac:dyDescent="0.45">
      <c r="B185" s="15" t="s">
        <v>363</v>
      </c>
    </row>
    <row r="186" spans="1:3" ht="15" customHeight="1" x14ac:dyDescent="0.45">
      <c r="B186" s="15" t="s">
        <v>69</v>
      </c>
    </row>
    <row r="188" spans="1:3" ht="15" customHeight="1" x14ac:dyDescent="0.45">
      <c r="B188" s="15" t="s">
        <v>20</v>
      </c>
    </row>
    <row r="189" spans="1:3" ht="15" customHeight="1" x14ac:dyDescent="0.45">
      <c r="B189" s="15" t="s">
        <v>21</v>
      </c>
      <c r="C189" s="65">
        <v>2000</v>
      </c>
    </row>
    <row r="190" spans="1:3" ht="15" customHeight="1" x14ac:dyDescent="0.45">
      <c r="B190" s="15" t="s">
        <v>22</v>
      </c>
      <c r="C190" s="65">
        <v>1200</v>
      </c>
    </row>
    <row r="191" spans="1:3" ht="15" customHeight="1" x14ac:dyDescent="0.45">
      <c r="B191" s="15" t="s">
        <v>23</v>
      </c>
      <c r="C191">
        <f>SUM(C189:C190)</f>
        <v>3200</v>
      </c>
    </row>
    <row r="193" spans="1:3" ht="15" customHeight="1" x14ac:dyDescent="0.45">
      <c r="B193" s="15" t="s">
        <v>24</v>
      </c>
    </row>
    <row r="194" spans="1:3" ht="15" customHeight="1" x14ac:dyDescent="0.45">
      <c r="B194" s="15" t="s">
        <v>25</v>
      </c>
      <c r="C194" s="65">
        <f>C189*0.3</f>
        <v>600</v>
      </c>
    </row>
    <row r="195" spans="1:3" ht="15" customHeight="1" x14ac:dyDescent="0.45">
      <c r="B195" s="15" t="s">
        <v>43</v>
      </c>
      <c r="C195">
        <f>C191-C194</f>
        <v>2600</v>
      </c>
    </row>
    <row r="196" spans="1:3" ht="15" customHeight="1" x14ac:dyDescent="0.45">
      <c r="B196" s="15" t="s">
        <v>26</v>
      </c>
      <c r="C196">
        <f>SUM(C194:C195)</f>
        <v>3200</v>
      </c>
    </row>
    <row r="198" spans="1:3" ht="15" customHeight="1" x14ac:dyDescent="0.45">
      <c r="A198" s="14" t="s">
        <v>47</v>
      </c>
    </row>
    <row r="199" spans="1:3" ht="15" customHeight="1" x14ac:dyDescent="0.45">
      <c r="B199" s="15" t="s">
        <v>452</v>
      </c>
    </row>
    <row r="201" spans="1:3" ht="15" customHeight="1" x14ac:dyDescent="0.45">
      <c r="B201" s="15" t="s">
        <v>20</v>
      </c>
    </row>
    <row r="202" spans="1:3" ht="15" customHeight="1" x14ac:dyDescent="0.45">
      <c r="B202" s="15" t="s">
        <v>21</v>
      </c>
      <c r="C202" s="65">
        <v>2000</v>
      </c>
    </row>
    <row r="203" spans="1:3" ht="15" customHeight="1" x14ac:dyDescent="0.45">
      <c r="B203" s="15" t="s">
        <v>22</v>
      </c>
      <c r="C203" s="65">
        <v>1200</v>
      </c>
    </row>
    <row r="204" spans="1:3" ht="15" customHeight="1" x14ac:dyDescent="0.45">
      <c r="B204" s="15" t="s">
        <v>70</v>
      </c>
      <c r="C204" s="65">
        <v>40</v>
      </c>
    </row>
    <row r="205" spans="1:3" ht="15" customHeight="1" x14ac:dyDescent="0.45">
      <c r="B205" s="15" t="s">
        <v>23</v>
      </c>
      <c r="C205">
        <f>SUM(C202:C204)</f>
        <v>3240</v>
      </c>
    </row>
    <row r="207" spans="1:3" ht="15" customHeight="1" x14ac:dyDescent="0.45">
      <c r="B207" s="15" t="s">
        <v>24</v>
      </c>
    </row>
    <row r="208" spans="1:3" ht="15" customHeight="1" x14ac:dyDescent="0.45">
      <c r="B208" s="15" t="s">
        <v>25</v>
      </c>
      <c r="C208" s="65">
        <f>C202*0.3</f>
        <v>600</v>
      </c>
    </row>
    <row r="209" spans="1:3" ht="15" customHeight="1" x14ac:dyDescent="0.45">
      <c r="B209" s="15" t="s">
        <v>43</v>
      </c>
      <c r="C209">
        <f>C205-C208</f>
        <v>2640</v>
      </c>
    </row>
    <row r="210" spans="1:3" ht="15" customHeight="1" x14ac:dyDescent="0.45">
      <c r="B210" s="15" t="s">
        <v>26</v>
      </c>
      <c r="C210">
        <f>SUM(C208:C209)</f>
        <v>3240</v>
      </c>
    </row>
    <row r="212" spans="1:3" ht="15" customHeight="1" x14ac:dyDescent="0.45">
      <c r="A212" s="14" t="s">
        <v>48</v>
      </c>
    </row>
    <row r="213" spans="1:3" ht="15" customHeight="1" x14ac:dyDescent="0.45">
      <c r="B213" s="15" t="s">
        <v>364</v>
      </c>
    </row>
    <row r="215" spans="1:3" ht="15" customHeight="1" x14ac:dyDescent="0.45">
      <c r="B215" s="15" t="s">
        <v>21</v>
      </c>
      <c r="C215" s="65">
        <v>20560</v>
      </c>
    </row>
    <row r="216" spans="1:3" ht="15" customHeight="1" x14ac:dyDescent="0.45">
      <c r="B216" s="15" t="s">
        <v>22</v>
      </c>
      <c r="C216" s="65">
        <v>5200</v>
      </c>
    </row>
    <row r="217" spans="1:3" ht="15" customHeight="1" x14ac:dyDescent="0.45">
      <c r="B217" s="15" t="s">
        <v>435</v>
      </c>
      <c r="C217" s="73">
        <v>0.42</v>
      </c>
    </row>
    <row r="218" spans="1:3" ht="15" customHeight="1" x14ac:dyDescent="0.45">
      <c r="B218" s="15" t="s">
        <v>35</v>
      </c>
      <c r="C218" s="65">
        <v>20</v>
      </c>
    </row>
    <row r="219" spans="1:3" ht="15" customHeight="1" x14ac:dyDescent="0.45">
      <c r="B219" s="15" t="s">
        <v>36</v>
      </c>
      <c r="C219" s="65">
        <v>400</v>
      </c>
    </row>
    <row r="220" spans="1:3" ht="15" customHeight="1" x14ac:dyDescent="0.45">
      <c r="B220" s="15" t="s">
        <v>71</v>
      </c>
      <c r="C220" s="65">
        <v>0</v>
      </c>
    </row>
    <row r="222" spans="1:3" ht="15" customHeight="1" x14ac:dyDescent="0.45">
      <c r="B222" s="15" t="s">
        <v>20</v>
      </c>
    </row>
    <row r="223" spans="1:3" ht="15" customHeight="1" x14ac:dyDescent="0.45">
      <c r="B223" s="15" t="s">
        <v>21</v>
      </c>
      <c r="C223">
        <f>C215</f>
        <v>20560</v>
      </c>
    </row>
    <row r="224" spans="1:3" ht="15" customHeight="1" x14ac:dyDescent="0.45">
      <c r="B224" s="15" t="s">
        <v>22</v>
      </c>
      <c r="C224">
        <f>C216</f>
        <v>5200</v>
      </c>
    </row>
    <row r="225" spans="1:3" ht="15" customHeight="1" x14ac:dyDescent="0.45">
      <c r="B225" s="15" t="s">
        <v>35</v>
      </c>
      <c r="C225">
        <f>C218</f>
        <v>20</v>
      </c>
    </row>
    <row r="226" spans="1:3" ht="15" customHeight="1" x14ac:dyDescent="0.45">
      <c r="B226" s="15" t="s">
        <v>36</v>
      </c>
      <c r="C226">
        <f>C219</f>
        <v>400</v>
      </c>
    </row>
    <row r="227" spans="1:3" ht="15" customHeight="1" x14ac:dyDescent="0.45">
      <c r="B227" s="15" t="s">
        <v>72</v>
      </c>
      <c r="C227">
        <f>C220</f>
        <v>0</v>
      </c>
    </row>
    <row r="228" spans="1:3" ht="15" customHeight="1" x14ac:dyDescent="0.45">
      <c r="B228" s="15" t="s">
        <v>23</v>
      </c>
      <c r="C228">
        <f>SUM(C223:C227)</f>
        <v>26180</v>
      </c>
    </row>
    <row r="230" spans="1:3" ht="15" customHeight="1" x14ac:dyDescent="0.45">
      <c r="B230" s="15" t="s">
        <v>24</v>
      </c>
    </row>
    <row r="231" spans="1:3" ht="15" customHeight="1" x14ac:dyDescent="0.45">
      <c r="B231" s="15" t="s">
        <v>25</v>
      </c>
      <c r="C231">
        <f>C215*C217</f>
        <v>8635.1999999999989</v>
      </c>
    </row>
    <row r="232" spans="1:3" ht="15" customHeight="1" x14ac:dyDescent="0.45">
      <c r="B232" s="15" t="s">
        <v>43</v>
      </c>
      <c r="C232">
        <f>C223+C224+C225+C226+C227-C231</f>
        <v>17544.800000000003</v>
      </c>
    </row>
    <row r="233" spans="1:3" ht="15" customHeight="1" x14ac:dyDescent="0.45">
      <c r="B233" s="15" t="s">
        <v>26</v>
      </c>
      <c r="C233">
        <f>SUM(C231:C232)</f>
        <v>26180</v>
      </c>
    </row>
    <row r="235" spans="1:3" ht="15" customHeight="1" x14ac:dyDescent="0.45">
      <c r="A235" s="14" t="s">
        <v>49</v>
      </c>
    </row>
    <row r="236" spans="1:3" ht="15" customHeight="1" x14ac:dyDescent="0.45">
      <c r="B236" s="15" t="s">
        <v>265</v>
      </c>
    </row>
    <row r="238" spans="1:3" ht="15" customHeight="1" x14ac:dyDescent="0.45">
      <c r="B238" s="15" t="s">
        <v>20</v>
      </c>
    </row>
    <row r="239" spans="1:3" ht="15" customHeight="1" x14ac:dyDescent="0.45">
      <c r="B239" s="15" t="str">
        <f t="shared" ref="B239:B243" si="0">B223</f>
        <v>Equity purchase price</v>
      </c>
      <c r="C239">
        <f>C223</f>
        <v>20560</v>
      </c>
    </row>
    <row r="240" spans="1:3" ht="15" customHeight="1" x14ac:dyDescent="0.45">
      <c r="B240" s="15" t="str">
        <f t="shared" si="0"/>
        <v>Refinanced net debt</v>
      </c>
      <c r="C240">
        <f>C224</f>
        <v>5200</v>
      </c>
    </row>
    <row r="241" spans="1:3" ht="15" customHeight="1" x14ac:dyDescent="0.45">
      <c r="B241" s="15" t="str">
        <f t="shared" si="0"/>
        <v>Advisory fees</v>
      </c>
      <c r="C241">
        <f>C225</f>
        <v>20</v>
      </c>
    </row>
    <row r="242" spans="1:3" ht="15" customHeight="1" x14ac:dyDescent="0.45">
      <c r="B242" s="15" t="str">
        <f t="shared" si="0"/>
        <v>Debt issuance fees</v>
      </c>
      <c r="C242">
        <f>C226</f>
        <v>400</v>
      </c>
    </row>
    <row r="243" spans="1:3" ht="15" customHeight="1" x14ac:dyDescent="0.45">
      <c r="B243" s="15" t="str">
        <f t="shared" si="0"/>
        <v>Equity fees</v>
      </c>
      <c r="C243">
        <f>C227</f>
        <v>0</v>
      </c>
    </row>
    <row r="244" spans="1:3" ht="15" customHeight="1" x14ac:dyDescent="0.45">
      <c r="B244" s="15" t="str">
        <f>B228</f>
        <v>Total uses of funds</v>
      </c>
      <c r="C244">
        <f>SUM(C239:C243)</f>
        <v>26180</v>
      </c>
    </row>
    <row r="246" spans="1:3" ht="15" customHeight="1" x14ac:dyDescent="0.45">
      <c r="B246" s="15" t="s">
        <v>24</v>
      </c>
    </row>
    <row r="247" spans="1:3" ht="15" customHeight="1" x14ac:dyDescent="0.45">
      <c r="B247" s="15" t="s">
        <v>453</v>
      </c>
      <c r="C247" s="65">
        <v>1000</v>
      </c>
    </row>
    <row r="248" spans="1:3" ht="15" customHeight="1" x14ac:dyDescent="0.45">
      <c r="B248" s="15" t="str">
        <f>B231</f>
        <v>Equity financing</v>
      </c>
      <c r="C248">
        <f>C231</f>
        <v>8635.1999999999989</v>
      </c>
    </row>
    <row r="249" spans="1:3" ht="15" customHeight="1" x14ac:dyDescent="0.45">
      <c r="B249" s="15" t="str">
        <f>B232</f>
        <v>Debt financing</v>
      </c>
      <c r="C249">
        <f>C239+C240+C241+C242+C243-C247-C248</f>
        <v>16544.800000000003</v>
      </c>
    </row>
    <row r="250" spans="1:3" ht="15" customHeight="1" x14ac:dyDescent="0.45">
      <c r="B250" s="15" t="str">
        <f>B233</f>
        <v>Total sources of funds</v>
      </c>
      <c r="C250">
        <f>SUM(C247:C249)</f>
        <v>26180</v>
      </c>
    </row>
    <row r="252" spans="1:3" ht="15" customHeight="1" x14ac:dyDescent="0.45">
      <c r="A252" s="14" t="s">
        <v>50</v>
      </c>
    </row>
    <row r="253" spans="1:3" ht="15" customHeight="1" x14ac:dyDescent="0.45">
      <c r="B253" s="15" t="s">
        <v>375</v>
      </c>
    </row>
    <row r="254" spans="1:3" ht="15" customHeight="1" x14ac:dyDescent="0.45">
      <c r="B254" s="15" t="s">
        <v>438</v>
      </c>
    </row>
    <row r="255" spans="1:3" ht="15" customHeight="1" x14ac:dyDescent="0.45">
      <c r="B255" s="15" t="s">
        <v>439</v>
      </c>
    </row>
    <row r="256" spans="1:3" ht="15" customHeight="1" x14ac:dyDescent="0.45">
      <c r="B256" s="15" t="s">
        <v>376</v>
      </c>
    </row>
    <row r="257" spans="1:3" ht="15" customHeight="1" x14ac:dyDescent="0.45">
      <c r="B257" s="15" t="s">
        <v>261</v>
      </c>
    </row>
    <row r="259" spans="1:3" ht="15" customHeight="1" x14ac:dyDescent="0.45">
      <c r="B259" s="15" t="s">
        <v>20</v>
      </c>
    </row>
    <row r="260" spans="1:3" ht="15" customHeight="1" x14ac:dyDescent="0.45">
      <c r="B260" s="15" t="s">
        <v>21</v>
      </c>
      <c r="C260">
        <f>C223</f>
        <v>20560</v>
      </c>
    </row>
    <row r="261" spans="1:3" ht="15" customHeight="1" x14ac:dyDescent="0.45">
      <c r="B261" s="15" t="s">
        <v>35</v>
      </c>
      <c r="C261" s="65">
        <v>20</v>
      </c>
    </row>
    <row r="262" spans="1:3" ht="15" customHeight="1" x14ac:dyDescent="0.45">
      <c r="B262" s="15" t="s">
        <v>72</v>
      </c>
      <c r="C262" s="65">
        <v>250</v>
      </c>
    </row>
    <row r="263" spans="1:3" ht="15" customHeight="1" x14ac:dyDescent="0.45">
      <c r="B263" s="15" t="s">
        <v>23</v>
      </c>
      <c r="C263">
        <f>SUM(C260:C262)</f>
        <v>20830</v>
      </c>
    </row>
    <row r="265" spans="1:3" ht="15" customHeight="1" x14ac:dyDescent="0.45">
      <c r="B265" s="15" t="s">
        <v>24</v>
      </c>
    </row>
    <row r="266" spans="1:3" ht="15" customHeight="1" x14ac:dyDescent="0.45">
      <c r="B266" s="15" t="s">
        <v>454</v>
      </c>
      <c r="C266">
        <f>MIN(1000,C262+C261)</f>
        <v>270</v>
      </c>
    </row>
    <row r="267" spans="1:3" ht="15" customHeight="1" x14ac:dyDescent="0.45">
      <c r="B267" s="15" t="s">
        <v>25</v>
      </c>
      <c r="C267">
        <f>C260*100%</f>
        <v>20560</v>
      </c>
    </row>
    <row r="268" spans="1:3" ht="15" customHeight="1" x14ac:dyDescent="0.45">
      <c r="B268" s="15" t="s">
        <v>26</v>
      </c>
      <c r="C268">
        <f>SUM(C266:C267)</f>
        <v>20830</v>
      </c>
    </row>
    <row r="270" spans="1:3" ht="15" customHeight="1" x14ac:dyDescent="0.45">
      <c r="A270" s="14" t="s">
        <v>82</v>
      </c>
    </row>
    <row r="271" spans="1:3" ht="15" customHeight="1" x14ac:dyDescent="0.45">
      <c r="B271" s="15" t="s">
        <v>377</v>
      </c>
    </row>
    <row r="272" spans="1:3" ht="15" customHeight="1" x14ac:dyDescent="0.45">
      <c r="B272" s="15" t="s">
        <v>378</v>
      </c>
    </row>
    <row r="274" spans="2:3" ht="15" customHeight="1" x14ac:dyDescent="0.45">
      <c r="B274" s="15" t="s">
        <v>34</v>
      </c>
      <c r="C274" s="70">
        <v>33.04</v>
      </c>
    </row>
    <row r="275" spans="2:3" ht="15" customHeight="1" x14ac:dyDescent="0.45">
      <c r="B275" s="15" t="s">
        <v>73</v>
      </c>
      <c r="C275" s="66">
        <v>0.3</v>
      </c>
    </row>
    <row r="276" spans="2:3" ht="15" customHeight="1" x14ac:dyDescent="0.45">
      <c r="B276" s="15" t="s">
        <v>27</v>
      </c>
      <c r="C276" s="65">
        <v>340.00633499999998</v>
      </c>
    </row>
    <row r="277" spans="2:3" ht="15" customHeight="1" x14ac:dyDescent="0.45">
      <c r="B277" s="15" t="s">
        <v>78</v>
      </c>
      <c r="C277" s="73">
        <v>0.5</v>
      </c>
    </row>
    <row r="278" spans="2:3" ht="15" customHeight="1" x14ac:dyDescent="0.45">
      <c r="B278" s="15" t="s">
        <v>77</v>
      </c>
      <c r="C278" s="66">
        <v>0.02</v>
      </c>
    </row>
    <row r="279" spans="2:3" ht="15" customHeight="1" x14ac:dyDescent="0.45">
      <c r="B279" s="15" t="s">
        <v>79</v>
      </c>
      <c r="C279" s="66">
        <v>0.01</v>
      </c>
    </row>
    <row r="280" spans="2:3" ht="15" customHeight="1" x14ac:dyDescent="0.45">
      <c r="B280" s="15" t="s">
        <v>36</v>
      </c>
      <c r="C280" s="65">
        <v>150</v>
      </c>
    </row>
    <row r="282" spans="2:3" ht="15" customHeight="1" x14ac:dyDescent="0.45">
      <c r="B282" s="15" t="s">
        <v>266</v>
      </c>
      <c r="C282" s="15" t="s">
        <v>75</v>
      </c>
    </row>
    <row r="292" spans="2:2" ht="15" customHeight="1" x14ac:dyDescent="0.45">
      <c r="B292" s="15" t="s">
        <v>74</v>
      </c>
    </row>
    <row r="322" spans="2:3" ht="15" customHeight="1" x14ac:dyDescent="0.45">
      <c r="B322" s="15" t="str">
        <f>B274</f>
        <v>Current share price</v>
      </c>
      <c r="C322" s="71">
        <f>C274</f>
        <v>33.04</v>
      </c>
    </row>
    <row r="323" spans="2:3" ht="15" customHeight="1" x14ac:dyDescent="0.45">
      <c r="B323" s="15" t="str">
        <f>B275</f>
        <v>Share premium</v>
      </c>
      <c r="C323" s="64">
        <f>C275</f>
        <v>0.3</v>
      </c>
    </row>
    <row r="324" spans="2:3" ht="15" customHeight="1" x14ac:dyDescent="0.45">
      <c r="B324" s="15" t="s">
        <v>55</v>
      </c>
      <c r="C324" s="71">
        <f>C322*(1+C323)</f>
        <v>42.951999999999998</v>
      </c>
    </row>
    <row r="326" spans="2:3" ht="15" customHeight="1" x14ac:dyDescent="0.45">
      <c r="B326" s="15" t="s">
        <v>28</v>
      </c>
      <c r="C326" s="65">
        <v>17.899999999999999</v>
      </c>
    </row>
    <row r="327" spans="2:3" ht="15" customHeight="1" x14ac:dyDescent="0.45">
      <c r="B327" s="15" t="s">
        <v>29</v>
      </c>
      <c r="C327" s="70">
        <v>27.39</v>
      </c>
    </row>
    <row r="328" spans="2:3" ht="15" customHeight="1" x14ac:dyDescent="0.45">
      <c r="B328" s="15" t="s">
        <v>30</v>
      </c>
      <c r="C328">
        <f>(C324-C327)/C324*C326</f>
        <v>6.4853743713913197</v>
      </c>
    </row>
    <row r="329" spans="2:3" ht="15" customHeight="1" x14ac:dyDescent="0.45">
      <c r="B329" s="15" t="s">
        <v>56</v>
      </c>
      <c r="C329" s="65">
        <v>3.738</v>
      </c>
    </row>
    <row r="330" spans="2:3" ht="15" customHeight="1" x14ac:dyDescent="0.45">
      <c r="B330" s="15" t="str">
        <f>B276</f>
        <v>Basic shares outstanding</v>
      </c>
      <c r="C330">
        <f>C276</f>
        <v>340.00633499999998</v>
      </c>
    </row>
    <row r="331" spans="2:3" ht="15" customHeight="1" x14ac:dyDescent="0.45">
      <c r="B331" s="15" t="s">
        <v>31</v>
      </c>
      <c r="C331">
        <f>C330+C329+C328</f>
        <v>350.22970937139132</v>
      </c>
    </row>
    <row r="332" spans="2:3" ht="15" customHeight="1" x14ac:dyDescent="0.45">
      <c r="B332" s="15" t="s">
        <v>440</v>
      </c>
      <c r="C332">
        <f>C331*C324</f>
        <v>15043.066476919999</v>
      </c>
    </row>
    <row r="334" spans="2:3" ht="15" customHeight="1" x14ac:dyDescent="0.45">
      <c r="B334" s="15" t="s">
        <v>42</v>
      </c>
      <c r="C334" s="65">
        <v>1800</v>
      </c>
    </row>
    <row r="335" spans="2:3" ht="15" customHeight="1" x14ac:dyDescent="0.45">
      <c r="B335" s="15" t="s">
        <v>76</v>
      </c>
      <c r="C335" s="65">
        <v>300</v>
      </c>
    </row>
    <row r="336" spans="2:3" ht="15" customHeight="1" x14ac:dyDescent="0.45">
      <c r="B336" s="15" t="s">
        <v>41</v>
      </c>
      <c r="C336" s="65">
        <v>16.914000000000001</v>
      </c>
    </row>
    <row r="337" spans="2:3" ht="15" customHeight="1" x14ac:dyDescent="0.45">
      <c r="B337" s="15" t="s">
        <v>37</v>
      </c>
      <c r="C337" s="65">
        <v>892.81399999999996</v>
      </c>
    </row>
    <row r="338" spans="2:3" ht="15" customHeight="1" x14ac:dyDescent="0.45">
      <c r="B338" s="15" t="s">
        <v>32</v>
      </c>
      <c r="C338">
        <f>SUM(C334:C336)-C337</f>
        <v>1224.1000000000004</v>
      </c>
    </row>
    <row r="339" spans="2:3" ht="15" customHeight="1" x14ac:dyDescent="0.45">
      <c r="C339" s="65"/>
    </row>
    <row r="340" spans="2:3" ht="15" customHeight="1" x14ac:dyDescent="0.45">
      <c r="B340" s="15" t="s">
        <v>33</v>
      </c>
      <c r="C340">
        <f>SUM(C332:C336)-C337</f>
        <v>16267.166476920002</v>
      </c>
    </row>
    <row r="342" spans="2:3" ht="15" customHeight="1" x14ac:dyDescent="0.45">
      <c r="B342" s="15" t="s">
        <v>20</v>
      </c>
    </row>
    <row r="343" spans="2:3" ht="15" customHeight="1" x14ac:dyDescent="0.45">
      <c r="B343" s="15" t="str">
        <f>B332</f>
        <v>Fully diluted acquisition equity value</v>
      </c>
      <c r="C343">
        <f>C332</f>
        <v>15043.066476919999</v>
      </c>
    </row>
    <row r="344" spans="2:3" ht="15" customHeight="1" x14ac:dyDescent="0.45">
      <c r="B344" s="15" t="str">
        <f>B338</f>
        <v>Net debt</v>
      </c>
      <c r="C344">
        <f>C338</f>
        <v>1224.1000000000004</v>
      </c>
    </row>
    <row r="345" spans="2:3" ht="15" customHeight="1" x14ac:dyDescent="0.45">
      <c r="B345" s="15" t="s">
        <v>35</v>
      </c>
      <c r="C345">
        <f>C278*C340</f>
        <v>325.34332953840004</v>
      </c>
    </row>
    <row r="346" spans="2:3" ht="15" customHeight="1" x14ac:dyDescent="0.45">
      <c r="B346" s="15" t="s">
        <v>71</v>
      </c>
      <c r="C346">
        <f>C351*C279</f>
        <v>75.215332384600003</v>
      </c>
    </row>
    <row r="347" spans="2:3" ht="15" customHeight="1" x14ac:dyDescent="0.45">
      <c r="B347" s="15" t="s">
        <v>36</v>
      </c>
      <c r="C347">
        <f>C280</f>
        <v>150</v>
      </c>
    </row>
    <row r="348" spans="2:3" ht="15" customHeight="1" x14ac:dyDescent="0.45">
      <c r="B348" s="15" t="s">
        <v>23</v>
      </c>
      <c r="C348">
        <f>SUM(C343:C347)</f>
        <v>16817.725138842998</v>
      </c>
    </row>
    <row r="350" spans="2:3" ht="15" customHeight="1" x14ac:dyDescent="0.45">
      <c r="B350" s="15" t="s">
        <v>24</v>
      </c>
    </row>
    <row r="351" spans="2:3" ht="15" customHeight="1" x14ac:dyDescent="0.45">
      <c r="B351" s="15" t="s">
        <v>80</v>
      </c>
      <c r="C351">
        <f>C277*C332</f>
        <v>7521.5332384599997</v>
      </c>
    </row>
    <row r="352" spans="2:3" ht="15" customHeight="1" x14ac:dyDescent="0.45">
      <c r="B352" s="15" t="s">
        <v>81</v>
      </c>
      <c r="C352">
        <f>C348-C351</f>
        <v>9296.1919003829971</v>
      </c>
    </row>
    <row r="353" spans="1:6" ht="15" customHeight="1" x14ac:dyDescent="0.45">
      <c r="B353" s="15" t="s">
        <v>26</v>
      </c>
      <c r="C353">
        <f>SUM(C351:C352)</f>
        <v>16817.725138842998</v>
      </c>
    </row>
    <row r="355" spans="1:6" ht="15" customHeight="1" x14ac:dyDescent="0.45">
      <c r="A355" s="14" t="s">
        <v>90</v>
      </c>
    </row>
    <row r="356" spans="1:6" ht="15" customHeight="1" x14ac:dyDescent="0.45">
      <c r="B356" s="15" t="s">
        <v>367</v>
      </c>
    </row>
    <row r="357" spans="1:6" ht="15" customHeight="1" x14ac:dyDescent="0.45">
      <c r="B357" s="15" t="s">
        <v>262</v>
      </c>
    </row>
    <row r="358" spans="1:6" ht="15" customHeight="1" x14ac:dyDescent="0.45">
      <c r="B358" s="15" t="s">
        <v>83</v>
      </c>
    </row>
    <row r="360" spans="1:6" ht="15" customHeight="1" x14ac:dyDescent="0.45">
      <c r="B360" s="15" t="s">
        <v>91</v>
      </c>
      <c r="C360" s="74">
        <v>1500</v>
      </c>
    </row>
    <row r="361" spans="1:6" ht="15" customHeight="1" x14ac:dyDescent="0.45">
      <c r="B361" s="15" t="s">
        <v>25</v>
      </c>
      <c r="C361" s="66">
        <v>1</v>
      </c>
    </row>
    <row r="362" spans="1:6" ht="15" customHeight="1" x14ac:dyDescent="0.45">
      <c r="B362" s="15" t="s">
        <v>92</v>
      </c>
      <c r="C362" s="74">
        <v>100</v>
      </c>
    </row>
    <row r="363" spans="1:6" ht="15" customHeight="1" x14ac:dyDescent="0.45">
      <c r="B363" s="15" t="s">
        <v>93</v>
      </c>
      <c r="C363" s="66">
        <v>0.3</v>
      </c>
    </row>
    <row r="365" spans="1:6" ht="15" customHeight="1" x14ac:dyDescent="0.45">
      <c r="C365" t="s">
        <v>365</v>
      </c>
      <c r="D365" t="s">
        <v>366</v>
      </c>
      <c r="E365" t="s">
        <v>87</v>
      </c>
      <c r="F365" t="s">
        <v>88</v>
      </c>
    </row>
    <row r="366" spans="1:6" ht="15" customHeight="1" x14ac:dyDescent="0.45">
      <c r="B366" s="15" t="s">
        <v>84</v>
      </c>
      <c r="C366" s="65">
        <v>1500</v>
      </c>
      <c r="D366" s="65">
        <v>1000</v>
      </c>
      <c r="F366">
        <f>C366+D366+E366</f>
        <v>2500</v>
      </c>
    </row>
    <row r="367" spans="1:6" ht="15" customHeight="1" x14ac:dyDescent="0.45">
      <c r="B367" s="15" t="s">
        <v>85</v>
      </c>
      <c r="C367" s="65">
        <v>260</v>
      </c>
      <c r="D367" s="65">
        <v>150</v>
      </c>
      <c r="E367">
        <f>C362</f>
        <v>100</v>
      </c>
      <c r="F367">
        <f>C367+D367+E367</f>
        <v>510</v>
      </c>
    </row>
    <row r="368" spans="1:6" ht="15" customHeight="1" x14ac:dyDescent="0.45">
      <c r="B368" s="15" t="s">
        <v>86</v>
      </c>
      <c r="C368" s="65">
        <v>220</v>
      </c>
      <c r="D368" s="65">
        <v>100</v>
      </c>
      <c r="E368">
        <f>C362</f>
        <v>100</v>
      </c>
      <c r="F368">
        <f>C368+D368+E368</f>
        <v>420</v>
      </c>
    </row>
    <row r="369" spans="1:6" ht="15" customHeight="1" x14ac:dyDescent="0.45">
      <c r="B369" s="15" t="s">
        <v>89</v>
      </c>
      <c r="C369" s="65">
        <v>130</v>
      </c>
      <c r="D369" s="65">
        <v>50</v>
      </c>
      <c r="E369">
        <f>E368*(1-C363)</f>
        <v>70</v>
      </c>
      <c r="F369">
        <f>C369+D369+E369</f>
        <v>250</v>
      </c>
    </row>
    <row r="371" spans="1:6" ht="15" customHeight="1" x14ac:dyDescent="0.45">
      <c r="A371" s="14" t="s">
        <v>96</v>
      </c>
    </row>
    <row r="373" spans="1:6" ht="15" customHeight="1" x14ac:dyDescent="0.45">
      <c r="B373" s="15" t="s">
        <v>368</v>
      </c>
    </row>
    <row r="374" spans="1:6" ht="15" customHeight="1" x14ac:dyDescent="0.45">
      <c r="B374" s="15" t="s">
        <v>410</v>
      </c>
    </row>
    <row r="375" spans="1:6" ht="15" customHeight="1" x14ac:dyDescent="0.45">
      <c r="B375" s="15" t="s">
        <v>83</v>
      </c>
    </row>
    <row r="377" spans="1:6" ht="15" customHeight="1" x14ac:dyDescent="0.45">
      <c r="B377" s="15" t="s">
        <v>91</v>
      </c>
      <c r="C377" s="74">
        <v>1500</v>
      </c>
    </row>
    <row r="378" spans="1:6" ht="15" customHeight="1" x14ac:dyDescent="0.45">
      <c r="B378" s="15" t="s">
        <v>43</v>
      </c>
      <c r="C378" s="66">
        <v>1</v>
      </c>
    </row>
    <row r="379" spans="1:6" ht="15" customHeight="1" x14ac:dyDescent="0.45">
      <c r="B379" s="15" t="s">
        <v>92</v>
      </c>
      <c r="C379" s="74">
        <v>100</v>
      </c>
    </row>
    <row r="380" spans="1:6" ht="15" customHeight="1" x14ac:dyDescent="0.45">
      <c r="B380" s="15" t="s">
        <v>94</v>
      </c>
      <c r="C380" s="66">
        <v>0.06</v>
      </c>
    </row>
    <row r="381" spans="1:6" ht="15" customHeight="1" x14ac:dyDescent="0.45">
      <c r="B381" s="15" t="s">
        <v>93</v>
      </c>
      <c r="C381" s="66">
        <v>0.3</v>
      </c>
    </row>
    <row r="383" spans="1:6" ht="15" customHeight="1" x14ac:dyDescent="0.45">
      <c r="C383" t="s">
        <v>365</v>
      </c>
      <c r="D383" t="s">
        <v>366</v>
      </c>
      <c r="E383" t="s">
        <v>87</v>
      </c>
      <c r="F383" t="s">
        <v>88</v>
      </c>
    </row>
    <row r="384" spans="1:6" ht="15" customHeight="1" x14ac:dyDescent="0.45">
      <c r="B384" s="15" t="s">
        <v>84</v>
      </c>
      <c r="C384" s="65">
        <v>1500</v>
      </c>
      <c r="D384" s="65">
        <v>1000</v>
      </c>
      <c r="F384">
        <f>C384+D384+E384</f>
        <v>2500</v>
      </c>
    </row>
    <row r="385" spans="1:6" ht="15" customHeight="1" x14ac:dyDescent="0.45">
      <c r="B385" s="15" t="s">
        <v>85</v>
      </c>
      <c r="C385" s="65">
        <v>260</v>
      </c>
      <c r="D385" s="65">
        <v>150</v>
      </c>
      <c r="E385">
        <f>C379</f>
        <v>100</v>
      </c>
      <c r="F385">
        <f>C385+D385+E385</f>
        <v>510</v>
      </c>
    </row>
    <row r="386" spans="1:6" ht="15" customHeight="1" x14ac:dyDescent="0.45">
      <c r="B386" s="15" t="s">
        <v>86</v>
      </c>
      <c r="C386" s="65">
        <v>220</v>
      </c>
      <c r="D386" s="65">
        <v>100</v>
      </c>
      <c r="E386">
        <f>C379</f>
        <v>100</v>
      </c>
      <c r="F386">
        <f>C386+D386+E386</f>
        <v>420</v>
      </c>
    </row>
    <row r="387" spans="1:6" ht="15" customHeight="1" x14ac:dyDescent="0.45">
      <c r="B387" s="15" t="s">
        <v>89</v>
      </c>
      <c r="C387" s="65">
        <v>130</v>
      </c>
      <c r="D387" s="65">
        <v>50</v>
      </c>
      <c r="E387">
        <f>E386*(1-C381)-C377*C378*C380*(1-C381)</f>
        <v>7.0000000000000071</v>
      </c>
      <c r="F387">
        <f>C387+D387+E387</f>
        <v>187</v>
      </c>
    </row>
    <row r="389" spans="1:6" ht="15" customHeight="1" x14ac:dyDescent="0.45">
      <c r="A389" s="14" t="s">
        <v>97</v>
      </c>
    </row>
    <row r="391" spans="1:6" ht="15" customHeight="1" x14ac:dyDescent="0.45">
      <c r="B391" s="15" t="s">
        <v>369</v>
      </c>
    </row>
    <row r="392" spans="1:6" ht="15" customHeight="1" x14ac:dyDescent="0.45">
      <c r="B392" s="15" t="s">
        <v>95</v>
      </c>
    </row>
    <row r="393" spans="1:6" ht="15" customHeight="1" x14ac:dyDescent="0.45">
      <c r="B393" s="15" t="s">
        <v>83</v>
      </c>
    </row>
    <row r="395" spans="1:6" ht="15" customHeight="1" x14ac:dyDescent="0.45">
      <c r="B395" s="15" t="s">
        <v>91</v>
      </c>
      <c r="C395" s="74">
        <v>1500</v>
      </c>
    </row>
    <row r="396" spans="1:6" ht="15" customHeight="1" x14ac:dyDescent="0.45">
      <c r="B396" s="15" t="s">
        <v>43</v>
      </c>
      <c r="C396" s="66">
        <v>0.5</v>
      </c>
    </row>
    <row r="397" spans="1:6" ht="15" customHeight="1" x14ac:dyDescent="0.45">
      <c r="B397" s="15" t="s">
        <v>92</v>
      </c>
      <c r="C397" s="74">
        <v>100</v>
      </c>
    </row>
    <row r="398" spans="1:6" ht="15" customHeight="1" x14ac:dyDescent="0.45">
      <c r="B398" s="15" t="s">
        <v>94</v>
      </c>
      <c r="C398" s="66">
        <v>0.06</v>
      </c>
    </row>
    <row r="399" spans="1:6" ht="15" customHeight="1" x14ac:dyDescent="0.45">
      <c r="B399" s="15" t="s">
        <v>93</v>
      </c>
      <c r="C399" s="66">
        <v>0.3</v>
      </c>
    </row>
    <row r="401" spans="1:6" ht="15" customHeight="1" x14ac:dyDescent="0.45">
      <c r="C401" t="s">
        <v>365</v>
      </c>
      <c r="D401" t="s">
        <v>366</v>
      </c>
      <c r="E401" s="78" t="s">
        <v>87</v>
      </c>
      <c r="F401" s="78" t="s">
        <v>88</v>
      </c>
    </row>
    <row r="402" spans="1:6" ht="15" customHeight="1" x14ac:dyDescent="0.45">
      <c r="B402" s="15" t="s">
        <v>84</v>
      </c>
      <c r="C402" s="65">
        <v>1500</v>
      </c>
      <c r="D402" s="65">
        <v>1000</v>
      </c>
      <c r="F402">
        <f>C402+D402+E402</f>
        <v>2500</v>
      </c>
    </row>
    <row r="403" spans="1:6" ht="15" customHeight="1" x14ac:dyDescent="0.45">
      <c r="B403" s="15" t="s">
        <v>85</v>
      </c>
      <c r="C403" s="65">
        <v>260</v>
      </c>
      <c r="D403" s="65">
        <v>150</v>
      </c>
      <c r="E403">
        <f>C397</f>
        <v>100</v>
      </c>
      <c r="F403">
        <f>C403+D403+E403</f>
        <v>510</v>
      </c>
    </row>
    <row r="404" spans="1:6" ht="15" customHeight="1" x14ac:dyDescent="0.45">
      <c r="B404" s="15" t="s">
        <v>86</v>
      </c>
      <c r="C404" s="65">
        <v>220</v>
      </c>
      <c r="D404" s="65">
        <v>100</v>
      </c>
      <c r="E404">
        <f>C397</f>
        <v>100</v>
      </c>
      <c r="F404">
        <f>C404+D404+E404</f>
        <v>420</v>
      </c>
    </row>
    <row r="405" spans="1:6" ht="15" customHeight="1" x14ac:dyDescent="0.45">
      <c r="B405" s="15" t="s">
        <v>89</v>
      </c>
      <c r="C405" s="65">
        <v>130</v>
      </c>
      <c r="D405" s="65">
        <v>50</v>
      </c>
      <c r="E405">
        <f>E404*(1-C399)-C395*C396*C398*(1-C399)</f>
        <v>38.5</v>
      </c>
      <c r="F405">
        <f>C405+D405+E405</f>
        <v>218.5</v>
      </c>
    </row>
    <row r="407" spans="1:6" ht="15" customHeight="1" x14ac:dyDescent="0.45">
      <c r="A407" s="14" t="s">
        <v>103</v>
      </c>
    </row>
    <row r="409" spans="1:6" ht="15" customHeight="1" x14ac:dyDescent="0.45">
      <c r="B409" s="15" t="s">
        <v>101</v>
      </c>
    </row>
    <row r="411" spans="1:6" ht="15" customHeight="1" x14ac:dyDescent="0.45">
      <c r="B411" s="15" t="s">
        <v>91</v>
      </c>
      <c r="C411" s="74">
        <v>30000</v>
      </c>
    </row>
    <row r="412" spans="1:6" ht="15" customHeight="1" x14ac:dyDescent="0.45">
      <c r="B412" s="15" t="s">
        <v>25</v>
      </c>
      <c r="C412" s="66">
        <v>1</v>
      </c>
    </row>
    <row r="413" spans="1:6" ht="15" customHeight="1" x14ac:dyDescent="0.45">
      <c r="B413" s="15" t="s">
        <v>92</v>
      </c>
      <c r="C413" s="74">
        <v>2000</v>
      </c>
    </row>
    <row r="415" spans="1:6" ht="15" customHeight="1" x14ac:dyDescent="0.45">
      <c r="C415" s="78" t="s">
        <v>340</v>
      </c>
      <c r="D415" s="78" t="s">
        <v>277</v>
      </c>
    </row>
    <row r="416" spans="1:6" ht="15" customHeight="1" x14ac:dyDescent="0.45">
      <c r="B416" s="15" t="s">
        <v>34</v>
      </c>
      <c r="C416" s="70">
        <v>20.25</v>
      </c>
      <c r="D416" s="70">
        <v>15.6</v>
      </c>
    </row>
    <row r="417" spans="1:4" ht="15" customHeight="1" x14ac:dyDescent="0.45">
      <c r="B417" s="15" t="s">
        <v>98</v>
      </c>
      <c r="C417" s="77" t="s">
        <v>99</v>
      </c>
      <c r="D417" s="66">
        <v>0.4</v>
      </c>
    </row>
    <row r="418" spans="1:4" ht="15" customHeight="1" x14ac:dyDescent="0.45">
      <c r="B418" s="15" t="s">
        <v>31</v>
      </c>
      <c r="C418" s="65">
        <v>1670</v>
      </c>
      <c r="D418" s="65">
        <v>1200</v>
      </c>
    </row>
    <row r="419" spans="1:4" ht="15" customHeight="1" x14ac:dyDescent="0.45">
      <c r="B419" s="15" t="s">
        <v>21</v>
      </c>
      <c r="D419">
        <f>D416*(1+D417)*D418</f>
        <v>26208</v>
      </c>
    </row>
    <row r="420" spans="1:4" ht="15" customHeight="1" x14ac:dyDescent="0.45">
      <c r="B420" s="15" t="s">
        <v>100</v>
      </c>
      <c r="D420">
        <f>D419/C416</f>
        <v>1294.2222222222222</v>
      </c>
    </row>
    <row r="421" spans="1:4" ht="15" customHeight="1" x14ac:dyDescent="0.45">
      <c r="B421" s="15" t="s">
        <v>102</v>
      </c>
      <c r="D421">
        <f>D420/D418</f>
        <v>1.0785185185185184</v>
      </c>
    </row>
    <row r="423" spans="1:4" ht="15" customHeight="1" x14ac:dyDescent="0.45">
      <c r="A423" s="14" t="s">
        <v>119</v>
      </c>
    </row>
    <row r="424" spans="1:4" ht="15" customHeight="1" x14ac:dyDescent="0.45">
      <c r="B424" s="15" t="s">
        <v>411</v>
      </c>
    </row>
    <row r="425" spans="1:4" ht="15" customHeight="1" x14ac:dyDescent="0.45">
      <c r="B425" s="15" t="s">
        <v>381</v>
      </c>
    </row>
    <row r="427" spans="1:4" ht="15" customHeight="1" x14ac:dyDescent="0.45">
      <c r="C427" s="78" t="s">
        <v>379</v>
      </c>
      <c r="D427" s="78" t="s">
        <v>380</v>
      </c>
    </row>
    <row r="428" spans="1:4" ht="15" customHeight="1" x14ac:dyDescent="0.45">
      <c r="B428" s="15" t="s">
        <v>34</v>
      </c>
      <c r="C428" s="70">
        <v>30</v>
      </c>
      <c r="D428" s="70">
        <v>18</v>
      </c>
    </row>
    <row r="429" spans="1:4" ht="15" customHeight="1" x14ac:dyDescent="0.45">
      <c r="B429" s="15" t="s">
        <v>98</v>
      </c>
      <c r="C429" s="77" t="s">
        <v>99</v>
      </c>
      <c r="D429" s="66">
        <v>0.25</v>
      </c>
    </row>
    <row r="430" spans="1:4" ht="15" customHeight="1" x14ac:dyDescent="0.45">
      <c r="B430" s="15" t="s">
        <v>31</v>
      </c>
      <c r="C430" s="65">
        <v>600</v>
      </c>
      <c r="D430" s="65">
        <v>250</v>
      </c>
    </row>
    <row r="431" spans="1:4" ht="15" customHeight="1" x14ac:dyDescent="0.45">
      <c r="B431" s="15" t="s">
        <v>21</v>
      </c>
      <c r="D431">
        <f>D428*(1+D429)*D430</f>
        <v>5625</v>
      </c>
    </row>
    <row r="432" spans="1:4" ht="15" customHeight="1" x14ac:dyDescent="0.45">
      <c r="B432" s="15" t="s">
        <v>104</v>
      </c>
      <c r="D432" s="66">
        <v>1</v>
      </c>
    </row>
    <row r="433" spans="2:4" ht="15" customHeight="1" x14ac:dyDescent="0.45">
      <c r="B433" s="15" t="s">
        <v>108</v>
      </c>
      <c r="D433" s="66">
        <v>0.05</v>
      </c>
    </row>
    <row r="434" spans="2:4" ht="15" customHeight="1" x14ac:dyDescent="0.45">
      <c r="B434" s="15" t="s">
        <v>106</v>
      </c>
      <c r="D434" s="66">
        <v>0.3</v>
      </c>
    </row>
    <row r="435" spans="2:4" ht="15" customHeight="1" x14ac:dyDescent="0.45">
      <c r="B435" s="15" t="s">
        <v>107</v>
      </c>
      <c r="D435" s="66">
        <v>0.2</v>
      </c>
    </row>
    <row r="436" spans="2:4" ht="15" customHeight="1" x14ac:dyDescent="0.45">
      <c r="B436" s="15" t="s">
        <v>92</v>
      </c>
      <c r="D436" s="65">
        <v>50</v>
      </c>
    </row>
    <row r="437" spans="2:4" ht="15" customHeight="1" x14ac:dyDescent="0.45">
      <c r="B437" s="15" t="s">
        <v>109</v>
      </c>
      <c r="C437" s="70">
        <v>2.0699999999999998</v>
      </c>
      <c r="D437" s="70">
        <v>1.36</v>
      </c>
    </row>
    <row r="438" spans="2:4" ht="15" customHeight="1" x14ac:dyDescent="0.45">
      <c r="B438" s="15" t="s">
        <v>89</v>
      </c>
      <c r="C438">
        <f>C437*C430</f>
        <v>1242</v>
      </c>
      <c r="D438">
        <f>D437*D430</f>
        <v>340</v>
      </c>
    </row>
    <row r="440" spans="2:4" ht="15" customHeight="1" x14ac:dyDescent="0.45">
      <c r="C440" s="78" t="s">
        <v>220</v>
      </c>
    </row>
    <row r="441" spans="2:4" ht="15" customHeight="1" x14ac:dyDescent="0.45">
      <c r="B441" s="15" t="s">
        <v>110</v>
      </c>
      <c r="C441">
        <f>C438+D438</f>
        <v>1582</v>
      </c>
    </row>
    <row r="442" spans="2:4" ht="15" customHeight="1" x14ac:dyDescent="0.45">
      <c r="B442" s="79" t="s">
        <v>111</v>
      </c>
      <c r="C442">
        <f>D436*(1-D434)</f>
        <v>35</v>
      </c>
    </row>
    <row r="443" spans="2:4" ht="15" customHeight="1" x14ac:dyDescent="0.45">
      <c r="B443" s="15" t="s">
        <v>112</v>
      </c>
      <c r="C443">
        <f>SUM(C441:C442)</f>
        <v>1617</v>
      </c>
    </row>
    <row r="445" spans="2:4" ht="15" customHeight="1" x14ac:dyDescent="0.45">
      <c r="B445" s="15" t="s">
        <v>113</v>
      </c>
      <c r="C445">
        <f>C430</f>
        <v>600</v>
      </c>
    </row>
    <row r="446" spans="2:4" ht="15" customHeight="1" x14ac:dyDescent="0.45">
      <c r="B446" s="15" t="s">
        <v>114</v>
      </c>
      <c r="C446">
        <f>D431*D432/C428</f>
        <v>187.5</v>
      </c>
    </row>
    <row r="447" spans="2:4" ht="15" customHeight="1" x14ac:dyDescent="0.45">
      <c r="B447" s="15" t="s">
        <v>115</v>
      </c>
      <c r="C447">
        <f>SUM(C445:C446)</f>
        <v>787.5</v>
      </c>
    </row>
    <row r="449" spans="1:7" ht="15" customHeight="1" x14ac:dyDescent="0.45">
      <c r="B449" s="15" t="s">
        <v>116</v>
      </c>
      <c r="C449" s="71">
        <f>C443/C447</f>
        <v>2.0533333333333332</v>
      </c>
    </row>
    <row r="450" spans="1:7" ht="15" customHeight="1" x14ac:dyDescent="0.45">
      <c r="B450" s="15" t="s">
        <v>263</v>
      </c>
      <c r="C450" s="64">
        <f>C449/C437-1</f>
        <v>-8.0515297906601502E-3</v>
      </c>
    </row>
    <row r="452" spans="1:7" ht="15" customHeight="1" x14ac:dyDescent="0.45">
      <c r="A452" s="14" t="s">
        <v>120</v>
      </c>
    </row>
    <row r="453" spans="1:7" ht="15" customHeight="1" x14ac:dyDescent="0.45">
      <c r="B453" s="15" t="s">
        <v>412</v>
      </c>
    </row>
    <row r="454" spans="1:7" ht="15" customHeight="1" x14ac:dyDescent="0.45">
      <c r="B454" s="15" t="s">
        <v>381</v>
      </c>
    </row>
    <row r="456" spans="1:7" ht="15" customHeight="1" x14ac:dyDescent="0.45">
      <c r="C456" s="78" t="s">
        <v>379</v>
      </c>
      <c r="D456" s="78" t="s">
        <v>380</v>
      </c>
      <c r="E456" s="80"/>
      <c r="F456" s="80"/>
      <c r="G456" s="80"/>
    </row>
    <row r="457" spans="1:7" ht="15" customHeight="1" x14ac:dyDescent="0.45">
      <c r="B457" s="15" t="s">
        <v>34</v>
      </c>
      <c r="C457" s="70">
        <v>30</v>
      </c>
      <c r="D457" s="70">
        <v>18</v>
      </c>
    </row>
    <row r="458" spans="1:7" ht="15" customHeight="1" x14ac:dyDescent="0.45">
      <c r="B458" s="15" t="s">
        <v>98</v>
      </c>
      <c r="C458" s="77" t="s">
        <v>99</v>
      </c>
      <c r="D458" s="66">
        <v>0.25</v>
      </c>
    </row>
    <row r="459" spans="1:7" ht="15" customHeight="1" x14ac:dyDescent="0.45">
      <c r="B459" s="15" t="s">
        <v>31</v>
      </c>
      <c r="C459" s="65">
        <v>600</v>
      </c>
      <c r="D459" s="65">
        <v>250</v>
      </c>
    </row>
    <row r="460" spans="1:7" ht="15" customHeight="1" x14ac:dyDescent="0.45">
      <c r="B460" s="15" t="s">
        <v>21</v>
      </c>
      <c r="D460">
        <f>D457*(1+D458)*D459</f>
        <v>5625</v>
      </c>
    </row>
    <row r="461" spans="1:7" ht="15" customHeight="1" x14ac:dyDescent="0.45">
      <c r="B461" s="15" t="s">
        <v>104</v>
      </c>
      <c r="D461" s="66">
        <v>0</v>
      </c>
    </row>
    <row r="462" spans="1:7" ht="15" customHeight="1" x14ac:dyDescent="0.45">
      <c r="B462" s="15" t="s">
        <v>105</v>
      </c>
      <c r="D462" s="64">
        <f>1-D461</f>
        <v>1</v>
      </c>
    </row>
    <row r="463" spans="1:7" ht="15" customHeight="1" x14ac:dyDescent="0.45">
      <c r="B463" s="15" t="s">
        <v>108</v>
      </c>
      <c r="D463" s="66">
        <v>0.05</v>
      </c>
    </row>
    <row r="464" spans="1:7" ht="15" customHeight="1" x14ac:dyDescent="0.45">
      <c r="B464" s="15" t="s">
        <v>106</v>
      </c>
      <c r="D464" s="66">
        <v>0.3</v>
      </c>
    </row>
    <row r="465" spans="2:4" ht="15" customHeight="1" x14ac:dyDescent="0.45">
      <c r="B465" s="15" t="s">
        <v>107</v>
      </c>
      <c r="D465" s="66">
        <v>0.2</v>
      </c>
    </row>
    <row r="466" spans="2:4" ht="15" customHeight="1" x14ac:dyDescent="0.45">
      <c r="B466" s="15" t="s">
        <v>92</v>
      </c>
      <c r="D466" s="65">
        <v>50</v>
      </c>
    </row>
    <row r="467" spans="2:4" ht="15" customHeight="1" x14ac:dyDescent="0.45">
      <c r="B467" s="15" t="s">
        <v>109</v>
      </c>
      <c r="C467" s="70">
        <v>2.0699999999999998</v>
      </c>
      <c r="D467" s="70">
        <v>1.36</v>
      </c>
    </row>
    <row r="468" spans="2:4" ht="15" customHeight="1" x14ac:dyDescent="0.45">
      <c r="B468" s="15" t="s">
        <v>89</v>
      </c>
      <c r="C468">
        <f>C467*C459</f>
        <v>1242</v>
      </c>
      <c r="D468">
        <f>D467*D459</f>
        <v>340</v>
      </c>
    </row>
    <row r="470" spans="2:4" ht="15" customHeight="1" x14ac:dyDescent="0.45">
      <c r="C470" s="78" t="s">
        <v>220</v>
      </c>
      <c r="D470" s="78"/>
    </row>
    <row r="471" spans="2:4" ht="15" customHeight="1" x14ac:dyDescent="0.45">
      <c r="B471" s="15" t="s">
        <v>110</v>
      </c>
      <c r="C471">
        <f>C468+D468</f>
        <v>1582</v>
      </c>
    </row>
    <row r="472" spans="2:4" ht="15" customHeight="1" x14ac:dyDescent="0.45">
      <c r="B472" s="79" t="s">
        <v>111</v>
      </c>
      <c r="C472">
        <f>D466*(1-D464)</f>
        <v>35</v>
      </c>
    </row>
    <row r="473" spans="2:4" ht="15" customHeight="1" x14ac:dyDescent="0.45">
      <c r="B473" s="79" t="s">
        <v>118</v>
      </c>
      <c r="C473">
        <f>-D463*(1-D464)*D460*D462</f>
        <v>-196.87499999999997</v>
      </c>
    </row>
    <row r="474" spans="2:4" ht="15" customHeight="1" x14ac:dyDescent="0.45">
      <c r="B474" s="15" t="s">
        <v>112</v>
      </c>
      <c r="C474">
        <f>SUM(C471:C473)</f>
        <v>1420.125</v>
      </c>
    </row>
    <row r="476" spans="2:4" ht="15" customHeight="1" x14ac:dyDescent="0.45">
      <c r="B476" s="15" t="s">
        <v>113</v>
      </c>
      <c r="C476">
        <f>C459</f>
        <v>600</v>
      </c>
    </row>
    <row r="477" spans="2:4" ht="15" customHeight="1" x14ac:dyDescent="0.45">
      <c r="B477" s="15" t="s">
        <v>114</v>
      </c>
      <c r="C477">
        <f>D460*D461/C457</f>
        <v>0</v>
      </c>
    </row>
    <row r="478" spans="2:4" ht="15" customHeight="1" x14ac:dyDescent="0.45">
      <c r="B478" s="15" t="s">
        <v>115</v>
      </c>
      <c r="C478">
        <f>SUM(C476:C477)</f>
        <v>600</v>
      </c>
    </row>
    <row r="480" spans="2:4" ht="15" customHeight="1" x14ac:dyDescent="0.45">
      <c r="B480" s="15" t="s">
        <v>116</v>
      </c>
      <c r="C480" s="71">
        <f>C474/C478</f>
        <v>2.3668749999999998</v>
      </c>
    </row>
    <row r="481" spans="1:4" ht="15" customHeight="1" x14ac:dyDescent="0.45">
      <c r="B481" s="15" t="s">
        <v>117</v>
      </c>
      <c r="C481" s="64">
        <f>C480/C467-1</f>
        <v>0.14341787439613518</v>
      </c>
    </row>
    <row r="483" spans="1:4" ht="15" customHeight="1" x14ac:dyDescent="0.45">
      <c r="A483" s="14" t="s">
        <v>121</v>
      </c>
    </row>
    <row r="484" spans="1:4" ht="15" customHeight="1" x14ac:dyDescent="0.45">
      <c r="B484" s="15" t="s">
        <v>414</v>
      </c>
    </row>
    <row r="485" spans="1:4" ht="15" customHeight="1" x14ac:dyDescent="0.45">
      <c r="B485" s="15" t="s">
        <v>381</v>
      </c>
    </row>
    <row r="487" spans="1:4" ht="15" customHeight="1" x14ac:dyDescent="0.45">
      <c r="C487" s="78" t="s">
        <v>379</v>
      </c>
      <c r="D487" s="78" t="s">
        <v>380</v>
      </c>
    </row>
    <row r="488" spans="1:4" ht="15" customHeight="1" x14ac:dyDescent="0.45">
      <c r="B488" s="15" t="s">
        <v>34</v>
      </c>
      <c r="C488" s="70">
        <v>30</v>
      </c>
      <c r="D488" s="70">
        <v>18</v>
      </c>
    </row>
    <row r="489" spans="1:4" ht="15" customHeight="1" x14ac:dyDescent="0.45">
      <c r="B489" s="15" t="s">
        <v>98</v>
      </c>
      <c r="C489" s="77" t="s">
        <v>99</v>
      </c>
      <c r="D489" s="66">
        <v>0.25</v>
      </c>
    </row>
    <row r="490" spans="1:4" ht="15" customHeight="1" x14ac:dyDescent="0.45">
      <c r="B490" s="15" t="s">
        <v>31</v>
      </c>
      <c r="C490" s="65">
        <v>600</v>
      </c>
      <c r="D490" s="65">
        <v>250</v>
      </c>
    </row>
    <row r="491" spans="1:4" ht="15" customHeight="1" x14ac:dyDescent="0.45">
      <c r="B491" s="15" t="s">
        <v>21</v>
      </c>
      <c r="D491">
        <f>D488*(1+D489)*D490</f>
        <v>5625</v>
      </c>
    </row>
    <row r="492" spans="1:4" ht="15" customHeight="1" x14ac:dyDescent="0.45">
      <c r="B492" s="15" t="s">
        <v>104</v>
      </c>
      <c r="D492" s="66">
        <v>0.5</v>
      </c>
    </row>
    <row r="493" spans="1:4" ht="15" customHeight="1" x14ac:dyDescent="0.45">
      <c r="B493" s="15" t="s">
        <v>105</v>
      </c>
      <c r="D493" s="64">
        <f>1-D492</f>
        <v>0.5</v>
      </c>
    </row>
    <row r="494" spans="1:4" ht="15" customHeight="1" x14ac:dyDescent="0.45">
      <c r="B494" s="15" t="s">
        <v>108</v>
      </c>
      <c r="D494" s="66">
        <v>0.05</v>
      </c>
    </row>
    <row r="495" spans="1:4" ht="15" customHeight="1" x14ac:dyDescent="0.45">
      <c r="B495" s="15" t="s">
        <v>106</v>
      </c>
      <c r="D495" s="66">
        <v>0.3</v>
      </c>
    </row>
    <row r="496" spans="1:4" ht="15" customHeight="1" x14ac:dyDescent="0.45">
      <c r="B496" s="15" t="s">
        <v>107</v>
      </c>
      <c r="D496" s="66">
        <v>0.2</v>
      </c>
    </row>
    <row r="497" spans="2:4" ht="15" customHeight="1" x14ac:dyDescent="0.45">
      <c r="B497" s="15" t="s">
        <v>92</v>
      </c>
      <c r="D497" s="65">
        <v>50</v>
      </c>
    </row>
    <row r="498" spans="2:4" ht="15" customHeight="1" x14ac:dyDescent="0.45">
      <c r="B498" s="15" t="s">
        <v>109</v>
      </c>
      <c r="C498" s="70">
        <v>2.0699999999999998</v>
      </c>
      <c r="D498" s="70">
        <v>1.36</v>
      </c>
    </row>
    <row r="499" spans="2:4" ht="15" customHeight="1" x14ac:dyDescent="0.45">
      <c r="B499" s="15" t="s">
        <v>89</v>
      </c>
      <c r="C499">
        <f>C498*C490</f>
        <v>1242</v>
      </c>
      <c r="D499">
        <f>D498*D490</f>
        <v>340</v>
      </c>
    </row>
    <row r="501" spans="2:4" ht="15" customHeight="1" x14ac:dyDescent="0.45">
      <c r="C501" s="78" t="s">
        <v>220</v>
      </c>
      <c r="D501" s="78"/>
    </row>
    <row r="502" spans="2:4" ht="15" customHeight="1" x14ac:dyDescent="0.45">
      <c r="B502" s="15" t="s">
        <v>110</v>
      </c>
      <c r="C502">
        <f>C499+D499</f>
        <v>1582</v>
      </c>
    </row>
    <row r="503" spans="2:4" ht="15" customHeight="1" x14ac:dyDescent="0.45">
      <c r="B503" s="79" t="s">
        <v>111</v>
      </c>
      <c r="C503">
        <f>D497*(1-D495)</f>
        <v>35</v>
      </c>
    </row>
    <row r="504" spans="2:4" ht="15" customHeight="1" x14ac:dyDescent="0.45">
      <c r="B504" s="79" t="s">
        <v>118</v>
      </c>
      <c r="C504">
        <f>-D494*(1-D495)*D491*D493</f>
        <v>-98.437499999999986</v>
      </c>
    </row>
    <row r="505" spans="2:4" ht="15" customHeight="1" x14ac:dyDescent="0.45">
      <c r="B505" s="15" t="s">
        <v>112</v>
      </c>
      <c r="C505">
        <f>SUM(C502:C504)</f>
        <v>1518.5625</v>
      </c>
    </row>
    <row r="507" spans="2:4" ht="15" customHeight="1" x14ac:dyDescent="0.45">
      <c r="B507" s="15" t="s">
        <v>113</v>
      </c>
      <c r="C507">
        <f>C490</f>
        <v>600</v>
      </c>
    </row>
    <row r="508" spans="2:4" ht="15" customHeight="1" x14ac:dyDescent="0.45">
      <c r="B508" s="15" t="s">
        <v>114</v>
      </c>
      <c r="C508">
        <f>D491*D492/C488</f>
        <v>93.75</v>
      </c>
    </row>
    <row r="509" spans="2:4" ht="15" customHeight="1" x14ac:dyDescent="0.45">
      <c r="B509" s="15" t="s">
        <v>115</v>
      </c>
      <c r="C509">
        <f>SUM(C507:C508)</f>
        <v>693.75</v>
      </c>
    </row>
    <row r="511" spans="2:4" ht="15" customHeight="1" x14ac:dyDescent="0.45">
      <c r="B511" s="15" t="s">
        <v>116</v>
      </c>
      <c r="C511" s="71">
        <f>C505/C509</f>
        <v>2.1889189189189189</v>
      </c>
    </row>
    <row r="512" spans="2:4" ht="15" customHeight="1" x14ac:dyDescent="0.45">
      <c r="B512" s="15" t="s">
        <v>117</v>
      </c>
      <c r="C512" s="64">
        <f>C511/C498-1</f>
        <v>5.7448753100927119E-2</v>
      </c>
    </row>
    <row r="514" spans="1:3" ht="15" customHeight="1" x14ac:dyDescent="0.45">
      <c r="A514" s="14" t="s">
        <v>133</v>
      </c>
    </row>
    <row r="515" spans="1:3" ht="15" customHeight="1" x14ac:dyDescent="0.45">
      <c r="B515" s="15" t="s">
        <v>382</v>
      </c>
    </row>
    <row r="516" spans="1:3" ht="15" customHeight="1" x14ac:dyDescent="0.45">
      <c r="B516" s="15" t="s">
        <v>264</v>
      </c>
    </row>
    <row r="517" spans="1:3" ht="15" customHeight="1" x14ac:dyDescent="0.45">
      <c r="B517" s="15" t="s">
        <v>122</v>
      </c>
    </row>
    <row r="518" spans="1:3" ht="15" customHeight="1" x14ac:dyDescent="0.45">
      <c r="B518" s="15" t="s">
        <v>123</v>
      </c>
    </row>
    <row r="519" spans="1:3" ht="15" customHeight="1" x14ac:dyDescent="0.45">
      <c r="B519" s="15" t="s">
        <v>124</v>
      </c>
    </row>
    <row r="521" spans="1:3" ht="15" customHeight="1" x14ac:dyDescent="0.45">
      <c r="B521" s="15" t="s">
        <v>126</v>
      </c>
      <c r="C521">
        <f>C488/C498</f>
        <v>14.492753623188406</v>
      </c>
    </row>
    <row r="522" spans="1:3" ht="15" customHeight="1" x14ac:dyDescent="0.45">
      <c r="B522" s="15" t="s">
        <v>125</v>
      </c>
      <c r="C522">
        <f>1/(D494*(1-D495))</f>
        <v>28.571428571428573</v>
      </c>
    </row>
    <row r="523" spans="1:3" ht="15" customHeight="1" x14ac:dyDescent="0.45">
      <c r="B523" s="15" t="s">
        <v>127</v>
      </c>
      <c r="C523">
        <f>D488*(1+D489)/D498</f>
        <v>16.544117647058822</v>
      </c>
    </row>
    <row r="525" spans="1:3" ht="15" customHeight="1" x14ac:dyDescent="0.45">
      <c r="B525" s="15" t="s">
        <v>131</v>
      </c>
    </row>
    <row r="526" spans="1:3" ht="15" customHeight="1" x14ac:dyDescent="0.45">
      <c r="B526" s="15" t="s">
        <v>132</v>
      </c>
    </row>
    <row r="528" spans="1:3" ht="15" customHeight="1" x14ac:dyDescent="0.45">
      <c r="A528" s="14" t="s">
        <v>138</v>
      </c>
    </row>
    <row r="529" spans="1:4" ht="15" customHeight="1" x14ac:dyDescent="0.45">
      <c r="B529" s="15" t="s">
        <v>128</v>
      </c>
    </row>
    <row r="530" spans="1:4" ht="15" customHeight="1" x14ac:dyDescent="0.45">
      <c r="B530" s="15" t="s">
        <v>124</v>
      </c>
    </row>
    <row r="532" spans="1:4" ht="15" customHeight="1" x14ac:dyDescent="0.45">
      <c r="B532" s="15" t="s">
        <v>126</v>
      </c>
      <c r="C532">
        <f>40/C498</f>
        <v>19.323671497584542</v>
      </c>
    </row>
    <row r="533" spans="1:4" ht="15" customHeight="1" x14ac:dyDescent="0.45">
      <c r="B533" s="15" t="s">
        <v>125</v>
      </c>
      <c r="C533">
        <f>C522</f>
        <v>28.571428571428573</v>
      </c>
    </row>
    <row r="534" spans="1:4" ht="15" customHeight="1" x14ac:dyDescent="0.45">
      <c r="B534" s="15" t="s">
        <v>127</v>
      </c>
      <c r="C534">
        <f>C523</f>
        <v>16.544117647058822</v>
      </c>
    </row>
    <row r="536" spans="1:4" ht="15" customHeight="1" x14ac:dyDescent="0.45">
      <c r="B536" s="15" t="s">
        <v>130</v>
      </c>
    </row>
    <row r="537" spans="1:4" ht="15" customHeight="1" x14ac:dyDescent="0.45">
      <c r="B537" s="15" t="s">
        <v>129</v>
      </c>
    </row>
    <row r="539" spans="1:4" ht="15" customHeight="1" x14ac:dyDescent="0.45">
      <c r="A539" s="14" t="s">
        <v>148</v>
      </c>
    </row>
    <row r="540" spans="1:4" ht="15" customHeight="1" x14ac:dyDescent="0.45">
      <c r="B540" s="15" t="s">
        <v>413</v>
      </c>
    </row>
    <row r="541" spans="1:4" ht="15" customHeight="1" x14ac:dyDescent="0.45">
      <c r="B541" s="15" t="s">
        <v>267</v>
      </c>
    </row>
    <row r="543" spans="1:4" ht="15" customHeight="1" x14ac:dyDescent="0.45">
      <c r="C543" s="78" t="s">
        <v>383</v>
      </c>
      <c r="D543" s="78" t="s">
        <v>384</v>
      </c>
    </row>
    <row r="544" spans="1:4" ht="15" customHeight="1" x14ac:dyDescent="0.45">
      <c r="B544" s="15" t="s">
        <v>34</v>
      </c>
      <c r="C544" s="70">
        <v>56</v>
      </c>
      <c r="D544" s="70">
        <v>133</v>
      </c>
    </row>
    <row r="545" spans="2:4" ht="15" customHeight="1" x14ac:dyDescent="0.45">
      <c r="B545" s="15" t="s">
        <v>98</v>
      </c>
      <c r="C545" s="77" t="s">
        <v>99</v>
      </c>
      <c r="D545" s="66">
        <v>0.35</v>
      </c>
    </row>
    <row r="546" spans="2:4" ht="15" customHeight="1" x14ac:dyDescent="0.45">
      <c r="B546" s="15" t="s">
        <v>134</v>
      </c>
      <c r="C546" s="77"/>
      <c r="D546" s="71">
        <f>D544*(1+D545)</f>
        <v>179.55</v>
      </c>
    </row>
    <row r="547" spans="2:4" ht="15" customHeight="1" x14ac:dyDescent="0.45">
      <c r="B547" s="15" t="s">
        <v>31</v>
      </c>
      <c r="C547" s="65">
        <v>1456</v>
      </c>
      <c r="D547" s="65">
        <v>260</v>
      </c>
    </row>
    <row r="548" spans="2:4" ht="15" customHeight="1" x14ac:dyDescent="0.45">
      <c r="B548" s="15" t="s">
        <v>21</v>
      </c>
      <c r="D548">
        <f>D544*(1+D545)*D547</f>
        <v>46683</v>
      </c>
    </row>
    <row r="549" spans="2:4" ht="15" customHeight="1" x14ac:dyDescent="0.45">
      <c r="B549" s="15" t="s">
        <v>104</v>
      </c>
      <c r="D549" s="66">
        <v>0.5</v>
      </c>
    </row>
    <row r="550" spans="2:4" ht="15" customHeight="1" x14ac:dyDescent="0.45">
      <c r="B550" s="15" t="s">
        <v>105</v>
      </c>
      <c r="D550" s="64">
        <f>1-D549</f>
        <v>0.5</v>
      </c>
    </row>
    <row r="551" spans="2:4" ht="15" customHeight="1" x14ac:dyDescent="0.45">
      <c r="B551" s="15" t="s">
        <v>108</v>
      </c>
      <c r="D551" s="66">
        <v>0.05</v>
      </c>
    </row>
    <row r="552" spans="2:4" ht="15" customHeight="1" x14ac:dyDescent="0.45">
      <c r="B552" s="15" t="s">
        <v>106</v>
      </c>
      <c r="D552" s="66">
        <v>0.3</v>
      </c>
    </row>
    <row r="553" spans="2:4" ht="15" customHeight="1" x14ac:dyDescent="0.45">
      <c r="B553" s="15" t="s">
        <v>107</v>
      </c>
      <c r="D553" s="66">
        <v>0.2</v>
      </c>
    </row>
    <row r="554" spans="2:4" ht="15" customHeight="1" x14ac:dyDescent="0.45">
      <c r="B554" s="15" t="s">
        <v>109</v>
      </c>
      <c r="C554" s="70">
        <v>12.56</v>
      </c>
      <c r="D554" s="70">
        <v>20.5</v>
      </c>
    </row>
    <row r="555" spans="2:4" ht="15" customHeight="1" x14ac:dyDescent="0.45">
      <c r="B555" s="15" t="s">
        <v>89</v>
      </c>
      <c r="C555">
        <f>C554*C547</f>
        <v>18287.36</v>
      </c>
      <c r="D555">
        <f>D554*D547</f>
        <v>5330</v>
      </c>
    </row>
    <row r="557" spans="2:4" ht="15" customHeight="1" x14ac:dyDescent="0.45">
      <c r="C557" s="78" t="s">
        <v>220</v>
      </c>
      <c r="D557" s="78"/>
    </row>
    <row r="558" spans="2:4" ht="15" customHeight="1" x14ac:dyDescent="0.45">
      <c r="B558" s="15" t="s">
        <v>110</v>
      </c>
      <c r="C558">
        <f>C555+D555</f>
        <v>23617.360000000001</v>
      </c>
    </row>
    <row r="559" spans="2:4" ht="15" customHeight="1" x14ac:dyDescent="0.45">
      <c r="B559" s="79" t="s">
        <v>118</v>
      </c>
      <c r="C559">
        <f>-D551*(1-D552)*D548*D550</f>
        <v>-816.95249999999987</v>
      </c>
    </row>
    <row r="560" spans="2:4" ht="15" customHeight="1" x14ac:dyDescent="0.45">
      <c r="B560" s="15" t="s">
        <v>112</v>
      </c>
      <c r="C560">
        <f>SUM(C558:C559)</f>
        <v>22800.407500000001</v>
      </c>
    </row>
    <row r="562" spans="1:3" ht="15" customHeight="1" x14ac:dyDescent="0.45">
      <c r="B562" s="15" t="s">
        <v>113</v>
      </c>
      <c r="C562">
        <f>C547</f>
        <v>1456</v>
      </c>
    </row>
    <row r="563" spans="1:3" ht="15" customHeight="1" x14ac:dyDescent="0.45">
      <c r="B563" s="15" t="s">
        <v>114</v>
      </c>
      <c r="C563">
        <f>D548*D549/C544</f>
        <v>416.8125</v>
      </c>
    </row>
    <row r="564" spans="1:3" ht="15" customHeight="1" x14ac:dyDescent="0.45">
      <c r="B564" s="15" t="s">
        <v>115</v>
      </c>
      <c r="C564">
        <f>SUM(C562:C563)</f>
        <v>1872.8125</v>
      </c>
    </row>
    <row r="566" spans="1:3" ht="15" customHeight="1" x14ac:dyDescent="0.45">
      <c r="B566" s="15" t="s">
        <v>116</v>
      </c>
      <c r="C566" s="71">
        <f>C560/C564</f>
        <v>12.174420824295012</v>
      </c>
    </row>
    <row r="567" spans="1:3" ht="15" customHeight="1" x14ac:dyDescent="0.45">
      <c r="B567" s="15" t="s">
        <v>117</v>
      </c>
      <c r="C567" s="64">
        <f>C566/C554-1</f>
        <v>-3.0698978957403478E-2</v>
      </c>
    </row>
    <row r="569" spans="1:3" ht="15" customHeight="1" x14ac:dyDescent="0.45">
      <c r="B569" s="15" t="str">
        <f>B566</f>
        <v>Proforma EPS</v>
      </c>
      <c r="C569" s="71">
        <f>C566</f>
        <v>12.174420824295012</v>
      </c>
    </row>
    <row r="570" spans="1:3" ht="15" customHeight="1" x14ac:dyDescent="0.45">
      <c r="B570" s="15" t="s">
        <v>135</v>
      </c>
      <c r="C570" s="71">
        <f>C554</f>
        <v>12.56</v>
      </c>
    </row>
    <row r="571" spans="1:3" ht="15" customHeight="1" x14ac:dyDescent="0.45">
      <c r="B571" s="15" t="s">
        <v>136</v>
      </c>
      <c r="C571" s="71">
        <f>MAX(C570-C569,0)</f>
        <v>0.38557917570498823</v>
      </c>
    </row>
    <row r="572" spans="1:3" ht="15" customHeight="1" x14ac:dyDescent="0.45">
      <c r="B572" s="15" t="s">
        <v>137</v>
      </c>
      <c r="C572">
        <f>C571*C564</f>
        <v>722.11749999999824</v>
      </c>
    </row>
    <row r="573" spans="1:3" ht="15" customHeight="1" x14ac:dyDescent="0.45">
      <c r="B573" s="15" t="s">
        <v>140</v>
      </c>
      <c r="C573">
        <f>C572/(1-D552)</f>
        <v>1031.596428571426</v>
      </c>
    </row>
    <row r="574" spans="1:3" ht="15" customHeight="1" x14ac:dyDescent="0.45">
      <c r="B574" s="15" t="s">
        <v>139</v>
      </c>
      <c r="C574">
        <f>MAX((C570-C569)*C564/(1-D552),0)</f>
        <v>1031.596428571426</v>
      </c>
    </row>
    <row r="576" spans="1:3" ht="15" customHeight="1" x14ac:dyDescent="0.45">
      <c r="A576" s="14" t="s">
        <v>149</v>
      </c>
    </row>
    <row r="577" spans="2:4" ht="15" customHeight="1" x14ac:dyDescent="0.45">
      <c r="B577" s="15" t="s">
        <v>415</v>
      </c>
    </row>
    <row r="578" spans="2:4" ht="15" customHeight="1" x14ac:dyDescent="0.45">
      <c r="B578" s="15" t="s">
        <v>267</v>
      </c>
    </row>
    <row r="580" spans="2:4" ht="15" customHeight="1" x14ac:dyDescent="0.45">
      <c r="C580" s="78" t="s">
        <v>385</v>
      </c>
      <c r="D580" s="78" t="s">
        <v>386</v>
      </c>
    </row>
    <row r="581" spans="2:4" ht="15" customHeight="1" x14ac:dyDescent="0.45">
      <c r="B581" s="15" t="s">
        <v>34</v>
      </c>
      <c r="C581" s="70">
        <v>12.2</v>
      </c>
      <c r="D581" s="70">
        <v>6.3</v>
      </c>
    </row>
    <row r="582" spans="2:4" ht="15" customHeight="1" x14ac:dyDescent="0.45">
      <c r="B582" s="15" t="s">
        <v>98</v>
      </c>
      <c r="C582" s="77" t="s">
        <v>99</v>
      </c>
      <c r="D582" s="66">
        <v>0.3</v>
      </c>
    </row>
    <row r="583" spans="2:4" ht="15" customHeight="1" x14ac:dyDescent="0.45">
      <c r="B583" s="15" t="s">
        <v>134</v>
      </c>
      <c r="C583" s="77"/>
      <c r="D583" s="71">
        <f>D581*(1+D582)</f>
        <v>8.19</v>
      </c>
    </row>
    <row r="584" spans="2:4" ht="15" customHeight="1" x14ac:dyDescent="0.45">
      <c r="B584" s="15" t="s">
        <v>31</v>
      </c>
      <c r="C584" s="65">
        <v>1456</v>
      </c>
      <c r="D584" s="65">
        <v>260</v>
      </c>
    </row>
    <row r="585" spans="2:4" ht="15" customHeight="1" x14ac:dyDescent="0.45">
      <c r="B585" s="15" t="s">
        <v>21</v>
      </c>
      <c r="D585">
        <f>D581*(1+D582)*D584</f>
        <v>2129.4</v>
      </c>
    </row>
    <row r="586" spans="2:4" ht="15" customHeight="1" x14ac:dyDescent="0.45">
      <c r="B586" s="15" t="s">
        <v>104</v>
      </c>
      <c r="D586" s="66">
        <v>0.7</v>
      </c>
    </row>
    <row r="587" spans="2:4" ht="15" customHeight="1" x14ac:dyDescent="0.45">
      <c r="B587" s="15" t="s">
        <v>105</v>
      </c>
      <c r="D587" s="64">
        <f>1-D586</f>
        <v>0.30000000000000004</v>
      </c>
    </row>
    <row r="588" spans="2:4" ht="15" customHeight="1" x14ac:dyDescent="0.45">
      <c r="B588" s="15" t="s">
        <v>108</v>
      </c>
      <c r="D588" s="66">
        <v>7.0000000000000007E-2</v>
      </c>
    </row>
    <row r="589" spans="2:4" ht="15" customHeight="1" x14ac:dyDescent="0.45">
      <c r="B589" s="15" t="s">
        <v>106</v>
      </c>
      <c r="D589" s="66">
        <v>0.26</v>
      </c>
    </row>
    <row r="590" spans="2:4" ht="15" customHeight="1" x14ac:dyDescent="0.45">
      <c r="B590" s="15" t="s">
        <v>109</v>
      </c>
      <c r="C590" s="70">
        <v>1.34</v>
      </c>
      <c r="D590" s="70">
        <v>0.62</v>
      </c>
    </row>
    <row r="591" spans="2:4" ht="15" customHeight="1" x14ac:dyDescent="0.45">
      <c r="B591" s="15" t="s">
        <v>89</v>
      </c>
      <c r="C591">
        <f>C590*C584</f>
        <v>1951.0400000000002</v>
      </c>
      <c r="D591">
        <f>D590*D584</f>
        <v>161.19999999999999</v>
      </c>
    </row>
    <row r="592" spans="2:4" ht="15" customHeight="1" x14ac:dyDescent="0.45">
      <c r="C592" s="80"/>
      <c r="D592" s="80"/>
    </row>
    <row r="593" spans="1:4" ht="15" customHeight="1" x14ac:dyDescent="0.45">
      <c r="C593" s="78" t="s">
        <v>220</v>
      </c>
      <c r="D593" s="78"/>
    </row>
    <row r="594" spans="1:4" ht="15" customHeight="1" x14ac:dyDescent="0.45">
      <c r="B594" s="15" t="s">
        <v>110</v>
      </c>
      <c r="C594">
        <f>C591+D591</f>
        <v>2112.2400000000002</v>
      </c>
    </row>
    <row r="595" spans="1:4" ht="15" customHeight="1" x14ac:dyDescent="0.45">
      <c r="B595" s="79" t="s">
        <v>118</v>
      </c>
      <c r="C595">
        <f>-D588*(1-D589)*D585*D587</f>
        <v>-33.090876000000009</v>
      </c>
    </row>
    <row r="596" spans="1:4" ht="15" customHeight="1" x14ac:dyDescent="0.45">
      <c r="B596" s="15" t="s">
        <v>112</v>
      </c>
      <c r="C596">
        <f>SUM(C594:C595)</f>
        <v>2079.149124</v>
      </c>
    </row>
    <row r="598" spans="1:4" ht="15" customHeight="1" x14ac:dyDescent="0.45">
      <c r="B598" s="15" t="s">
        <v>113</v>
      </c>
      <c r="C598">
        <f>C584</f>
        <v>1456</v>
      </c>
    </row>
    <row r="599" spans="1:4" ht="15" customHeight="1" x14ac:dyDescent="0.45">
      <c r="B599" s="15" t="s">
        <v>114</v>
      </c>
      <c r="C599">
        <f>D585*D586/C581</f>
        <v>122.17868852459017</v>
      </c>
    </row>
    <row r="600" spans="1:4" ht="15" customHeight="1" x14ac:dyDescent="0.45">
      <c r="B600" s="15" t="s">
        <v>115</v>
      </c>
      <c r="C600">
        <f>SUM(C598:C599)</f>
        <v>1578.1786885245901</v>
      </c>
    </row>
    <row r="602" spans="1:4" ht="15" customHeight="1" x14ac:dyDescent="0.45">
      <c r="B602" s="15" t="s">
        <v>116</v>
      </c>
      <c r="C602" s="71">
        <f>C596/C600</f>
        <v>1.317435813268875</v>
      </c>
    </row>
    <row r="603" spans="1:4" ht="15" customHeight="1" x14ac:dyDescent="0.45">
      <c r="B603" s="15" t="s">
        <v>263</v>
      </c>
      <c r="C603" s="64">
        <f>C602/C590-1</f>
        <v>-1.6838945321735133E-2</v>
      </c>
    </row>
    <row r="605" spans="1:4" ht="15" customHeight="1" x14ac:dyDescent="0.45">
      <c r="B605" s="15" t="s">
        <v>139</v>
      </c>
      <c r="C605">
        <f>MAX((C590-C602)*C600/(1-D589),0)</f>
        <v>48.122052193176842</v>
      </c>
    </row>
    <row r="607" spans="1:4" ht="15" customHeight="1" x14ac:dyDescent="0.45">
      <c r="A607" s="14" t="s">
        <v>172</v>
      </c>
    </row>
    <row r="608" spans="1:4" ht="15" customHeight="1" x14ac:dyDescent="0.45">
      <c r="B608" s="15" t="s">
        <v>416</v>
      </c>
    </row>
    <row r="609" spans="2:4" ht="15" customHeight="1" x14ac:dyDescent="0.45">
      <c r="B609" s="15" t="s">
        <v>144</v>
      </c>
    </row>
    <row r="610" spans="2:4" ht="15" customHeight="1" x14ac:dyDescent="0.45">
      <c r="B610" s="15" t="s">
        <v>389</v>
      </c>
    </row>
    <row r="612" spans="2:4" ht="15" customHeight="1" x14ac:dyDescent="0.45">
      <c r="C612" s="78" t="s">
        <v>387</v>
      </c>
      <c r="D612" s="78" t="s">
        <v>388</v>
      </c>
    </row>
    <row r="613" spans="2:4" ht="15" customHeight="1" x14ac:dyDescent="0.45">
      <c r="B613" s="15" t="s">
        <v>84</v>
      </c>
      <c r="C613" s="65">
        <v>1000</v>
      </c>
      <c r="D613" s="65">
        <v>500</v>
      </c>
    </row>
    <row r="614" spans="2:4" ht="15" customHeight="1" x14ac:dyDescent="0.45">
      <c r="B614" s="15" t="s">
        <v>142</v>
      </c>
      <c r="C614" s="65">
        <v>600</v>
      </c>
      <c r="D614" s="65">
        <v>250</v>
      </c>
    </row>
    <row r="615" spans="2:4" ht="15" customHeight="1" x14ac:dyDescent="0.45">
      <c r="B615" s="15" t="s">
        <v>86</v>
      </c>
      <c r="C615">
        <f>C613-C614</f>
        <v>400</v>
      </c>
      <c r="D615">
        <f>D613-D614</f>
        <v>250</v>
      </c>
    </row>
    <row r="616" spans="2:4" ht="15" customHeight="1" x14ac:dyDescent="0.45">
      <c r="B616" s="15" t="s">
        <v>143</v>
      </c>
      <c r="C616" s="65">
        <v>150</v>
      </c>
      <c r="D616" s="65">
        <v>84</v>
      </c>
    </row>
    <row r="617" spans="2:4" ht="15" customHeight="1" x14ac:dyDescent="0.45">
      <c r="B617" s="15" t="s">
        <v>85</v>
      </c>
      <c r="C617">
        <f>C616+C615</f>
        <v>550</v>
      </c>
      <c r="D617">
        <f>D616+D615</f>
        <v>334</v>
      </c>
    </row>
    <row r="618" spans="2:4" ht="15" customHeight="1" x14ac:dyDescent="0.45">
      <c r="B618" s="15" t="s">
        <v>145</v>
      </c>
      <c r="D618" s="65">
        <v>120</v>
      </c>
    </row>
    <row r="619" spans="2:4" ht="15" customHeight="1" x14ac:dyDescent="0.45">
      <c r="B619" s="15" t="s">
        <v>91</v>
      </c>
      <c r="D619" s="65">
        <v>1100</v>
      </c>
    </row>
    <row r="620" spans="2:4" ht="15" customHeight="1" x14ac:dyDescent="0.45">
      <c r="B620" s="15" t="s">
        <v>104</v>
      </c>
      <c r="D620" s="73">
        <v>0</v>
      </c>
    </row>
    <row r="621" spans="2:4" ht="15" customHeight="1" x14ac:dyDescent="0.45">
      <c r="B621" s="15" t="s">
        <v>105</v>
      </c>
      <c r="D621" s="64">
        <f>1-D620</f>
        <v>1</v>
      </c>
    </row>
    <row r="622" spans="2:4" ht="15" customHeight="1" x14ac:dyDescent="0.45">
      <c r="B622" s="15" t="s">
        <v>146</v>
      </c>
      <c r="C622" s="65">
        <v>1100</v>
      </c>
      <c r="D622" s="65">
        <v>210</v>
      </c>
    </row>
    <row r="623" spans="2:4" ht="15" customHeight="1" x14ac:dyDescent="0.45">
      <c r="B623" s="15" t="s">
        <v>147</v>
      </c>
      <c r="C623" s="65">
        <v>143</v>
      </c>
      <c r="D623" s="65">
        <v>42</v>
      </c>
    </row>
    <row r="624" spans="2:4" ht="15" customHeight="1" x14ac:dyDescent="0.45">
      <c r="B624" s="15" t="s">
        <v>32</v>
      </c>
      <c r="C624">
        <f>C622-C623</f>
        <v>957</v>
      </c>
      <c r="D624">
        <f>D622-D623</f>
        <v>168</v>
      </c>
    </row>
    <row r="626" spans="1:3" ht="15" customHeight="1" x14ac:dyDescent="0.45">
      <c r="B626" s="15" t="s">
        <v>432</v>
      </c>
      <c r="C626">
        <f>D619*D621</f>
        <v>1100</v>
      </c>
    </row>
    <row r="627" spans="1:3" ht="15" customHeight="1" x14ac:dyDescent="0.45">
      <c r="B627" s="15" t="s">
        <v>433</v>
      </c>
      <c r="C627">
        <f>+C624+D624+C626</f>
        <v>2225</v>
      </c>
    </row>
    <row r="628" spans="1:3" ht="15" customHeight="1" x14ac:dyDescent="0.45">
      <c r="B628" s="15" t="s">
        <v>150</v>
      </c>
      <c r="C628">
        <f>D618+C617+D617</f>
        <v>1004</v>
      </c>
    </row>
    <row r="629" spans="1:3" ht="15" customHeight="1" x14ac:dyDescent="0.45">
      <c r="B629" s="15" t="s">
        <v>434</v>
      </c>
      <c r="C629" s="68">
        <f>C627/C628</f>
        <v>2.2161354581673307</v>
      </c>
    </row>
    <row r="631" spans="1:3" ht="15" customHeight="1" x14ac:dyDescent="0.45">
      <c r="A631" s="14" t="s">
        <v>184</v>
      </c>
    </row>
    <row r="632" spans="1:3" ht="15" customHeight="1" x14ac:dyDescent="0.45">
      <c r="B632" s="15" t="s">
        <v>390</v>
      </c>
    </row>
    <row r="634" spans="1:3" ht="15" customHeight="1" x14ac:dyDescent="0.45">
      <c r="B634" s="15" t="s">
        <v>391</v>
      </c>
    </row>
    <row r="636" spans="1:3" ht="15" customHeight="1" x14ac:dyDescent="0.45">
      <c r="A636" s="14" t="s">
        <v>195</v>
      </c>
    </row>
    <row r="637" spans="1:3" ht="15" customHeight="1" x14ac:dyDescent="0.45">
      <c r="B637" s="15" t="s">
        <v>417</v>
      </c>
    </row>
    <row r="638" spans="1:3" ht="15" customHeight="1" x14ac:dyDescent="0.45">
      <c r="B638" s="15" t="s">
        <v>394</v>
      </c>
    </row>
    <row r="639" spans="1:3" ht="15" customHeight="1" x14ac:dyDescent="0.45">
      <c r="B639" s="15" t="s">
        <v>418</v>
      </c>
    </row>
    <row r="641" spans="2:4" ht="15" customHeight="1" x14ac:dyDescent="0.45">
      <c r="C641" s="78" t="s">
        <v>392</v>
      </c>
      <c r="D641" s="78" t="s">
        <v>393</v>
      </c>
    </row>
    <row r="642" spans="2:4" ht="15" customHeight="1" x14ac:dyDescent="0.45">
      <c r="B642" s="15" t="s">
        <v>84</v>
      </c>
      <c r="C642" s="65">
        <v>1000</v>
      </c>
      <c r="D642" s="65">
        <v>500</v>
      </c>
    </row>
    <row r="643" spans="2:4" ht="15" customHeight="1" x14ac:dyDescent="0.45">
      <c r="B643" s="15" t="s">
        <v>142</v>
      </c>
      <c r="C643" s="65">
        <v>600</v>
      </c>
      <c r="D643" s="65">
        <v>250</v>
      </c>
    </row>
    <row r="644" spans="2:4" ht="15" customHeight="1" x14ac:dyDescent="0.45">
      <c r="B644" s="15" t="s">
        <v>86</v>
      </c>
      <c r="C644">
        <f>C642-C643</f>
        <v>400</v>
      </c>
      <c r="D644">
        <f>D642-D643</f>
        <v>250</v>
      </c>
    </row>
    <row r="645" spans="2:4" ht="15" customHeight="1" x14ac:dyDescent="0.45">
      <c r="B645" s="15" t="s">
        <v>143</v>
      </c>
      <c r="C645" s="65">
        <v>150</v>
      </c>
      <c r="D645" s="65">
        <v>84</v>
      </c>
    </row>
    <row r="646" spans="2:4" ht="15" customHeight="1" x14ac:dyDescent="0.45">
      <c r="B646" s="15" t="s">
        <v>85</v>
      </c>
      <c r="C646">
        <f>C645+C644</f>
        <v>550</v>
      </c>
      <c r="D646">
        <f>D645+D644</f>
        <v>334</v>
      </c>
    </row>
    <row r="647" spans="2:4" ht="15" customHeight="1" x14ac:dyDescent="0.45">
      <c r="B647" s="15" t="s">
        <v>145</v>
      </c>
      <c r="D647" s="65">
        <v>120</v>
      </c>
    </row>
    <row r="648" spans="2:4" ht="15" customHeight="1" x14ac:dyDescent="0.45">
      <c r="B648" s="15" t="s">
        <v>91</v>
      </c>
      <c r="D648" s="65">
        <v>1100</v>
      </c>
    </row>
    <row r="649" spans="2:4" ht="15" customHeight="1" x14ac:dyDescent="0.45">
      <c r="B649" s="15" t="s">
        <v>104</v>
      </c>
      <c r="D649" s="73">
        <v>0</v>
      </c>
    </row>
    <row r="650" spans="2:4" ht="15" customHeight="1" x14ac:dyDescent="0.45">
      <c r="B650" s="15" t="s">
        <v>105</v>
      </c>
      <c r="D650" s="64">
        <f>1-D649</f>
        <v>1</v>
      </c>
    </row>
    <row r="651" spans="2:4" ht="15" customHeight="1" x14ac:dyDescent="0.45">
      <c r="B651" s="15" t="s">
        <v>146</v>
      </c>
      <c r="C651" s="65">
        <v>1100</v>
      </c>
      <c r="D651" s="65">
        <v>210</v>
      </c>
    </row>
    <row r="652" spans="2:4" ht="15" customHeight="1" x14ac:dyDescent="0.45">
      <c r="B652" s="15" t="s">
        <v>147</v>
      </c>
      <c r="C652" s="65">
        <v>143</v>
      </c>
      <c r="D652" s="65">
        <v>42</v>
      </c>
    </row>
    <row r="653" spans="2:4" ht="15" customHeight="1" x14ac:dyDescent="0.45">
      <c r="B653" s="15" t="s">
        <v>32</v>
      </c>
      <c r="C653">
        <f>C651-C652</f>
        <v>957</v>
      </c>
      <c r="D653">
        <f>D651-D652</f>
        <v>168</v>
      </c>
    </row>
    <row r="655" spans="2:4" ht="15" customHeight="1" x14ac:dyDescent="0.45">
      <c r="B655" s="15" t="s">
        <v>150</v>
      </c>
      <c r="C655">
        <f>C646+D646+D647</f>
        <v>1004</v>
      </c>
    </row>
    <row r="656" spans="2:4" ht="15" customHeight="1" x14ac:dyDescent="0.45">
      <c r="B656" s="15" t="s">
        <v>151</v>
      </c>
      <c r="C656" s="69">
        <v>3</v>
      </c>
    </row>
    <row r="657" spans="1:5" ht="15" customHeight="1" x14ac:dyDescent="0.45">
      <c r="B657" s="15" t="s">
        <v>429</v>
      </c>
      <c r="C657">
        <f>C656*C655</f>
        <v>3012</v>
      </c>
    </row>
    <row r="658" spans="1:5" ht="15" customHeight="1" x14ac:dyDescent="0.45">
      <c r="B658" s="15" t="s">
        <v>395</v>
      </c>
      <c r="C658">
        <f>C651</f>
        <v>1100</v>
      </c>
    </row>
    <row r="659" spans="1:5" ht="15" customHeight="1" x14ac:dyDescent="0.45">
      <c r="B659" s="15" t="s">
        <v>396</v>
      </c>
      <c r="C659">
        <f>D651</f>
        <v>210</v>
      </c>
    </row>
    <row r="660" spans="1:5" ht="15" customHeight="1" x14ac:dyDescent="0.45">
      <c r="B660" s="15" t="s">
        <v>152</v>
      </c>
      <c r="C660">
        <f>C657-SUM(C658:C659)</f>
        <v>1702</v>
      </c>
    </row>
    <row r="662" spans="1:5" ht="15" customHeight="1" x14ac:dyDescent="0.45">
      <c r="A662" s="14" t="s">
        <v>210</v>
      </c>
    </row>
    <row r="663" spans="1:5" ht="15" customHeight="1" x14ac:dyDescent="0.45">
      <c r="B663" s="15" t="s">
        <v>153</v>
      </c>
      <c r="E663" s="15"/>
    </row>
    <row r="664" spans="1:5" ht="15" customHeight="1" x14ac:dyDescent="0.45">
      <c r="B664" s="15" t="s">
        <v>419</v>
      </c>
    </row>
    <row r="665" spans="1:5" ht="15" customHeight="1" x14ac:dyDescent="0.45">
      <c r="B665" s="15" t="s">
        <v>420</v>
      </c>
    </row>
    <row r="666" spans="1:5" ht="15" customHeight="1" x14ac:dyDescent="0.45">
      <c r="B666" s="15" t="s">
        <v>421</v>
      </c>
    </row>
    <row r="667" spans="1:5" ht="15" customHeight="1" x14ac:dyDescent="0.45">
      <c r="B667" s="15" t="s">
        <v>169</v>
      </c>
    </row>
    <row r="670" spans="1:5" ht="15" customHeight="1" x14ac:dyDescent="0.45">
      <c r="B670" s="15" t="s">
        <v>154</v>
      </c>
      <c r="C670" s="65">
        <v>956.62049999999999</v>
      </c>
    </row>
    <row r="671" spans="1:5" ht="15" customHeight="1" x14ac:dyDescent="0.45">
      <c r="B671" s="15" t="s">
        <v>155</v>
      </c>
      <c r="C671" s="65">
        <v>938.69870000000003</v>
      </c>
    </row>
    <row r="672" spans="1:5" ht="15" customHeight="1" x14ac:dyDescent="0.45">
      <c r="B672" s="15" t="s">
        <v>156</v>
      </c>
      <c r="C672" s="65">
        <v>200</v>
      </c>
    </row>
    <row r="673" spans="2:3" ht="15" customHeight="1" x14ac:dyDescent="0.45">
      <c r="B673" s="15" t="s">
        <v>157</v>
      </c>
      <c r="C673" s="70">
        <v>67.36</v>
      </c>
    </row>
    <row r="674" spans="2:3" ht="15" customHeight="1" x14ac:dyDescent="0.45">
      <c r="B674" s="15" t="s">
        <v>158</v>
      </c>
      <c r="C674" s="66">
        <v>0.25</v>
      </c>
    </row>
    <row r="675" spans="2:3" ht="15" customHeight="1" x14ac:dyDescent="0.45">
      <c r="B675" s="15" t="s">
        <v>31</v>
      </c>
      <c r="C675" s="65">
        <v>128</v>
      </c>
    </row>
    <row r="676" spans="2:3" ht="15" customHeight="1" x14ac:dyDescent="0.45">
      <c r="B676" s="15" t="s">
        <v>170</v>
      </c>
      <c r="C676" s="65"/>
    </row>
    <row r="678" spans="2:3" ht="15" customHeight="1" x14ac:dyDescent="0.45">
      <c r="B678" s="15" t="s">
        <v>159</v>
      </c>
    </row>
    <row r="680" spans="2:3" ht="15" customHeight="1" x14ac:dyDescent="0.45">
      <c r="B680" s="15" t="s">
        <v>160</v>
      </c>
    </row>
    <row r="702" spans="2:2" ht="15" customHeight="1" x14ac:dyDescent="0.45">
      <c r="B702" s="15" t="s">
        <v>161</v>
      </c>
    </row>
    <row r="723" spans="2:3" ht="15" customHeight="1" x14ac:dyDescent="0.45">
      <c r="B723" s="15" t="str">
        <f t="shared" ref="B723:C725" si="1">B670</f>
        <v>Cool Toys forecast year 1 EBITDA</v>
      </c>
      <c r="C723" s="71">
        <f t="shared" si="1"/>
        <v>956.62049999999999</v>
      </c>
    </row>
    <row r="724" spans="2:3" ht="15" customHeight="1" x14ac:dyDescent="0.45">
      <c r="B724" s="15" t="str">
        <f t="shared" si="1"/>
        <v>Trendy Toys forecast year 1 EBITDA</v>
      </c>
      <c r="C724" s="71">
        <f t="shared" si="1"/>
        <v>938.69870000000003</v>
      </c>
    </row>
    <row r="725" spans="2:3" ht="15" customHeight="1" x14ac:dyDescent="0.45">
      <c r="B725" s="15" t="str">
        <f t="shared" si="1"/>
        <v>Forecast synergies</v>
      </c>
      <c r="C725" s="71">
        <f t="shared" si="1"/>
        <v>200</v>
      </c>
    </row>
    <row r="726" spans="2:3" ht="15" customHeight="1" x14ac:dyDescent="0.45">
      <c r="B726" s="15" t="s">
        <v>162</v>
      </c>
      <c r="C726">
        <f>SUM(C723:C725)</f>
        <v>2095.3191999999999</v>
      </c>
    </row>
    <row r="728" spans="2:3" ht="15" customHeight="1" x14ac:dyDescent="0.45">
      <c r="B728" s="15" t="s">
        <v>163</v>
      </c>
      <c r="C728" s="81">
        <v>3</v>
      </c>
    </row>
    <row r="729" spans="2:3" ht="15" customHeight="1" x14ac:dyDescent="0.45">
      <c r="B729" s="15" t="s">
        <v>164</v>
      </c>
      <c r="C729">
        <f>C728*C726</f>
        <v>6285.9575999999997</v>
      </c>
    </row>
    <row r="731" spans="2:3" ht="15" customHeight="1" x14ac:dyDescent="0.45">
      <c r="B731" s="15" t="s">
        <v>397</v>
      </c>
      <c r="C731" s="65">
        <v>16.914000000000001</v>
      </c>
    </row>
    <row r="732" spans="2:3" ht="15" customHeight="1" x14ac:dyDescent="0.45">
      <c r="B732" s="15" t="s">
        <v>165</v>
      </c>
      <c r="C732" s="65">
        <v>300</v>
      </c>
    </row>
    <row r="733" spans="2:3" ht="15" customHeight="1" x14ac:dyDescent="0.45">
      <c r="B733" s="15" t="s">
        <v>166</v>
      </c>
      <c r="C733" s="65">
        <v>1800</v>
      </c>
    </row>
    <row r="734" spans="2:3" ht="15" customHeight="1" x14ac:dyDescent="0.45">
      <c r="B734" s="15" t="s">
        <v>167</v>
      </c>
      <c r="C734" s="65">
        <v>164.56299999999999</v>
      </c>
    </row>
    <row r="735" spans="2:3" ht="15" customHeight="1" x14ac:dyDescent="0.45">
      <c r="B735" s="15" t="s">
        <v>168</v>
      </c>
      <c r="C735" s="65">
        <v>1547.115</v>
      </c>
    </row>
    <row r="736" spans="2:3" ht="15" customHeight="1" x14ac:dyDescent="0.45">
      <c r="B736" s="15" t="s">
        <v>441</v>
      </c>
      <c r="C736">
        <f>SUM(C731:C735)</f>
        <v>3828.5919999999996</v>
      </c>
    </row>
    <row r="738" spans="1:4" ht="15" customHeight="1" x14ac:dyDescent="0.45">
      <c r="B738" s="15" t="s">
        <v>398</v>
      </c>
      <c r="C738">
        <f>C729-C736</f>
        <v>2457.3656000000001</v>
      </c>
    </row>
    <row r="740" spans="1:4" ht="15" customHeight="1" x14ac:dyDescent="0.45">
      <c r="B740" s="15" t="str">
        <f>B673</f>
        <v>Trendy Toys share price</v>
      </c>
      <c r="C740" s="71">
        <f>C673</f>
        <v>67.36</v>
      </c>
    </row>
    <row r="741" spans="1:4" ht="15" customHeight="1" x14ac:dyDescent="0.45">
      <c r="B741" s="15" t="str">
        <f>B674</f>
        <v>Premium on top of acquisition price</v>
      </c>
      <c r="C741" s="64">
        <f>C674</f>
        <v>0.25</v>
      </c>
    </row>
    <row r="742" spans="1:4" ht="15" customHeight="1" x14ac:dyDescent="0.45">
      <c r="B742" s="15" t="s">
        <v>422</v>
      </c>
      <c r="C742" s="71">
        <f>C740*(1+C741)</f>
        <v>84.2</v>
      </c>
    </row>
    <row r="743" spans="1:4" ht="15" customHeight="1" x14ac:dyDescent="0.45">
      <c r="B743" s="15" t="str">
        <f>B675</f>
        <v>Diluted shares outstanding</v>
      </c>
      <c r="C743">
        <f>C675</f>
        <v>128</v>
      </c>
    </row>
    <row r="744" spans="1:4" ht="15" customHeight="1" x14ac:dyDescent="0.45">
      <c r="B744" s="15" t="s">
        <v>215</v>
      </c>
      <c r="C744">
        <f>C743*C742</f>
        <v>10777.6</v>
      </c>
    </row>
    <row r="746" spans="1:4" ht="15" customHeight="1" x14ac:dyDescent="0.45">
      <c r="B746" s="15" t="s">
        <v>171</v>
      </c>
      <c r="C746" s="64">
        <f>C738/C744</f>
        <v>0.22800675475059382</v>
      </c>
    </row>
    <row r="748" spans="1:4" ht="15" customHeight="1" x14ac:dyDescent="0.45">
      <c r="A748" s="14" t="s">
        <v>216</v>
      </c>
    </row>
    <row r="749" spans="1:4" ht="15" customHeight="1" x14ac:dyDescent="0.45">
      <c r="B749" s="15" t="s">
        <v>173</v>
      </c>
    </row>
    <row r="750" spans="1:4" ht="15" customHeight="1" x14ac:dyDescent="0.45">
      <c r="B750" s="15" t="s">
        <v>399</v>
      </c>
    </row>
    <row r="752" spans="1:4" ht="15" customHeight="1" x14ac:dyDescent="0.45">
      <c r="C752" s="78" t="s">
        <v>174</v>
      </c>
      <c r="D752" s="78" t="s">
        <v>175</v>
      </c>
    </row>
    <row r="753" spans="1:4" ht="15" customHeight="1" x14ac:dyDescent="0.45">
      <c r="B753" s="15" t="s">
        <v>176</v>
      </c>
      <c r="C753" s="70">
        <v>15</v>
      </c>
      <c r="D753" s="70">
        <v>6</v>
      </c>
    </row>
    <row r="754" spans="1:4" ht="15" customHeight="1" x14ac:dyDescent="0.45">
      <c r="B754" s="15" t="s">
        <v>177</v>
      </c>
      <c r="C754" s="65">
        <v>100</v>
      </c>
      <c r="D754" s="65">
        <v>50</v>
      </c>
    </row>
    <row r="755" spans="1:4" ht="15" customHeight="1" x14ac:dyDescent="0.45">
      <c r="B755" s="15" t="s">
        <v>73</v>
      </c>
      <c r="C755" s="65"/>
      <c r="D755" s="66">
        <v>0.3</v>
      </c>
    </row>
    <row r="756" spans="1:4" ht="15" customHeight="1" x14ac:dyDescent="0.45">
      <c r="B756" s="15" t="s">
        <v>91</v>
      </c>
      <c r="C756" s="82" t="s">
        <v>99</v>
      </c>
      <c r="D756" s="71">
        <f>D753*(1+D755)</f>
        <v>7.8000000000000007</v>
      </c>
    </row>
    <row r="757" spans="1:4" ht="15" customHeight="1" x14ac:dyDescent="0.45">
      <c r="B757" s="15" t="s">
        <v>178</v>
      </c>
      <c r="C757">
        <f>C754*C753</f>
        <v>1500</v>
      </c>
      <c r="D757">
        <f>D754*D753</f>
        <v>300</v>
      </c>
    </row>
    <row r="758" spans="1:4" ht="15" customHeight="1" x14ac:dyDescent="0.45">
      <c r="B758" s="15" t="s">
        <v>21</v>
      </c>
      <c r="C758" s="82" t="s">
        <v>99</v>
      </c>
      <c r="D758">
        <f>D756*D754</f>
        <v>390.00000000000006</v>
      </c>
    </row>
    <row r="760" spans="1:4" ht="15" customHeight="1" x14ac:dyDescent="0.45">
      <c r="C760" s="78" t="s">
        <v>181</v>
      </c>
      <c r="D760" s="78" t="s">
        <v>182</v>
      </c>
    </row>
    <row r="761" spans="1:4" ht="15" customHeight="1" x14ac:dyDescent="0.45">
      <c r="B761" s="15" t="s">
        <v>179</v>
      </c>
      <c r="C761">
        <f>D758/C753</f>
        <v>26.000000000000004</v>
      </c>
      <c r="D761" s="64">
        <f>C761/$C$763</f>
        <v>0.20634920634920637</v>
      </c>
    </row>
    <row r="762" spans="1:4" ht="15" customHeight="1" x14ac:dyDescent="0.45">
      <c r="B762" s="15" t="s">
        <v>113</v>
      </c>
      <c r="C762">
        <f>C754</f>
        <v>100</v>
      </c>
      <c r="D762" s="64">
        <f>C762/$C$763</f>
        <v>0.79365079365079361</v>
      </c>
    </row>
    <row r="763" spans="1:4" ht="15" customHeight="1" x14ac:dyDescent="0.45">
      <c r="B763" s="15" t="s">
        <v>180</v>
      </c>
      <c r="C763">
        <f>SUM(C761:C762)</f>
        <v>126</v>
      </c>
    </row>
    <row r="764" spans="1:4" ht="15" customHeight="1" x14ac:dyDescent="0.45">
      <c r="B764" s="15" t="s">
        <v>183</v>
      </c>
      <c r="C764" s="71">
        <f>C761/D754</f>
        <v>0.52</v>
      </c>
    </row>
    <row r="766" spans="1:4" ht="15" customHeight="1" x14ac:dyDescent="0.45">
      <c r="A766" s="14" t="s">
        <v>238</v>
      </c>
    </row>
    <row r="767" spans="1:4" ht="15" customHeight="1" x14ac:dyDescent="0.45">
      <c r="B767" s="15" t="s">
        <v>196</v>
      </c>
    </row>
    <row r="768" spans="1:4" ht="15" customHeight="1" x14ac:dyDescent="0.45">
      <c r="B768" s="15" t="s">
        <v>187</v>
      </c>
    </row>
    <row r="770" spans="2:4" ht="15" customHeight="1" x14ac:dyDescent="0.45">
      <c r="C770" s="78" t="s">
        <v>185</v>
      </c>
      <c r="D770" s="78" t="s">
        <v>186</v>
      </c>
    </row>
    <row r="771" spans="2:4" ht="15" customHeight="1" x14ac:dyDescent="0.45">
      <c r="B771" s="15" t="s">
        <v>176</v>
      </c>
      <c r="C771" s="70">
        <v>21</v>
      </c>
      <c r="D771" s="70">
        <v>10</v>
      </c>
    </row>
    <row r="772" spans="2:4" ht="15" customHeight="1" x14ac:dyDescent="0.45">
      <c r="B772" s="15" t="s">
        <v>177</v>
      </c>
      <c r="C772" s="65">
        <v>120</v>
      </c>
      <c r="D772" s="65">
        <v>50</v>
      </c>
    </row>
    <row r="773" spans="2:4" ht="15" customHeight="1" x14ac:dyDescent="0.45">
      <c r="B773" s="15" t="s">
        <v>73</v>
      </c>
      <c r="C773" s="65"/>
      <c r="D773" s="66">
        <v>0.3</v>
      </c>
    </row>
    <row r="774" spans="2:4" ht="15" customHeight="1" x14ac:dyDescent="0.45">
      <c r="B774" s="15" t="s">
        <v>32</v>
      </c>
      <c r="C774" s="65">
        <v>650</v>
      </c>
      <c r="D774" s="65">
        <v>50</v>
      </c>
    </row>
    <row r="775" spans="2:4" ht="15" customHeight="1" x14ac:dyDescent="0.45">
      <c r="B775" s="15" t="s">
        <v>104</v>
      </c>
      <c r="C775" s="65"/>
      <c r="D775" s="66">
        <v>0.75</v>
      </c>
    </row>
    <row r="776" spans="2:4" ht="15" customHeight="1" x14ac:dyDescent="0.45">
      <c r="B776" s="15" t="s">
        <v>91</v>
      </c>
      <c r="C776" s="82" t="s">
        <v>99</v>
      </c>
      <c r="D776" s="71">
        <f>D771*(1+D773)</f>
        <v>13</v>
      </c>
    </row>
    <row r="777" spans="2:4" ht="15" customHeight="1" x14ac:dyDescent="0.45">
      <c r="B777" s="15" t="s">
        <v>178</v>
      </c>
      <c r="C777">
        <f>C772*C771</f>
        <v>2520</v>
      </c>
      <c r="D777">
        <f>D772*D771</f>
        <v>500</v>
      </c>
    </row>
    <row r="778" spans="2:4" ht="15" customHeight="1" x14ac:dyDescent="0.45">
      <c r="B778" s="15" t="s">
        <v>21</v>
      </c>
      <c r="C778" s="82" t="s">
        <v>99</v>
      </c>
      <c r="D778">
        <f>D776*D772</f>
        <v>650</v>
      </c>
    </row>
    <row r="779" spans="2:4" ht="15" customHeight="1" x14ac:dyDescent="0.45">
      <c r="B779" s="15" t="s">
        <v>70</v>
      </c>
      <c r="D779" s="65">
        <v>5</v>
      </c>
    </row>
    <row r="780" spans="2:4" ht="15" customHeight="1" x14ac:dyDescent="0.45">
      <c r="B780" s="15" t="s">
        <v>189</v>
      </c>
      <c r="D780" s="82" t="s">
        <v>190</v>
      </c>
    </row>
    <row r="781" spans="2:4" ht="15" customHeight="1" x14ac:dyDescent="0.45">
      <c r="B781" s="15" t="s">
        <v>188</v>
      </c>
      <c r="D781" s="65">
        <v>15</v>
      </c>
    </row>
    <row r="783" spans="2:4" ht="15" customHeight="1" x14ac:dyDescent="0.45">
      <c r="B783" s="15" t="s">
        <v>20</v>
      </c>
    </row>
    <row r="784" spans="2:4" ht="15" customHeight="1" x14ac:dyDescent="0.45">
      <c r="B784" s="15" t="s">
        <v>21</v>
      </c>
      <c r="C784">
        <f>D778</f>
        <v>650</v>
      </c>
    </row>
    <row r="785" spans="2:4" ht="15" customHeight="1" x14ac:dyDescent="0.45">
      <c r="B785" s="15" t="s">
        <v>22</v>
      </c>
      <c r="C785">
        <f>D774</f>
        <v>50</v>
      </c>
    </row>
    <row r="786" spans="2:4" ht="15" customHeight="1" x14ac:dyDescent="0.45">
      <c r="B786" s="15" t="str">
        <f>B779</f>
        <v>Transaction fees</v>
      </c>
      <c r="C786">
        <f>D779</f>
        <v>5</v>
      </c>
    </row>
    <row r="787" spans="2:4" ht="15" customHeight="1" x14ac:dyDescent="0.45">
      <c r="B787" s="15" t="s">
        <v>23</v>
      </c>
      <c r="C787">
        <f>SUM(C784:C786)</f>
        <v>705</v>
      </c>
    </row>
    <row r="789" spans="2:4" ht="15" customHeight="1" x14ac:dyDescent="0.45">
      <c r="B789" s="15" t="s">
        <v>24</v>
      </c>
    </row>
    <row r="790" spans="2:4" ht="15" customHeight="1" x14ac:dyDescent="0.45">
      <c r="B790" s="15" t="s">
        <v>191</v>
      </c>
      <c r="C790">
        <f>D781</f>
        <v>15</v>
      </c>
    </row>
    <row r="791" spans="2:4" ht="15" customHeight="1" x14ac:dyDescent="0.45">
      <c r="B791" s="15" t="s">
        <v>192</v>
      </c>
      <c r="C791">
        <f>D775*C784</f>
        <v>487.5</v>
      </c>
    </row>
    <row r="792" spans="2:4" ht="15" customHeight="1" x14ac:dyDescent="0.45">
      <c r="B792" s="15" t="s">
        <v>423</v>
      </c>
      <c r="C792">
        <f>C787-SUM(C790:C791)</f>
        <v>202.5</v>
      </c>
    </row>
    <row r="793" spans="2:4" ht="15" customHeight="1" x14ac:dyDescent="0.45">
      <c r="B793" s="15" t="s">
        <v>26</v>
      </c>
      <c r="C793">
        <f>SUM(C790:C792)</f>
        <v>705</v>
      </c>
    </row>
    <row r="795" spans="2:4" ht="15" customHeight="1" x14ac:dyDescent="0.45">
      <c r="C795" s="78" t="s">
        <v>181</v>
      </c>
      <c r="D795" s="78" t="s">
        <v>182</v>
      </c>
    </row>
    <row r="796" spans="2:4" ht="15" customHeight="1" x14ac:dyDescent="0.45">
      <c r="B796" s="15" t="s">
        <v>100</v>
      </c>
      <c r="C796">
        <f>C791/C771</f>
        <v>23.214285714285715</v>
      </c>
      <c r="D796" s="64">
        <f>C796/$C$798</f>
        <v>0.16209476309226933</v>
      </c>
    </row>
    <row r="797" spans="2:4" ht="15" customHeight="1" x14ac:dyDescent="0.45">
      <c r="B797" s="15" t="s">
        <v>113</v>
      </c>
      <c r="C797">
        <f>C772</f>
        <v>120</v>
      </c>
      <c r="D797" s="64">
        <f>C797/$C$798</f>
        <v>0.83790523690773067</v>
      </c>
    </row>
    <row r="798" spans="2:4" ht="15" customHeight="1" x14ac:dyDescent="0.45">
      <c r="B798" s="15" t="s">
        <v>193</v>
      </c>
      <c r="C798">
        <f>SUM(C796:C797)</f>
        <v>143.21428571428572</v>
      </c>
    </row>
    <row r="799" spans="2:4" ht="15" customHeight="1" x14ac:dyDescent="0.45">
      <c r="B799" s="15" t="s">
        <v>102</v>
      </c>
      <c r="C799" s="71">
        <f>C796/D772</f>
        <v>0.4642857142857143</v>
      </c>
    </row>
    <row r="800" spans="2:4" ht="15" customHeight="1" x14ac:dyDescent="0.45">
      <c r="B800" s="15" t="s">
        <v>194</v>
      </c>
      <c r="C800" s="71">
        <f>(C792+C790-C785-C786)/D772</f>
        <v>3.25</v>
      </c>
    </row>
    <row r="802" spans="1:6" ht="15" customHeight="1" x14ac:dyDescent="0.45">
      <c r="A802" s="14" t="s">
        <v>240</v>
      </c>
    </row>
    <row r="803" spans="1:6" ht="15" customHeight="1" x14ac:dyDescent="0.45">
      <c r="B803" s="15" t="s">
        <v>442</v>
      </c>
    </row>
    <row r="804" spans="1:6" ht="15" customHeight="1" x14ac:dyDescent="0.45">
      <c r="B804" s="15" t="s">
        <v>400</v>
      </c>
    </row>
    <row r="805" spans="1:6" ht="15" customHeight="1" x14ac:dyDescent="0.45">
      <c r="B805" s="15" t="s">
        <v>401</v>
      </c>
    </row>
    <row r="806" spans="1:6" ht="15" customHeight="1" x14ac:dyDescent="0.45">
      <c r="B806" s="15" t="s">
        <v>197</v>
      </c>
    </row>
    <row r="808" spans="1:6" ht="15" customHeight="1" x14ac:dyDescent="0.45">
      <c r="B808" s="15" t="s">
        <v>444</v>
      </c>
      <c r="C808" s="65">
        <v>400</v>
      </c>
    </row>
    <row r="809" spans="1:6" ht="15" customHeight="1" x14ac:dyDescent="0.45">
      <c r="B809" s="15" t="s">
        <v>106</v>
      </c>
      <c r="C809" s="73">
        <v>0.3</v>
      </c>
    </row>
    <row r="810" spans="1:6" ht="15" customHeight="1" x14ac:dyDescent="0.45">
      <c r="B810" s="15" t="s">
        <v>107</v>
      </c>
      <c r="C810" s="73">
        <v>0.35</v>
      </c>
    </row>
    <row r="811" spans="1:6" ht="15" customHeight="1" x14ac:dyDescent="0.45">
      <c r="B811" s="15" t="s">
        <v>445</v>
      </c>
      <c r="C811" s="73">
        <v>7.0000000000000007E-2</v>
      </c>
    </row>
    <row r="812" spans="1:6" ht="15" customHeight="1" x14ac:dyDescent="0.45">
      <c r="B812" s="15" t="s">
        <v>199</v>
      </c>
      <c r="C812" s="73">
        <v>0.03</v>
      </c>
    </row>
    <row r="813" spans="1:6" ht="15" customHeight="1" x14ac:dyDescent="0.45">
      <c r="B813" s="15" t="s">
        <v>201</v>
      </c>
      <c r="C813" s="64">
        <f>SUM(C811:C812)</f>
        <v>0.1</v>
      </c>
    </row>
    <row r="814" spans="1:6" ht="15" customHeight="1" x14ac:dyDescent="0.45">
      <c r="B814" s="15" t="s">
        <v>200</v>
      </c>
      <c r="C814" s="73"/>
    </row>
    <row r="816" spans="1:6" ht="15" customHeight="1" x14ac:dyDescent="0.45">
      <c r="D816" s="83">
        <v>1</v>
      </c>
      <c r="E816" s="83">
        <v>2</v>
      </c>
      <c r="F816" s="83">
        <v>3</v>
      </c>
    </row>
    <row r="817" spans="1:6" ht="15" customHeight="1" x14ac:dyDescent="0.45">
      <c r="B817" s="15" t="s">
        <v>202</v>
      </c>
      <c r="D817" s="65">
        <v>50</v>
      </c>
      <c r="E817" s="65">
        <v>100</v>
      </c>
      <c r="F817" s="65">
        <v>200</v>
      </c>
    </row>
    <row r="818" spans="1:6" ht="15" customHeight="1" x14ac:dyDescent="0.45">
      <c r="B818" s="15" t="s">
        <v>203</v>
      </c>
      <c r="D818">
        <f>D817*(1-$C$809)</f>
        <v>35</v>
      </c>
      <c r="E818">
        <f>E817*(1-$C$809)</f>
        <v>70</v>
      </c>
      <c r="F818">
        <f>F817*(1-$C$809)</f>
        <v>140</v>
      </c>
    </row>
    <row r="819" spans="1:6" ht="15" customHeight="1" x14ac:dyDescent="0.45">
      <c r="B819" s="15" t="s">
        <v>204</v>
      </c>
      <c r="F819">
        <f>F818/C813</f>
        <v>1400</v>
      </c>
    </row>
    <row r="820" spans="1:6" ht="15" customHeight="1" x14ac:dyDescent="0.45">
      <c r="B820" s="15" t="s">
        <v>455</v>
      </c>
      <c r="D820" s="64">
        <f>1/(1+$C$813)^D816</f>
        <v>0.90909090909090906</v>
      </c>
      <c r="E820" s="64">
        <f t="shared" ref="E820:F820" si="2">1/(1+$C$813)^E816</f>
        <v>0.82644628099173545</v>
      </c>
      <c r="F820" s="64">
        <f t="shared" si="2"/>
        <v>0.75131480090157754</v>
      </c>
    </row>
    <row r="821" spans="1:6" ht="15" customHeight="1" x14ac:dyDescent="0.45">
      <c r="B821" s="15" t="s">
        <v>456</v>
      </c>
      <c r="D821">
        <f>D818*D820</f>
        <v>31.818181818181817</v>
      </c>
      <c r="E821">
        <f t="shared" ref="E821:F821" si="3">E818*E820</f>
        <v>57.851239669421481</v>
      </c>
      <c r="F821">
        <f t="shared" si="3"/>
        <v>105.18407212622085</v>
      </c>
    </row>
    <row r="822" spans="1:6" ht="15" customHeight="1" x14ac:dyDescent="0.45">
      <c r="B822" s="15" t="s">
        <v>205</v>
      </c>
      <c r="C822">
        <f>SUM(D821:F821)</f>
        <v>194.85349361382416</v>
      </c>
    </row>
    <row r="823" spans="1:6" ht="15" customHeight="1" x14ac:dyDescent="0.45">
      <c r="B823" s="15" t="s">
        <v>206</v>
      </c>
      <c r="C823">
        <f>F819/(1+C813)^F816</f>
        <v>1051.8407212622085</v>
      </c>
    </row>
    <row r="824" spans="1:6" ht="15" customHeight="1" x14ac:dyDescent="0.45">
      <c r="B824" s="15" t="s">
        <v>207</v>
      </c>
      <c r="C824">
        <f>SUM(C822:C823)</f>
        <v>1246.6942148760327</v>
      </c>
    </row>
    <row r="826" spans="1:6" ht="15" customHeight="1" x14ac:dyDescent="0.45">
      <c r="B826" s="15" t="s">
        <v>98</v>
      </c>
      <c r="C826" s="65">
        <v>2000</v>
      </c>
    </row>
    <row r="827" spans="1:6" ht="15" customHeight="1" x14ac:dyDescent="0.45">
      <c r="B827" s="15" t="s">
        <v>208</v>
      </c>
      <c r="C827">
        <f>C824-C826</f>
        <v>-753.30578512396733</v>
      </c>
    </row>
    <row r="829" spans="1:6" ht="15" customHeight="1" x14ac:dyDescent="0.45">
      <c r="A829" s="14" t="s">
        <v>242</v>
      </c>
    </row>
    <row r="830" spans="1:6" ht="15" customHeight="1" x14ac:dyDescent="0.45">
      <c r="B830" s="15" t="s">
        <v>209</v>
      </c>
    </row>
    <row r="831" spans="1:6" ht="15" customHeight="1" x14ac:dyDescent="0.45">
      <c r="B831" s="15" t="s">
        <v>400</v>
      </c>
    </row>
    <row r="832" spans="1:6" ht="15" customHeight="1" x14ac:dyDescent="0.45">
      <c r="B832" s="15" t="s">
        <v>401</v>
      </c>
    </row>
    <row r="833" spans="2:4" ht="15" customHeight="1" x14ac:dyDescent="0.45">
      <c r="B833" s="15" t="s">
        <v>211</v>
      </c>
    </row>
    <row r="835" spans="2:4" ht="15" customHeight="1" x14ac:dyDescent="0.45">
      <c r="B835" s="15" t="s">
        <v>443</v>
      </c>
      <c r="C835" s="65">
        <v>10</v>
      </c>
    </row>
    <row r="836" spans="2:4" ht="15" customHeight="1" x14ac:dyDescent="0.45">
      <c r="B836" s="15" t="s">
        <v>198</v>
      </c>
      <c r="C836" s="65">
        <v>200</v>
      </c>
    </row>
    <row r="837" spans="2:4" ht="15" customHeight="1" x14ac:dyDescent="0.45">
      <c r="B837" s="15" t="s">
        <v>444</v>
      </c>
      <c r="C837" s="65">
        <v>400</v>
      </c>
    </row>
    <row r="838" spans="2:4" ht="15" customHeight="1" x14ac:dyDescent="0.45">
      <c r="B838" s="15" t="s">
        <v>446</v>
      </c>
      <c r="C838" s="65">
        <v>150</v>
      </c>
    </row>
    <row r="839" spans="2:4" ht="15" customHeight="1" x14ac:dyDescent="0.45">
      <c r="B839" s="15" t="s">
        <v>107</v>
      </c>
      <c r="C839" s="73">
        <v>0.3</v>
      </c>
    </row>
    <row r="840" spans="2:4" ht="15" customHeight="1" x14ac:dyDescent="0.45">
      <c r="B840" s="15" t="s">
        <v>106</v>
      </c>
      <c r="C840" s="73">
        <v>0.35</v>
      </c>
    </row>
    <row r="841" spans="2:4" ht="15" customHeight="1" x14ac:dyDescent="0.45">
      <c r="B841" s="15" t="s">
        <v>445</v>
      </c>
      <c r="C841" s="73">
        <v>7.0000000000000007E-2</v>
      </c>
    </row>
    <row r="842" spans="2:4" ht="15" customHeight="1" x14ac:dyDescent="0.45">
      <c r="B842" s="15" t="s">
        <v>199</v>
      </c>
      <c r="C842" s="73">
        <v>0.03</v>
      </c>
    </row>
    <row r="843" spans="2:4" ht="15" customHeight="1" x14ac:dyDescent="0.45">
      <c r="B843" s="15" t="s">
        <v>201</v>
      </c>
      <c r="C843" s="64">
        <f>SUM(C841:C842)</f>
        <v>0.1</v>
      </c>
    </row>
    <row r="845" spans="2:4" ht="15" customHeight="1" x14ac:dyDescent="0.45">
      <c r="C845" s="83">
        <v>0</v>
      </c>
      <c r="D845" s="83">
        <v>1</v>
      </c>
    </row>
    <row r="846" spans="2:4" ht="15" customHeight="1" x14ac:dyDescent="0.45">
      <c r="B846" s="15" t="s">
        <v>447</v>
      </c>
      <c r="C846" s="83"/>
      <c r="D846">
        <f>C838</f>
        <v>150</v>
      </c>
    </row>
    <row r="847" spans="2:4" ht="15" customHeight="1" x14ac:dyDescent="0.45">
      <c r="B847" s="15" t="s">
        <v>107</v>
      </c>
      <c r="C847" s="83"/>
      <c r="D847" s="64">
        <f>C839</f>
        <v>0.3</v>
      </c>
    </row>
    <row r="848" spans="2:4" ht="15" customHeight="1" x14ac:dyDescent="0.45">
      <c r="B848" s="15" t="s">
        <v>448</v>
      </c>
      <c r="C848" s="83"/>
      <c r="D848">
        <f>D846*(1-D847)</f>
        <v>105</v>
      </c>
    </row>
    <row r="849" spans="1:4" ht="15" customHeight="1" x14ac:dyDescent="0.45">
      <c r="C849" s="83"/>
      <c r="D849" s="83"/>
    </row>
    <row r="850" spans="1:4" ht="15" customHeight="1" x14ac:dyDescent="0.45">
      <c r="B850" s="15" t="s">
        <v>212</v>
      </c>
      <c r="D850" s="65">
        <v>50</v>
      </c>
    </row>
    <row r="851" spans="1:4" ht="15" customHeight="1" x14ac:dyDescent="0.45">
      <c r="B851" s="15" t="s">
        <v>106</v>
      </c>
      <c r="D851" s="64">
        <f>C840</f>
        <v>0.35</v>
      </c>
    </row>
    <row r="852" spans="1:4" ht="15" customHeight="1" x14ac:dyDescent="0.45">
      <c r="B852" s="15" t="s">
        <v>213</v>
      </c>
      <c r="D852">
        <f>D850*(1-D851)</f>
        <v>32.5</v>
      </c>
    </row>
    <row r="854" spans="1:4" ht="15" customHeight="1" x14ac:dyDescent="0.45">
      <c r="B854" s="15" t="s">
        <v>214</v>
      </c>
      <c r="D854">
        <f>D852+D848</f>
        <v>137.5</v>
      </c>
    </row>
    <row r="856" spans="1:4" ht="15" customHeight="1" x14ac:dyDescent="0.45">
      <c r="B856" s="15" t="s">
        <v>215</v>
      </c>
      <c r="C856" s="65">
        <v>2000</v>
      </c>
    </row>
    <row r="857" spans="1:4" ht="15" customHeight="1" x14ac:dyDescent="0.45">
      <c r="B857" s="15" t="s">
        <v>444</v>
      </c>
      <c r="C857">
        <f>C837</f>
        <v>400</v>
      </c>
    </row>
    <row r="858" spans="1:4" ht="15" customHeight="1" x14ac:dyDescent="0.45">
      <c r="B858" s="15" t="s">
        <v>33</v>
      </c>
      <c r="C858">
        <f>SUM(C856:C857)</f>
        <v>2400</v>
      </c>
    </row>
    <row r="860" spans="1:4" ht="15" customHeight="1" x14ac:dyDescent="0.45">
      <c r="B860" s="15" t="s">
        <v>141</v>
      </c>
      <c r="D860" s="64">
        <f>D854/C858</f>
        <v>5.7291666666666664E-2</v>
      </c>
    </row>
    <row r="862" spans="1:4" ht="15" customHeight="1" x14ac:dyDescent="0.45">
      <c r="A862" s="14" t="s">
        <v>353</v>
      </c>
    </row>
    <row r="863" spans="1:4" ht="15" customHeight="1" x14ac:dyDescent="0.45">
      <c r="B863" s="15" t="s">
        <v>230</v>
      </c>
    </row>
    <row r="864" spans="1:4" ht="15" customHeight="1" x14ac:dyDescent="0.45">
      <c r="B864" s="15" t="s">
        <v>217</v>
      </c>
    </row>
    <row r="866" spans="2:6" ht="15" customHeight="1" x14ac:dyDescent="0.45">
      <c r="C866" s="78" t="s">
        <v>218</v>
      </c>
      <c r="D866" s="78" t="s">
        <v>219</v>
      </c>
      <c r="E866" s="78" t="s">
        <v>87</v>
      </c>
      <c r="F866" s="78" t="s">
        <v>220</v>
      </c>
    </row>
    <row r="867" spans="2:6" ht="15" customHeight="1" x14ac:dyDescent="0.45">
      <c r="B867" s="15" t="s">
        <v>221</v>
      </c>
      <c r="C867" s="65">
        <v>1000</v>
      </c>
      <c r="D867" s="65">
        <v>2000</v>
      </c>
      <c r="F867">
        <f>SUM(C867:E867)</f>
        <v>3000</v>
      </c>
    </row>
    <row r="868" spans="2:6" ht="15" customHeight="1" x14ac:dyDescent="0.45">
      <c r="B868" s="15" t="s">
        <v>222</v>
      </c>
      <c r="C868" s="65">
        <v>2500</v>
      </c>
      <c r="D868" s="65">
        <v>1450</v>
      </c>
      <c r="F868">
        <f>SUM(C868:E868)</f>
        <v>3950</v>
      </c>
    </row>
    <row r="869" spans="2:6" ht="15" customHeight="1" x14ac:dyDescent="0.45">
      <c r="B869" s="15" t="s">
        <v>223</v>
      </c>
      <c r="C869" s="65">
        <v>5000</v>
      </c>
      <c r="D869" s="65">
        <v>2690</v>
      </c>
      <c r="F869">
        <f>SUM(C869:E869)</f>
        <v>7690</v>
      </c>
    </row>
    <row r="870" spans="2:6" ht="15" customHeight="1" x14ac:dyDescent="0.45">
      <c r="B870" s="15" t="s">
        <v>236</v>
      </c>
      <c r="C870">
        <f>SUM(C867:C869)</f>
        <v>8500</v>
      </c>
      <c r="D870">
        <f>SUM(D867:D869)</f>
        <v>6140</v>
      </c>
      <c r="F870">
        <f>SUM(F867:F869)</f>
        <v>14640</v>
      </c>
    </row>
    <row r="871" spans="2:6" ht="15" customHeight="1" x14ac:dyDescent="0.45">
      <c r="B871" s="15" t="s">
        <v>224</v>
      </c>
      <c r="C871" s="65">
        <v>6000</v>
      </c>
      <c r="D871" s="65">
        <v>2400</v>
      </c>
      <c r="F871">
        <f>SUM(C871:E871)</f>
        <v>8400</v>
      </c>
    </row>
    <row r="872" spans="2:6" ht="15" customHeight="1" x14ac:dyDescent="0.45">
      <c r="B872" s="15" t="s">
        <v>226</v>
      </c>
      <c r="C872" s="65">
        <v>1000</v>
      </c>
      <c r="D872" s="65">
        <v>340</v>
      </c>
      <c r="E872">
        <f>-D872+C896</f>
        <v>3320</v>
      </c>
      <c r="F872">
        <f>SUM(C872:E872)</f>
        <v>4660</v>
      </c>
    </row>
    <row r="873" spans="2:6" ht="15" customHeight="1" x14ac:dyDescent="0.45">
      <c r="B873" s="15" t="s">
        <v>225</v>
      </c>
      <c r="C873">
        <f>C871+C870+C872</f>
        <v>15500</v>
      </c>
      <c r="D873">
        <f>D871+D870+D872</f>
        <v>8880</v>
      </c>
      <c r="F873">
        <f>F871+F870+F872</f>
        <v>27700</v>
      </c>
    </row>
    <row r="875" spans="2:6" ht="15" customHeight="1" x14ac:dyDescent="0.45">
      <c r="B875" s="15" t="s">
        <v>38</v>
      </c>
      <c r="C875" s="65">
        <v>1000</v>
      </c>
      <c r="D875" s="65">
        <v>800</v>
      </c>
      <c r="F875">
        <f>SUM(C875:E875)</f>
        <v>1800</v>
      </c>
    </row>
    <row r="876" spans="2:6" ht="15" customHeight="1" x14ac:dyDescent="0.45">
      <c r="B876" s="15" t="s">
        <v>428</v>
      </c>
      <c r="C876" s="65">
        <v>1200</v>
      </c>
      <c r="D876" s="65">
        <v>350</v>
      </c>
      <c r="F876">
        <f>SUM(C876:E876)</f>
        <v>1550</v>
      </c>
    </row>
    <row r="877" spans="2:6" ht="15" customHeight="1" x14ac:dyDescent="0.45">
      <c r="B877" s="15" t="s">
        <v>237</v>
      </c>
      <c r="C877">
        <f>SUM(C875:C876)</f>
        <v>2200</v>
      </c>
      <c r="D877">
        <f>SUM(D875:D876)</f>
        <v>1150</v>
      </c>
      <c r="F877">
        <f>SUM(F875:F876)</f>
        <v>3350</v>
      </c>
    </row>
    <row r="878" spans="2:6" ht="15" customHeight="1" x14ac:dyDescent="0.45">
      <c r="B878" s="15" t="s">
        <v>42</v>
      </c>
      <c r="C878" s="65">
        <v>3800</v>
      </c>
      <c r="D878" s="65">
        <v>1050</v>
      </c>
      <c r="E878">
        <f>C887</f>
        <v>5000</v>
      </c>
      <c r="F878">
        <f>SUM(C878:E878)</f>
        <v>9850</v>
      </c>
    </row>
    <row r="879" spans="2:6" ht="15" customHeight="1" x14ac:dyDescent="0.45">
      <c r="B879" s="15" t="s">
        <v>227</v>
      </c>
      <c r="C879">
        <f>C878+C877</f>
        <v>6000</v>
      </c>
      <c r="D879">
        <f>D878+D877</f>
        <v>2200</v>
      </c>
      <c r="F879">
        <f>F878+F877</f>
        <v>13200</v>
      </c>
    </row>
    <row r="880" spans="2:6" ht="15" customHeight="1" x14ac:dyDescent="0.45">
      <c r="B880" s="15" t="s">
        <v>228</v>
      </c>
      <c r="C880" s="65">
        <v>9500</v>
      </c>
      <c r="D880" s="65">
        <v>6680</v>
      </c>
      <c r="E880">
        <f>-D880+C886</f>
        <v>-1680</v>
      </c>
      <c r="F880">
        <f>SUM(C880:E880)</f>
        <v>14500</v>
      </c>
    </row>
    <row r="881" spans="2:6" ht="15" customHeight="1" x14ac:dyDescent="0.45">
      <c r="B881" s="15" t="s">
        <v>229</v>
      </c>
      <c r="C881">
        <f>C880+C879</f>
        <v>15500</v>
      </c>
      <c r="D881">
        <f>D880+D879</f>
        <v>8880</v>
      </c>
      <c r="F881">
        <f>F880+F879</f>
        <v>27700</v>
      </c>
    </row>
    <row r="883" spans="2:6" ht="15" customHeight="1" x14ac:dyDescent="0.45">
      <c r="B883" s="15" t="s">
        <v>21</v>
      </c>
      <c r="C883" s="65">
        <v>10000</v>
      </c>
    </row>
    <row r="884" spans="2:6" ht="15" customHeight="1" x14ac:dyDescent="0.45">
      <c r="B884" s="15" t="s">
        <v>23</v>
      </c>
      <c r="C884">
        <f>SUM(C883)</f>
        <v>10000</v>
      </c>
    </row>
    <row r="886" spans="2:6" ht="15" customHeight="1" x14ac:dyDescent="0.45">
      <c r="B886" s="15" t="s">
        <v>231</v>
      </c>
      <c r="C886">
        <f>C883*0.5</f>
        <v>5000</v>
      </c>
    </row>
    <row r="887" spans="2:6" ht="15" customHeight="1" x14ac:dyDescent="0.45">
      <c r="B887" s="15" t="s">
        <v>232</v>
      </c>
      <c r="C887">
        <f>C884-C886</f>
        <v>5000</v>
      </c>
    </row>
    <row r="888" spans="2:6" ht="15" customHeight="1" x14ac:dyDescent="0.45">
      <c r="B888" s="15" t="s">
        <v>26</v>
      </c>
      <c r="C888">
        <f>SUM(C886:C887)</f>
        <v>10000</v>
      </c>
    </row>
    <row r="890" spans="2:6" ht="15" customHeight="1" x14ac:dyDescent="0.45">
      <c r="B890" s="15" t="s">
        <v>134</v>
      </c>
      <c r="C890">
        <f>C883</f>
        <v>10000</v>
      </c>
    </row>
    <row r="892" spans="2:6" ht="15" customHeight="1" x14ac:dyDescent="0.45">
      <c r="B892" s="15" t="s">
        <v>233</v>
      </c>
      <c r="C892">
        <f>D880</f>
        <v>6680</v>
      </c>
    </row>
    <row r="893" spans="2:6" ht="15" customHeight="1" x14ac:dyDescent="0.45">
      <c r="B893" s="79" t="s">
        <v>234</v>
      </c>
      <c r="C893">
        <f>-D872</f>
        <v>-340</v>
      </c>
    </row>
    <row r="894" spans="2:6" ht="15" customHeight="1" x14ac:dyDescent="0.45">
      <c r="B894" s="15" t="s">
        <v>235</v>
      </c>
      <c r="C894">
        <f>SUM(C892:C893)</f>
        <v>6340</v>
      </c>
    </row>
    <row r="896" spans="2:6" ht="15" customHeight="1" x14ac:dyDescent="0.45">
      <c r="B896" s="15" t="s">
        <v>226</v>
      </c>
      <c r="C896">
        <f>C890-C894</f>
        <v>3660</v>
      </c>
    </row>
    <row r="898" spans="1:3" ht="15" customHeight="1" x14ac:dyDescent="0.45">
      <c r="A898" s="14" t="s">
        <v>372</v>
      </c>
    </row>
    <row r="899" spans="1:3" ht="15" customHeight="1" x14ac:dyDescent="0.45">
      <c r="B899" s="15" t="s">
        <v>404</v>
      </c>
    </row>
    <row r="900" spans="1:3" ht="15" customHeight="1" x14ac:dyDescent="0.45">
      <c r="B900" s="15" t="s">
        <v>405</v>
      </c>
    </row>
    <row r="902" spans="1:3" ht="15" customHeight="1" x14ac:dyDescent="0.45">
      <c r="B902" s="15" t="s">
        <v>402</v>
      </c>
      <c r="C902" s="65">
        <v>50</v>
      </c>
    </row>
    <row r="903" spans="1:3" ht="15" customHeight="1" x14ac:dyDescent="0.45">
      <c r="B903" s="15" t="s">
        <v>403</v>
      </c>
      <c r="C903" s="65">
        <v>25</v>
      </c>
    </row>
    <row r="904" spans="1:3" ht="15" customHeight="1" x14ac:dyDescent="0.45">
      <c r="B904" s="15" t="s">
        <v>104</v>
      </c>
      <c r="C904" s="66">
        <v>0.7</v>
      </c>
    </row>
    <row r="905" spans="1:3" ht="15" customHeight="1" x14ac:dyDescent="0.45">
      <c r="B905" s="15" t="s">
        <v>21</v>
      </c>
      <c r="C905" s="65">
        <v>200</v>
      </c>
    </row>
    <row r="906" spans="1:3" ht="15" customHeight="1" x14ac:dyDescent="0.45">
      <c r="B906" s="15" t="s">
        <v>239</v>
      </c>
      <c r="C906">
        <f>C902+C904*C905</f>
        <v>190</v>
      </c>
    </row>
    <row r="908" spans="1:3" ht="15" customHeight="1" x14ac:dyDescent="0.45">
      <c r="A908" s="14" t="s">
        <v>373</v>
      </c>
    </row>
    <row r="909" spans="1:3" ht="15" customHeight="1" x14ac:dyDescent="0.45">
      <c r="B909" s="15" t="s">
        <v>404</v>
      </c>
    </row>
    <row r="910" spans="1:3" ht="15" customHeight="1" x14ac:dyDescent="0.45">
      <c r="B910" s="15" t="s">
        <v>406</v>
      </c>
    </row>
    <row r="912" spans="1:3" ht="15" customHeight="1" x14ac:dyDescent="0.45">
      <c r="B912" s="15" t="s">
        <v>407</v>
      </c>
      <c r="C912" s="65">
        <v>125</v>
      </c>
    </row>
    <row r="913" spans="1:10" ht="15" customHeight="1" x14ac:dyDescent="0.45">
      <c r="B913" s="15" t="s">
        <v>408</v>
      </c>
      <c r="C913" s="65">
        <v>236</v>
      </c>
    </row>
    <row r="914" spans="1:10" ht="15" customHeight="1" x14ac:dyDescent="0.45">
      <c r="B914" s="15" t="s">
        <v>104</v>
      </c>
      <c r="C914" s="66">
        <v>0.7</v>
      </c>
    </row>
    <row r="915" spans="1:10" ht="15" customHeight="1" x14ac:dyDescent="0.45">
      <c r="B915" s="15" t="s">
        <v>91</v>
      </c>
      <c r="C915" s="65">
        <v>200</v>
      </c>
    </row>
    <row r="916" spans="1:10" ht="15" customHeight="1" x14ac:dyDescent="0.45">
      <c r="B916" s="15" t="s">
        <v>241</v>
      </c>
      <c r="C916">
        <f>C912+C913+(1-C914)*C915</f>
        <v>421</v>
      </c>
    </row>
    <row r="919" spans="1:10" ht="15" customHeight="1" x14ac:dyDescent="0.45">
      <c r="A919" s="14" t="s">
        <v>374</v>
      </c>
    </row>
    <row r="920" spans="1:10" ht="15" customHeight="1" x14ac:dyDescent="0.45">
      <c r="B920" s="15" t="s">
        <v>248</v>
      </c>
    </row>
    <row r="921" spans="1:10" ht="15" customHeight="1" x14ac:dyDescent="0.45">
      <c r="B921" s="15" t="s">
        <v>249</v>
      </c>
    </row>
    <row r="922" spans="1:10" ht="15" customHeight="1" x14ac:dyDescent="0.45">
      <c r="C922" s="78"/>
      <c r="D922" s="78"/>
      <c r="E922" s="78"/>
      <c r="F922" s="78"/>
      <c r="G922" s="78"/>
      <c r="H922" s="78"/>
      <c r="I922" s="78" t="s">
        <v>250</v>
      </c>
      <c r="J922" s="78" t="s">
        <v>251</v>
      </c>
    </row>
    <row r="923" spans="1:10" ht="15" customHeight="1" x14ac:dyDescent="0.45">
      <c r="B923" s="84" t="s">
        <v>243</v>
      </c>
      <c r="C923" s="88" t="s">
        <v>176</v>
      </c>
      <c r="D923" s="88" t="s">
        <v>244</v>
      </c>
      <c r="E923" s="88" t="s">
        <v>245</v>
      </c>
      <c r="F923" s="88" t="s">
        <v>146</v>
      </c>
      <c r="G923" s="88" t="s">
        <v>147</v>
      </c>
      <c r="H923" s="88" t="s">
        <v>246</v>
      </c>
      <c r="I923" s="88" t="s">
        <v>85</v>
      </c>
      <c r="J923" s="88" t="s">
        <v>247</v>
      </c>
    </row>
    <row r="924" spans="1:10" ht="15" customHeight="1" x14ac:dyDescent="0.45">
      <c r="B924" s="87">
        <v>0</v>
      </c>
      <c r="C924" s="70">
        <v>10</v>
      </c>
      <c r="D924" s="65">
        <v>100</v>
      </c>
      <c r="E924">
        <f>C924*D924</f>
        <v>1000</v>
      </c>
      <c r="F924" s="65">
        <v>300</v>
      </c>
      <c r="G924" s="65">
        <v>50</v>
      </c>
      <c r="H924">
        <f>E924+F924-G924</f>
        <v>1250</v>
      </c>
      <c r="I924" s="65">
        <v>120</v>
      </c>
      <c r="J924" s="86">
        <f>H924/I924</f>
        <v>10.416666666666666</v>
      </c>
    </row>
    <row r="925" spans="1:10" ht="15" customHeight="1" x14ac:dyDescent="0.45">
      <c r="B925" s="85">
        <f>B924+0.1</f>
        <v>0.1</v>
      </c>
      <c r="C925" s="71">
        <f>$C$924*(1+B925)</f>
        <v>11</v>
      </c>
      <c r="D925">
        <f>D924</f>
        <v>100</v>
      </c>
      <c r="E925">
        <f t="shared" ref="E925:E929" si="4">C925*D925</f>
        <v>1100</v>
      </c>
      <c r="F925">
        <f t="shared" ref="F925:G929" si="5">F924</f>
        <v>300</v>
      </c>
      <c r="G925">
        <f t="shared" si="5"/>
        <v>50</v>
      </c>
      <c r="H925">
        <f t="shared" ref="H925:H929" si="6">E925+F925-G925</f>
        <v>1350</v>
      </c>
      <c r="I925">
        <f>I924</f>
        <v>120</v>
      </c>
      <c r="J925" s="86">
        <f t="shared" ref="J925:J929" si="7">H925/I925</f>
        <v>11.25</v>
      </c>
    </row>
    <row r="926" spans="1:10" ht="15" customHeight="1" x14ac:dyDescent="0.45">
      <c r="B926" s="85">
        <f>B925+0.1</f>
        <v>0.2</v>
      </c>
      <c r="C926" s="71">
        <f>$C$924*(1+B926)</f>
        <v>12</v>
      </c>
      <c r="D926">
        <f>D925</f>
        <v>100</v>
      </c>
      <c r="E926">
        <f t="shared" si="4"/>
        <v>1200</v>
      </c>
      <c r="F926">
        <f t="shared" si="5"/>
        <v>300</v>
      </c>
      <c r="G926">
        <f t="shared" si="5"/>
        <v>50</v>
      </c>
      <c r="H926">
        <f t="shared" si="6"/>
        <v>1450</v>
      </c>
      <c r="I926">
        <f>I925</f>
        <v>120</v>
      </c>
      <c r="J926" s="86">
        <f t="shared" si="7"/>
        <v>12.083333333333334</v>
      </c>
    </row>
    <row r="927" spans="1:10" ht="15" customHeight="1" x14ac:dyDescent="0.45">
      <c r="B927" s="85">
        <f>B926+0.1</f>
        <v>0.30000000000000004</v>
      </c>
      <c r="C927" s="71">
        <f>$C$924*(1+B927)</f>
        <v>13</v>
      </c>
      <c r="D927">
        <f>D926</f>
        <v>100</v>
      </c>
      <c r="E927">
        <f t="shared" si="4"/>
        <v>1300</v>
      </c>
      <c r="F927">
        <f t="shared" si="5"/>
        <v>300</v>
      </c>
      <c r="G927">
        <f t="shared" si="5"/>
        <v>50</v>
      </c>
      <c r="H927">
        <f t="shared" si="6"/>
        <v>1550</v>
      </c>
      <c r="I927">
        <f>I926</f>
        <v>120</v>
      </c>
      <c r="J927" s="86">
        <f t="shared" si="7"/>
        <v>12.916666666666666</v>
      </c>
    </row>
    <row r="928" spans="1:10" ht="15" customHeight="1" x14ac:dyDescent="0.45">
      <c r="B928" s="85">
        <f>B927+0.1</f>
        <v>0.4</v>
      </c>
      <c r="C928" s="71">
        <f>$C$924*(1+B928)</f>
        <v>14</v>
      </c>
      <c r="D928">
        <f>D927</f>
        <v>100</v>
      </c>
      <c r="E928">
        <f t="shared" si="4"/>
        <v>1400</v>
      </c>
      <c r="F928">
        <f t="shared" si="5"/>
        <v>300</v>
      </c>
      <c r="G928">
        <f t="shared" si="5"/>
        <v>50</v>
      </c>
      <c r="H928">
        <f t="shared" si="6"/>
        <v>1650</v>
      </c>
      <c r="I928">
        <f>I927</f>
        <v>120</v>
      </c>
      <c r="J928" s="86">
        <f t="shared" si="7"/>
        <v>13.75</v>
      </c>
    </row>
    <row r="929" spans="1:10" ht="15" customHeight="1" x14ac:dyDescent="0.45">
      <c r="B929" s="85">
        <f>B928+0.1</f>
        <v>0.5</v>
      </c>
      <c r="C929" s="71">
        <f>$C$924*(1+B929)</f>
        <v>15</v>
      </c>
      <c r="D929">
        <f>D928</f>
        <v>100</v>
      </c>
      <c r="E929">
        <f t="shared" si="4"/>
        <v>1500</v>
      </c>
      <c r="F929">
        <f t="shared" si="5"/>
        <v>300</v>
      </c>
      <c r="G929">
        <f t="shared" si="5"/>
        <v>50</v>
      </c>
      <c r="H929">
        <f t="shared" si="6"/>
        <v>1750</v>
      </c>
      <c r="I929">
        <f>I928</f>
        <v>120</v>
      </c>
      <c r="J929" s="86">
        <f t="shared" si="7"/>
        <v>14.583333333333334</v>
      </c>
    </row>
    <row r="931" spans="1:10" ht="15" customHeight="1" x14ac:dyDescent="0.45">
      <c r="A931" s="14" t="s">
        <v>424</v>
      </c>
      <c r="B931"/>
    </row>
    <row r="932" spans="1:10" ht="15" customHeight="1" x14ac:dyDescent="0.45">
      <c r="A932"/>
      <c r="B932"/>
    </row>
    <row r="933" spans="1:10" ht="15" customHeight="1" x14ac:dyDescent="0.45">
      <c r="A933"/>
      <c r="B933"/>
    </row>
    <row r="938" spans="1:10" ht="15" customHeight="1" x14ac:dyDescent="0.45">
      <c r="C938" s="71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268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425</v>
      </c>
    </row>
    <row r="5" spans="1:10" ht="15" customHeight="1" x14ac:dyDescent="0.45">
      <c r="C5" s="78" t="s">
        <v>269</v>
      </c>
      <c r="D5" s="78" t="s">
        <v>277</v>
      </c>
      <c r="F5" s="78" t="s">
        <v>28</v>
      </c>
      <c r="G5" s="78" t="s">
        <v>286</v>
      </c>
      <c r="H5" s="78" t="s">
        <v>287</v>
      </c>
    </row>
    <row r="6" spans="1:10" ht="15" customHeight="1" x14ac:dyDescent="0.45">
      <c r="B6" s="15" t="s">
        <v>34</v>
      </c>
      <c r="C6" s="70">
        <v>18</v>
      </c>
      <c r="D6" s="70">
        <v>4</v>
      </c>
      <c r="F6" s="65">
        <v>5</v>
      </c>
      <c r="G6" s="70">
        <v>3</v>
      </c>
      <c r="H6">
        <f>(D8-G6)/D8*F6</f>
        <v>2</v>
      </c>
    </row>
    <row r="7" spans="1:10" ht="15" customHeight="1" x14ac:dyDescent="0.45">
      <c r="B7" s="15" t="s">
        <v>73</v>
      </c>
      <c r="C7" s="78"/>
      <c r="D7" s="90">
        <v>0.25</v>
      </c>
    </row>
    <row r="8" spans="1:10" ht="15" customHeight="1" x14ac:dyDescent="0.45">
      <c r="B8" s="15" t="s">
        <v>278</v>
      </c>
      <c r="D8" s="71">
        <f>D6*(1+D7)</f>
        <v>5</v>
      </c>
    </row>
    <row r="9" spans="1:10" ht="15" customHeight="1" x14ac:dyDescent="0.45">
      <c r="B9" s="15" t="s">
        <v>177</v>
      </c>
      <c r="D9" s="65">
        <v>31</v>
      </c>
    </row>
    <row r="10" spans="1:10" ht="15" customHeight="1" x14ac:dyDescent="0.45">
      <c r="B10" s="15" t="s">
        <v>31</v>
      </c>
      <c r="C10" s="65">
        <v>15</v>
      </c>
      <c r="D10">
        <f>D9+H6</f>
        <v>33</v>
      </c>
    </row>
    <row r="11" spans="1:10" ht="15" customHeight="1" x14ac:dyDescent="0.45">
      <c r="B11" s="15" t="s">
        <v>296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215</v>
      </c>
      <c r="D12">
        <f>D10*D8</f>
        <v>165</v>
      </c>
    </row>
    <row r="13" spans="1:10" ht="15" customHeight="1" x14ac:dyDescent="0.45">
      <c r="B13" s="15" t="s">
        <v>282</v>
      </c>
      <c r="D13" s="65">
        <v>40</v>
      </c>
    </row>
    <row r="14" spans="1:10" ht="15" customHeight="1" x14ac:dyDescent="0.45">
      <c r="B14" s="15" t="s">
        <v>288</v>
      </c>
      <c r="D14" s="65">
        <v>20</v>
      </c>
    </row>
    <row r="15" spans="1:10" ht="15" customHeight="1" x14ac:dyDescent="0.45">
      <c r="B15" s="15" t="s">
        <v>283</v>
      </c>
      <c r="D15">
        <f>D13+D12+D14</f>
        <v>225</v>
      </c>
    </row>
    <row r="16" spans="1:10" ht="15" customHeight="1" x14ac:dyDescent="0.45">
      <c r="B16" s="15" t="s">
        <v>284</v>
      </c>
      <c r="D16" s="65">
        <v>10</v>
      </c>
    </row>
    <row r="17" spans="1:8" ht="15" customHeight="1" x14ac:dyDescent="0.45">
      <c r="D17" s="65"/>
      <c r="H17" s="15"/>
    </row>
    <row r="18" spans="1:8" ht="15" customHeight="1" x14ac:dyDescent="0.45">
      <c r="A18" s="14" t="s">
        <v>291</v>
      </c>
      <c r="D18" s="65"/>
      <c r="H18" s="15"/>
    </row>
    <row r="19" spans="1:8" ht="15" customHeight="1" x14ac:dyDescent="0.45">
      <c r="B19" s="15" t="s">
        <v>295</v>
      </c>
      <c r="C19" s="89">
        <v>5</v>
      </c>
      <c r="D19" s="65"/>
      <c r="H19" s="15"/>
    </row>
    <row r="20" spans="1:8" ht="15" customHeight="1" x14ac:dyDescent="0.45">
      <c r="B20" s="15" t="s">
        <v>104</v>
      </c>
      <c r="C20" s="90">
        <v>0.3</v>
      </c>
      <c r="D20" s="65"/>
      <c r="H20" s="15"/>
    </row>
    <row r="21" spans="1:8" ht="15" customHeight="1" x14ac:dyDescent="0.45">
      <c r="B21" s="15" t="s">
        <v>436</v>
      </c>
      <c r="C21" s="90">
        <v>0.05</v>
      </c>
      <c r="D21" s="65"/>
      <c r="H21" s="15"/>
    </row>
    <row r="22" spans="1:8" ht="15" customHeight="1" x14ac:dyDescent="0.45">
      <c r="B22" s="15" t="s">
        <v>93</v>
      </c>
      <c r="C22" s="90">
        <v>0.3</v>
      </c>
      <c r="D22" s="65"/>
      <c r="H22" s="15"/>
    </row>
    <row r="23" spans="1:8" ht="15" customHeight="1" x14ac:dyDescent="0.45">
      <c r="B23" s="15" t="s">
        <v>285</v>
      </c>
      <c r="C23" s="90">
        <v>5.0000000000000001E-3</v>
      </c>
      <c r="D23" s="65"/>
      <c r="H23" s="15"/>
    </row>
    <row r="24" spans="1:8" ht="15" customHeight="1" x14ac:dyDescent="0.45">
      <c r="D24" s="65"/>
    </row>
    <row r="25" spans="1:8" ht="15" customHeight="1" x14ac:dyDescent="0.45">
      <c r="A25" s="14" t="s">
        <v>289</v>
      </c>
      <c r="D25" s="65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292</v>
      </c>
      <c r="G26">
        <f>C29</f>
        <v>10</v>
      </c>
    </row>
    <row r="27" spans="1:8" ht="15" customHeight="1" x14ac:dyDescent="0.45">
      <c r="B27" s="15" t="s">
        <v>282</v>
      </c>
      <c r="C27">
        <f>D13</f>
        <v>40</v>
      </c>
      <c r="E27" s="15" t="s">
        <v>280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281</v>
      </c>
      <c r="G28">
        <f>C20*C26</f>
        <v>49.5</v>
      </c>
    </row>
    <row r="29" spans="1:8" ht="15" customHeight="1" x14ac:dyDescent="0.45">
      <c r="B29" s="15" t="s">
        <v>284</v>
      </c>
      <c r="C29">
        <f>D16</f>
        <v>10</v>
      </c>
      <c r="E29" s="15"/>
    </row>
    <row r="30" spans="1:8" ht="15" customHeight="1" x14ac:dyDescent="0.45">
      <c r="B30" s="15" t="s">
        <v>279</v>
      </c>
      <c r="C30">
        <f>C23*D15</f>
        <v>1.125</v>
      </c>
      <c r="E30" s="15"/>
    </row>
    <row r="31" spans="1:8" ht="15" customHeight="1" x14ac:dyDescent="0.45">
      <c r="B31" s="15" t="s">
        <v>23</v>
      </c>
      <c r="C31">
        <f>SUM(C26:C30)</f>
        <v>236.125</v>
      </c>
      <c r="E31" s="15" t="s">
        <v>26</v>
      </c>
      <c r="G31">
        <f>SUM(G26:G28)</f>
        <v>236.125</v>
      </c>
    </row>
    <row r="32" spans="1:8" ht="15" customHeight="1" x14ac:dyDescent="0.45">
      <c r="D32" s="65"/>
    </row>
    <row r="33" spans="1:6" ht="15" customHeight="1" x14ac:dyDescent="0.45">
      <c r="A33" s="14" t="s">
        <v>297</v>
      </c>
      <c r="C33" s="78" t="s">
        <v>298</v>
      </c>
      <c r="D33" s="78" t="s">
        <v>299</v>
      </c>
    </row>
    <row r="34" spans="1:6" ht="15" customHeight="1" x14ac:dyDescent="0.45">
      <c r="B34" s="15" t="s">
        <v>113</v>
      </c>
      <c r="C34">
        <f>C10</f>
        <v>15</v>
      </c>
      <c r="D34" s="64">
        <f>C34/$C$36</f>
        <v>0.84507042253521125</v>
      </c>
    </row>
    <row r="35" spans="1:6" ht="15" customHeight="1" x14ac:dyDescent="0.45">
      <c r="B35" s="15" t="s">
        <v>100</v>
      </c>
      <c r="C35">
        <f>G28/C6</f>
        <v>2.75</v>
      </c>
      <c r="D35" s="64">
        <f>C35/$C$36</f>
        <v>0.15492957746478872</v>
      </c>
    </row>
    <row r="36" spans="1:6" ht="15" customHeight="1" x14ac:dyDescent="0.45">
      <c r="B36" s="15" t="s">
        <v>115</v>
      </c>
      <c r="C36">
        <f>SUM(C34:C35)</f>
        <v>17.75</v>
      </c>
      <c r="D36" s="65"/>
    </row>
    <row r="37" spans="1:6" ht="15" customHeight="1" x14ac:dyDescent="0.45">
      <c r="D37" s="65"/>
    </row>
    <row r="38" spans="1:6" ht="15" customHeight="1" x14ac:dyDescent="0.45">
      <c r="A38" s="14" t="s">
        <v>290</v>
      </c>
      <c r="D38" s="78" t="s">
        <v>271</v>
      </c>
      <c r="E38" s="78" t="s">
        <v>272</v>
      </c>
      <c r="F38" s="78" t="s">
        <v>273</v>
      </c>
    </row>
    <row r="39" spans="1:6" ht="15" customHeight="1" x14ac:dyDescent="0.45">
      <c r="B39" s="15" t="s">
        <v>126</v>
      </c>
      <c r="D39" s="68">
        <f>$C$6/D45</f>
        <v>14.285714285714286</v>
      </c>
      <c r="E39" s="68">
        <f>$C$6/E45</f>
        <v>13.636363636363635</v>
      </c>
      <c r="F39" s="68">
        <f>$C$6/F45</f>
        <v>12.949640287769785</v>
      </c>
    </row>
    <row r="40" spans="1:6" ht="15" customHeight="1" x14ac:dyDescent="0.45">
      <c r="B40" s="15" t="s">
        <v>127</v>
      </c>
      <c r="D40" s="68">
        <f>$D$8/D50</f>
        <v>17.857142857142854</v>
      </c>
      <c r="E40" s="68">
        <f>$D$8/E50</f>
        <v>15.15151515151515</v>
      </c>
      <c r="F40" s="68">
        <f>$D$8/F50</f>
        <v>13.888888888888889</v>
      </c>
    </row>
    <row r="41" spans="1:6" ht="15" customHeight="1" x14ac:dyDescent="0.45">
      <c r="B41" s="15" t="s">
        <v>125</v>
      </c>
      <c r="D41" s="68">
        <f>1/($C$21*(1-$C$22))</f>
        <v>28.571428571428573</v>
      </c>
      <c r="E41" s="68">
        <f>1/($C$21*(1-$C$22))</f>
        <v>28.571428571428573</v>
      </c>
      <c r="F41" s="68">
        <f>1/($C$21*(1-$C$22))</f>
        <v>28.571428571428573</v>
      </c>
    </row>
    <row r="43" spans="1:6" ht="15" customHeight="1" x14ac:dyDescent="0.45">
      <c r="A43" s="14" t="s">
        <v>263</v>
      </c>
    </row>
    <row r="44" spans="1:6" ht="15" customHeight="1" x14ac:dyDescent="0.45">
      <c r="B44" s="15" t="s">
        <v>269</v>
      </c>
      <c r="C44" s="78" t="s">
        <v>270</v>
      </c>
      <c r="D44" s="78" t="s">
        <v>271</v>
      </c>
      <c r="E44" s="78" t="s">
        <v>272</v>
      </c>
      <c r="F44" s="78" t="s">
        <v>273</v>
      </c>
    </row>
    <row r="45" spans="1:6" ht="15" customHeight="1" x14ac:dyDescent="0.45">
      <c r="B45" s="15" t="s">
        <v>274</v>
      </c>
      <c r="C45" s="70">
        <v>1.2</v>
      </c>
      <c r="D45" s="70">
        <v>1.26</v>
      </c>
      <c r="E45" s="70">
        <v>1.32</v>
      </c>
      <c r="F45" s="70">
        <v>1.39</v>
      </c>
    </row>
    <row r="46" spans="1:6" ht="15" customHeight="1" x14ac:dyDescent="0.45">
      <c r="B46" s="15" t="s">
        <v>275</v>
      </c>
      <c r="C46" s="65">
        <v>15</v>
      </c>
      <c r="D46" s="65">
        <v>15</v>
      </c>
      <c r="E46" s="65">
        <v>15</v>
      </c>
      <c r="F46" s="65">
        <v>15</v>
      </c>
    </row>
    <row r="47" spans="1:6" ht="15" customHeight="1" x14ac:dyDescent="0.45">
      <c r="B47" s="15" t="s">
        <v>89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277</v>
      </c>
      <c r="C49" s="78" t="s">
        <v>270</v>
      </c>
      <c r="D49" s="78" t="s">
        <v>271</v>
      </c>
      <c r="E49" s="78" t="s">
        <v>272</v>
      </c>
      <c r="F49" s="78" t="s">
        <v>273</v>
      </c>
    </row>
    <row r="50" spans="2:6" ht="15" customHeight="1" x14ac:dyDescent="0.45">
      <c r="B50" s="15" t="s">
        <v>274</v>
      </c>
      <c r="C50" s="70">
        <v>0.24</v>
      </c>
      <c r="D50" s="70">
        <v>0.28000000000000003</v>
      </c>
      <c r="E50" s="70">
        <v>0.33</v>
      </c>
      <c r="F50" s="70">
        <v>0.36</v>
      </c>
    </row>
    <row r="51" spans="2:6" ht="15" customHeight="1" x14ac:dyDescent="0.45">
      <c r="B51" s="15" t="s">
        <v>275</v>
      </c>
      <c r="C51" s="65">
        <v>33</v>
      </c>
      <c r="D51" s="65">
        <v>33</v>
      </c>
      <c r="E51" s="65">
        <v>33</v>
      </c>
      <c r="F51" s="65">
        <v>33</v>
      </c>
    </row>
    <row r="52" spans="2:6" ht="15" customHeight="1" x14ac:dyDescent="0.45">
      <c r="B52" s="15" t="s">
        <v>89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220</v>
      </c>
      <c r="C54" s="78" t="s">
        <v>270</v>
      </c>
      <c r="D54" s="78" t="s">
        <v>271</v>
      </c>
      <c r="E54" s="78" t="s">
        <v>272</v>
      </c>
      <c r="F54" s="78" t="s">
        <v>273</v>
      </c>
    </row>
    <row r="55" spans="2:6" ht="15" customHeight="1" x14ac:dyDescent="0.45">
      <c r="B55" s="79" t="s">
        <v>302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9" t="s">
        <v>301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9" t="s">
        <v>303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9" t="s">
        <v>352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112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115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116</v>
      </c>
      <c r="C61" s="71">
        <f>C59/C60</f>
        <v>1.3683450704225353</v>
      </c>
      <c r="D61" s="71">
        <f>D59/D60</f>
        <v>1.4934154929577466</v>
      </c>
      <c r="E61" s="71">
        <f>E59/E60</f>
        <v>1.6370774647887323</v>
      </c>
      <c r="F61" s="71">
        <f>F59/F60</f>
        <v>1.752007042253521</v>
      </c>
    </row>
    <row r="62" spans="2:6" ht="15" customHeight="1" x14ac:dyDescent="0.45">
      <c r="B62" s="15" t="s">
        <v>135</v>
      </c>
      <c r="C62" s="71">
        <f>C45</f>
        <v>1.2</v>
      </c>
      <c r="D62" s="71">
        <f>D45</f>
        <v>1.26</v>
      </c>
      <c r="E62" s="71">
        <f>E45</f>
        <v>1.32</v>
      </c>
      <c r="F62" s="71">
        <f>F45</f>
        <v>1.39</v>
      </c>
    </row>
    <row r="63" spans="2:6" ht="15" customHeight="1" x14ac:dyDescent="0.45">
      <c r="B63" s="15" t="s">
        <v>263</v>
      </c>
      <c r="C63" s="64">
        <f>C61/C62-1</f>
        <v>0.14028755868544618</v>
      </c>
      <c r="D63" s="64">
        <f>D61/D62-1</f>
        <v>0.18525039123630682</v>
      </c>
      <c r="E63" s="64">
        <f>E61/E62-1</f>
        <v>0.2402102005975244</v>
      </c>
      <c r="F63" s="64">
        <f>F61/F62-1</f>
        <v>0.26043672104569859</v>
      </c>
    </row>
    <row r="65" spans="1:5" ht="15" customHeight="1" x14ac:dyDescent="0.45">
      <c r="A65" s="14" t="s">
        <v>294</v>
      </c>
      <c r="C65" s="78" t="s">
        <v>269</v>
      </c>
      <c r="D65" s="78" t="s">
        <v>277</v>
      </c>
      <c r="E65" s="78" t="s">
        <v>220</v>
      </c>
    </row>
    <row r="66" spans="1:5" ht="15" customHeight="1" x14ac:dyDescent="0.45">
      <c r="B66" s="15" t="s">
        <v>85</v>
      </c>
      <c r="C66" s="65">
        <v>156</v>
      </c>
      <c r="D66" s="65">
        <v>20</v>
      </c>
      <c r="E66">
        <f>C66+D66+C19</f>
        <v>181</v>
      </c>
    </row>
    <row r="67" spans="1:5" ht="15" customHeight="1" x14ac:dyDescent="0.45">
      <c r="B67" s="15" t="s">
        <v>146</v>
      </c>
      <c r="C67" s="65">
        <v>300</v>
      </c>
      <c r="D67" s="65">
        <v>40</v>
      </c>
      <c r="E67">
        <f>C67+D67-D67+G26+G27</f>
        <v>486.625</v>
      </c>
    </row>
    <row r="68" spans="1:5" ht="15" customHeight="1" x14ac:dyDescent="0.45">
      <c r="B68" s="15" t="s">
        <v>300</v>
      </c>
      <c r="C68" s="68">
        <f>C67/C66</f>
        <v>1.9230769230769231</v>
      </c>
      <c r="D68" s="68">
        <f>D67/D66</f>
        <v>2</v>
      </c>
      <c r="E68" s="68">
        <f>E67/E66</f>
        <v>2.6885359116022101</v>
      </c>
    </row>
    <row r="70" spans="1:5" ht="15" customHeight="1" x14ac:dyDescent="0.45">
      <c r="A70" s="14" t="s">
        <v>305</v>
      </c>
    </row>
    <row r="71" spans="1:5" ht="15" customHeight="1" x14ac:dyDescent="0.45">
      <c r="B71" s="15" t="str">
        <f>B12</f>
        <v>Acquisition equity value</v>
      </c>
      <c r="C71">
        <f>D12</f>
        <v>165</v>
      </c>
    </row>
    <row r="72" spans="1:5" ht="15" customHeight="1" x14ac:dyDescent="0.45">
      <c r="B72" s="15" t="str">
        <f>B11</f>
        <v>Market cap</v>
      </c>
      <c r="C72">
        <f>D11</f>
        <v>132</v>
      </c>
    </row>
    <row r="73" spans="1:5" ht="15" customHeight="1" x14ac:dyDescent="0.45">
      <c r="B73" s="15" t="s">
        <v>306</v>
      </c>
      <c r="C73">
        <f>C71-C72</f>
        <v>33</v>
      </c>
    </row>
    <row r="75" spans="1:5" ht="15" customHeight="1" x14ac:dyDescent="0.45">
      <c r="B75" s="15" t="s">
        <v>307</v>
      </c>
      <c r="C75" s="91">
        <v>7.0000000000000007E-2</v>
      </c>
    </row>
    <row r="76" spans="1:5" ht="15" customHeight="1" x14ac:dyDescent="0.45">
      <c r="B76" s="15" t="s">
        <v>199</v>
      </c>
      <c r="C76" s="91">
        <v>0.03</v>
      </c>
    </row>
    <row r="77" spans="1:5" ht="15" customHeight="1" x14ac:dyDescent="0.45">
      <c r="B77" s="15" t="s">
        <v>201</v>
      </c>
      <c r="C77" s="64">
        <f>SUM(C75:C76)</f>
        <v>0.1</v>
      </c>
    </row>
    <row r="78" spans="1:5" ht="15" customHeight="1" x14ac:dyDescent="0.45">
      <c r="C78" s="64"/>
    </row>
    <row r="79" spans="1:5" ht="15" customHeight="1" x14ac:dyDescent="0.45">
      <c r="D79" s="78" t="s">
        <v>271</v>
      </c>
    </row>
    <row r="80" spans="1:5" ht="15" customHeight="1" x14ac:dyDescent="0.45">
      <c r="B80" s="15" t="s">
        <v>203</v>
      </c>
      <c r="D80">
        <f>C19*(1-C22)</f>
        <v>3.5</v>
      </c>
    </row>
    <row r="81" spans="1:4" ht="15" customHeight="1" x14ac:dyDescent="0.45">
      <c r="B81" s="15" t="s">
        <v>308</v>
      </c>
      <c r="C81">
        <f>D80/C77</f>
        <v>35</v>
      </c>
    </row>
    <row r="82" spans="1:4" ht="15" customHeight="1" x14ac:dyDescent="0.45">
      <c r="B82" s="15" t="s">
        <v>208</v>
      </c>
      <c r="C82">
        <f>C81-C73</f>
        <v>2</v>
      </c>
    </row>
    <row r="84" spans="1:4" ht="15" customHeight="1" x14ac:dyDescent="0.45">
      <c r="A84" s="14" t="s">
        <v>309</v>
      </c>
    </row>
    <row r="85" spans="1:4" ht="15" customHeight="1" x14ac:dyDescent="0.45">
      <c r="C85" s="78" t="s">
        <v>314</v>
      </c>
      <c r="D85" s="78" t="s">
        <v>271</v>
      </c>
    </row>
    <row r="86" spans="1:4" ht="15" customHeight="1" x14ac:dyDescent="0.45">
      <c r="B86" s="15" t="s">
        <v>310</v>
      </c>
      <c r="D86" s="65">
        <v>16</v>
      </c>
    </row>
    <row r="87" spans="1:4" ht="15" customHeight="1" x14ac:dyDescent="0.45">
      <c r="B87" s="15" t="s">
        <v>311</v>
      </c>
      <c r="D87">
        <f>D86*(1-C22)</f>
        <v>11.2</v>
      </c>
    </row>
    <row r="88" spans="1:4" ht="15" customHeight="1" x14ac:dyDescent="0.45">
      <c r="B88" s="15" t="str">
        <f>B80</f>
        <v>Post tax synergies</v>
      </c>
      <c r="D88">
        <f>D80</f>
        <v>3.5</v>
      </c>
    </row>
    <row r="89" spans="1:4" ht="15" customHeight="1" x14ac:dyDescent="0.45">
      <c r="B89" s="15" t="s">
        <v>312</v>
      </c>
      <c r="D89">
        <f>D87+D88</f>
        <v>14.7</v>
      </c>
    </row>
    <row r="91" spans="1:4" ht="15" customHeight="1" x14ac:dyDescent="0.45">
      <c r="B91" s="15" t="s">
        <v>313</v>
      </c>
      <c r="C91">
        <f>D15+D16+C30</f>
        <v>236.125</v>
      </c>
    </row>
    <row r="92" spans="1:4" ht="15" customHeight="1" x14ac:dyDescent="0.45">
      <c r="B92" s="15" t="s">
        <v>141</v>
      </c>
      <c r="C92" s="64">
        <f>D89/C91</f>
        <v>6.2255161461090523E-2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BE73-FC6F-4639-8D3B-C115DC5F365E}">
  <sheetPr>
    <pageSetUpPr fitToPage="1"/>
  </sheetPr>
  <dimension ref="A1:J95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268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425</v>
      </c>
    </row>
    <row r="5" spans="1:10" ht="15" customHeight="1" x14ac:dyDescent="0.45">
      <c r="C5" s="78" t="s">
        <v>269</v>
      </c>
      <c r="D5" s="78" t="s">
        <v>277</v>
      </c>
      <c r="F5" s="78" t="s">
        <v>28</v>
      </c>
      <c r="G5" s="78" t="s">
        <v>286</v>
      </c>
      <c r="H5" s="78" t="s">
        <v>287</v>
      </c>
    </row>
    <row r="6" spans="1:10" ht="15" customHeight="1" x14ac:dyDescent="0.45">
      <c r="B6" s="15" t="s">
        <v>34</v>
      </c>
      <c r="C6" s="70">
        <v>11</v>
      </c>
      <c r="D6" s="70">
        <v>4</v>
      </c>
      <c r="F6" s="65">
        <v>10</v>
      </c>
      <c r="G6" s="70">
        <v>4</v>
      </c>
      <c r="H6">
        <f>(D8-G6)/D8*F6</f>
        <v>1.6666666666666663</v>
      </c>
    </row>
    <row r="7" spans="1:10" ht="15" customHeight="1" x14ac:dyDescent="0.45">
      <c r="B7" s="15" t="s">
        <v>73</v>
      </c>
      <c r="C7" s="78"/>
      <c r="D7" s="90">
        <v>0.2</v>
      </c>
    </row>
    <row r="8" spans="1:10" ht="15" customHeight="1" x14ac:dyDescent="0.45">
      <c r="B8" s="15" t="s">
        <v>278</v>
      </c>
      <c r="D8" s="71">
        <f>D6*(1+D7)</f>
        <v>4.8</v>
      </c>
    </row>
    <row r="9" spans="1:10" ht="15" customHeight="1" x14ac:dyDescent="0.45">
      <c r="B9" s="15" t="s">
        <v>177</v>
      </c>
      <c r="D9" s="65">
        <v>45</v>
      </c>
    </row>
    <row r="10" spans="1:10" ht="15" customHeight="1" x14ac:dyDescent="0.45">
      <c r="B10" s="15" t="s">
        <v>31</v>
      </c>
      <c r="C10" s="65">
        <v>200</v>
      </c>
      <c r="D10">
        <f>D9+H6</f>
        <v>46.666666666666664</v>
      </c>
    </row>
    <row r="11" spans="1:10" ht="15" customHeight="1" x14ac:dyDescent="0.45">
      <c r="B11" s="15" t="s">
        <v>296</v>
      </c>
      <c r="C11">
        <f>C10*C6</f>
        <v>2200</v>
      </c>
      <c r="D11">
        <f>D10*D6</f>
        <v>186.66666666666666</v>
      </c>
    </row>
    <row r="12" spans="1:10" ht="15" customHeight="1" x14ac:dyDescent="0.45">
      <c r="B12" s="15" t="s">
        <v>215</v>
      </c>
      <c r="D12">
        <f>D10*D8</f>
        <v>223.99999999999997</v>
      </c>
    </row>
    <row r="13" spans="1:10" ht="15" customHeight="1" x14ac:dyDescent="0.45">
      <c r="B13" s="15" t="s">
        <v>282</v>
      </c>
      <c r="D13" s="65">
        <v>100</v>
      </c>
    </row>
    <row r="14" spans="1:10" ht="15" customHeight="1" x14ac:dyDescent="0.45">
      <c r="B14" s="15" t="s">
        <v>288</v>
      </c>
      <c r="D14" s="65">
        <v>15</v>
      </c>
    </row>
    <row r="15" spans="1:10" ht="15" customHeight="1" x14ac:dyDescent="0.45">
      <c r="B15" s="15" t="s">
        <v>283</v>
      </c>
      <c r="D15">
        <f>D13+D12+D14</f>
        <v>339</v>
      </c>
    </row>
    <row r="16" spans="1:10" ht="15" customHeight="1" x14ac:dyDescent="0.45">
      <c r="B16" s="15" t="s">
        <v>284</v>
      </c>
      <c r="D16" s="65">
        <v>5</v>
      </c>
    </row>
    <row r="17" spans="1:8" ht="15" customHeight="1" x14ac:dyDescent="0.45">
      <c r="D17" s="65"/>
      <c r="H17" s="15"/>
    </row>
    <row r="18" spans="1:8" ht="15" customHeight="1" x14ac:dyDescent="0.45">
      <c r="A18" s="14" t="s">
        <v>291</v>
      </c>
      <c r="D18" s="65"/>
      <c r="H18" s="15"/>
    </row>
    <row r="19" spans="1:8" ht="15" customHeight="1" x14ac:dyDescent="0.45">
      <c r="B19" s="15" t="s">
        <v>295</v>
      </c>
      <c r="C19" s="89">
        <v>4</v>
      </c>
      <c r="D19" s="65"/>
      <c r="H19" s="15"/>
    </row>
    <row r="20" spans="1:8" ht="15" customHeight="1" x14ac:dyDescent="0.45">
      <c r="B20" s="15" t="s">
        <v>104</v>
      </c>
      <c r="C20" s="90">
        <v>0.4</v>
      </c>
      <c r="D20" s="65"/>
      <c r="H20" s="15"/>
    </row>
    <row r="21" spans="1:8" ht="15" customHeight="1" x14ac:dyDescent="0.45">
      <c r="B21" s="15" t="s">
        <v>436</v>
      </c>
      <c r="C21" s="90">
        <v>0.05</v>
      </c>
      <c r="D21" s="65"/>
      <c r="H21" s="15"/>
    </row>
    <row r="22" spans="1:8" ht="15" customHeight="1" x14ac:dyDescent="0.45">
      <c r="B22" s="15" t="s">
        <v>93</v>
      </c>
      <c r="C22" s="90">
        <v>0.25</v>
      </c>
      <c r="D22" s="65"/>
      <c r="H22" s="15"/>
    </row>
    <row r="23" spans="1:8" ht="15" customHeight="1" x14ac:dyDescent="0.45">
      <c r="B23" s="15" t="s">
        <v>285</v>
      </c>
      <c r="C23" s="90">
        <v>6.0000000000000001E-3</v>
      </c>
      <c r="D23" s="65"/>
      <c r="H23" s="15"/>
    </row>
    <row r="24" spans="1:8" ht="15" customHeight="1" x14ac:dyDescent="0.45">
      <c r="D24" s="65"/>
    </row>
    <row r="25" spans="1:8" ht="15" customHeight="1" x14ac:dyDescent="0.45">
      <c r="A25" s="14" t="s">
        <v>289</v>
      </c>
      <c r="D25" s="65"/>
    </row>
    <row r="26" spans="1:8" ht="15" customHeight="1" x14ac:dyDescent="0.45">
      <c r="B26" s="15" t="str">
        <f>B12</f>
        <v>Acquisition equity value</v>
      </c>
      <c r="C26">
        <f>D12</f>
        <v>223.99999999999997</v>
      </c>
      <c r="E26" s="15" t="s">
        <v>292</v>
      </c>
      <c r="G26">
        <f>C29</f>
        <v>5</v>
      </c>
    </row>
    <row r="27" spans="1:8" ht="15" customHeight="1" x14ac:dyDescent="0.45">
      <c r="B27" s="15" t="s">
        <v>282</v>
      </c>
      <c r="C27">
        <f>D13</f>
        <v>100</v>
      </c>
      <c r="E27" s="15" t="s">
        <v>280</v>
      </c>
      <c r="G27">
        <f>C31-G26-G28</f>
        <v>251.434</v>
      </c>
    </row>
    <row r="28" spans="1:8" ht="15" customHeight="1" x14ac:dyDescent="0.45">
      <c r="B28" s="15" t="str">
        <f>B14</f>
        <v>Pension deficit adjustment</v>
      </c>
      <c r="C28">
        <f>D14</f>
        <v>15</v>
      </c>
      <c r="E28" s="15" t="s">
        <v>281</v>
      </c>
      <c r="G28">
        <f>C20*C26</f>
        <v>89.6</v>
      </c>
    </row>
    <row r="29" spans="1:8" ht="15" customHeight="1" x14ac:dyDescent="0.45">
      <c r="B29" s="15" t="s">
        <v>284</v>
      </c>
      <c r="C29">
        <f>D16</f>
        <v>5</v>
      </c>
      <c r="E29" s="15"/>
    </row>
    <row r="30" spans="1:8" ht="15" customHeight="1" x14ac:dyDescent="0.45">
      <c r="B30" s="15" t="s">
        <v>279</v>
      </c>
      <c r="C30">
        <f>C23*D15</f>
        <v>2.0340000000000003</v>
      </c>
      <c r="E30" s="15"/>
    </row>
    <row r="31" spans="1:8" ht="15" customHeight="1" x14ac:dyDescent="0.45">
      <c r="B31" s="15" t="s">
        <v>23</v>
      </c>
      <c r="C31">
        <f>SUM(C26:C30)</f>
        <v>346.03399999999999</v>
      </c>
      <c r="E31" s="15" t="s">
        <v>26</v>
      </c>
      <c r="G31">
        <f>SUM(G26:G28)</f>
        <v>346.03399999999999</v>
      </c>
    </row>
    <row r="32" spans="1:8" ht="15" customHeight="1" x14ac:dyDescent="0.45">
      <c r="D32" s="65"/>
    </row>
    <row r="33" spans="1:9" ht="15" customHeight="1" x14ac:dyDescent="0.45">
      <c r="A33" s="14" t="s">
        <v>297</v>
      </c>
      <c r="C33" s="99" t="s">
        <v>298</v>
      </c>
      <c r="D33" s="99" t="s">
        <v>299</v>
      </c>
      <c r="F33" s="99"/>
      <c r="G33" s="99"/>
      <c r="H33" s="31"/>
    </row>
    <row r="34" spans="1:9" ht="15" customHeight="1" x14ac:dyDescent="0.45">
      <c r="B34" s="15" t="s">
        <v>113</v>
      </c>
      <c r="C34" s="31">
        <f>C10</f>
        <v>200</v>
      </c>
      <c r="D34" s="64">
        <f>C34/$C$36</f>
        <v>0.96086652690426266</v>
      </c>
      <c r="F34" s="31"/>
      <c r="G34" s="64"/>
      <c r="H34" s="31"/>
    </row>
    <row r="35" spans="1:9" ht="15" customHeight="1" x14ac:dyDescent="0.45">
      <c r="B35" s="15" t="s">
        <v>100</v>
      </c>
      <c r="C35" s="31">
        <f>G28/C6</f>
        <v>8.1454545454545446</v>
      </c>
      <c r="D35" s="64">
        <f>C35/$C$36</f>
        <v>3.913347309573724E-2</v>
      </c>
      <c r="F35" s="31"/>
      <c r="G35" s="64"/>
      <c r="H35" s="31"/>
    </row>
    <row r="36" spans="1:9" ht="15" customHeight="1" x14ac:dyDescent="0.45">
      <c r="B36" s="15" t="s">
        <v>115</v>
      </c>
      <c r="C36" s="31">
        <f>SUM(C34:C35)</f>
        <v>208.14545454545456</v>
      </c>
      <c r="D36" s="65"/>
      <c r="F36" s="31"/>
      <c r="G36" s="65"/>
      <c r="H36" s="31"/>
    </row>
    <row r="37" spans="1:9" ht="15" customHeight="1" x14ac:dyDescent="0.45">
      <c r="D37" s="65"/>
      <c r="F37" s="31"/>
      <c r="G37" s="31"/>
      <c r="H37" s="31"/>
    </row>
    <row r="38" spans="1:9" ht="15" customHeight="1" x14ac:dyDescent="0.45">
      <c r="A38" s="14" t="s">
        <v>290</v>
      </c>
      <c r="D38" s="78" t="s">
        <v>271</v>
      </c>
      <c r="E38" s="78" t="s">
        <v>272</v>
      </c>
      <c r="F38" s="78" t="s">
        <v>273</v>
      </c>
    </row>
    <row r="39" spans="1:9" ht="15" customHeight="1" x14ac:dyDescent="0.45">
      <c r="B39" s="15" t="s">
        <v>126</v>
      </c>
      <c r="D39" s="98">
        <f>$C$6/D45</f>
        <v>36.666666666666671</v>
      </c>
      <c r="E39" s="98">
        <f>$C$6/E45</f>
        <v>35.483870967741936</v>
      </c>
      <c r="F39" s="98">
        <f>$C$6/F45</f>
        <v>35.483870967741936</v>
      </c>
    </row>
    <row r="40" spans="1:9" ht="15" customHeight="1" x14ac:dyDescent="0.45">
      <c r="B40" s="15" t="s">
        <v>127</v>
      </c>
      <c r="D40" s="98">
        <f>$D$8/D50</f>
        <v>15.584415584415581</v>
      </c>
      <c r="E40" s="98">
        <f>$D$8/E50</f>
        <v>13.223140495867767</v>
      </c>
      <c r="F40" s="98">
        <f>$D$8/F50</f>
        <v>12.121212121212119</v>
      </c>
    </row>
    <row r="41" spans="1:9" ht="15" customHeight="1" x14ac:dyDescent="0.45">
      <c r="B41" s="15" t="s">
        <v>125</v>
      </c>
      <c r="D41" s="98">
        <f>1/($C$21*(1-$C$22))</f>
        <v>26.666666666666664</v>
      </c>
      <c r="E41" s="98">
        <f>1/($C$21*(1-$C$22))</f>
        <v>26.666666666666664</v>
      </c>
      <c r="F41" s="98">
        <f>1/($C$21*(1-$C$22))</f>
        <v>26.666666666666664</v>
      </c>
    </row>
    <row r="43" spans="1:9" ht="15" customHeight="1" x14ac:dyDescent="0.45">
      <c r="A43" s="14" t="s">
        <v>263</v>
      </c>
    </row>
    <row r="44" spans="1:9" ht="15" customHeight="1" x14ac:dyDescent="0.45">
      <c r="B44" s="15" t="s">
        <v>269</v>
      </c>
      <c r="C44" s="78" t="s">
        <v>270</v>
      </c>
      <c r="D44" s="78" t="s">
        <v>271</v>
      </c>
      <c r="E44" s="78" t="s">
        <v>272</v>
      </c>
      <c r="F44" s="78" t="s">
        <v>273</v>
      </c>
    </row>
    <row r="45" spans="1:9" ht="15" customHeight="1" x14ac:dyDescent="0.45">
      <c r="B45" s="15" t="s">
        <v>274</v>
      </c>
      <c r="C45" s="70">
        <v>0.28999999999999998</v>
      </c>
      <c r="D45" s="70">
        <v>0.3</v>
      </c>
      <c r="E45" s="70">
        <v>0.31</v>
      </c>
      <c r="F45" s="70">
        <v>0.31</v>
      </c>
    </row>
    <row r="46" spans="1:9" ht="15" customHeight="1" x14ac:dyDescent="0.45">
      <c r="B46" s="15" t="s">
        <v>275</v>
      </c>
      <c r="C46" s="65">
        <v>200</v>
      </c>
      <c r="D46" s="65">
        <v>200</v>
      </c>
      <c r="E46" s="65">
        <v>200</v>
      </c>
      <c r="F46" s="65">
        <v>200</v>
      </c>
    </row>
    <row r="47" spans="1:9" ht="15" customHeight="1" x14ac:dyDescent="0.45">
      <c r="B47" s="15" t="s">
        <v>89</v>
      </c>
      <c r="C47">
        <f>C46*C45</f>
        <v>57.999999999999993</v>
      </c>
      <c r="D47">
        <f>D46*D45</f>
        <v>60</v>
      </c>
      <c r="E47">
        <f>E46*E45</f>
        <v>62</v>
      </c>
      <c r="F47">
        <f>F46*F45</f>
        <v>62</v>
      </c>
      <c r="I47" s="71"/>
    </row>
    <row r="49" spans="2:7" ht="15" customHeight="1" x14ac:dyDescent="0.45">
      <c r="B49" s="15" t="s">
        <v>277</v>
      </c>
      <c r="C49" s="78" t="s">
        <v>270</v>
      </c>
      <c r="D49" s="78" t="s">
        <v>271</v>
      </c>
      <c r="E49" s="78" t="s">
        <v>272</v>
      </c>
      <c r="F49" s="78" t="s">
        <v>273</v>
      </c>
    </row>
    <row r="50" spans="2:7" ht="15" customHeight="1" x14ac:dyDescent="0.45">
      <c r="B50" s="15" t="s">
        <v>274</v>
      </c>
      <c r="C50" s="70">
        <v>0.26400000000000001</v>
      </c>
      <c r="D50" s="70">
        <v>0.30800000000000005</v>
      </c>
      <c r="E50" s="70">
        <v>0.36300000000000004</v>
      </c>
      <c r="F50" s="70">
        <v>0.39600000000000002</v>
      </c>
    </row>
    <row r="51" spans="2:7" ht="15" customHeight="1" x14ac:dyDescent="0.45">
      <c r="B51" s="15" t="s">
        <v>275</v>
      </c>
      <c r="C51" s="65">
        <v>45</v>
      </c>
      <c r="D51" s="65">
        <v>45</v>
      </c>
      <c r="E51" s="65">
        <v>45</v>
      </c>
      <c r="F51" s="65">
        <v>45</v>
      </c>
    </row>
    <row r="52" spans="2:7" ht="15" customHeight="1" x14ac:dyDescent="0.45">
      <c r="B52" s="15" t="s">
        <v>89</v>
      </c>
      <c r="C52">
        <f>C51*C50</f>
        <v>11.88</v>
      </c>
      <c r="D52">
        <f>D51*D50</f>
        <v>13.860000000000003</v>
      </c>
      <c r="E52">
        <f>E51*E50</f>
        <v>16.335000000000001</v>
      </c>
      <c r="F52">
        <f>F51*F50</f>
        <v>17.82</v>
      </c>
    </row>
    <row r="54" spans="2:7" ht="15" customHeight="1" x14ac:dyDescent="0.45">
      <c r="B54" s="15" t="s">
        <v>220</v>
      </c>
      <c r="C54" s="78" t="s">
        <v>270</v>
      </c>
      <c r="D54" s="78" t="s">
        <v>271</v>
      </c>
      <c r="E54" s="78" t="s">
        <v>272</v>
      </c>
      <c r="F54" s="78" t="s">
        <v>273</v>
      </c>
    </row>
    <row r="55" spans="2:7" ht="15" customHeight="1" x14ac:dyDescent="0.45">
      <c r="B55" s="79" t="s">
        <v>302</v>
      </c>
      <c r="C55">
        <f>C47</f>
        <v>57.999999999999993</v>
      </c>
      <c r="D55">
        <f>D47</f>
        <v>60</v>
      </c>
      <c r="E55">
        <f>E47</f>
        <v>62</v>
      </c>
      <c r="F55">
        <f>F47</f>
        <v>62</v>
      </c>
    </row>
    <row r="56" spans="2:7" ht="15" customHeight="1" x14ac:dyDescent="0.45">
      <c r="B56" s="79" t="s">
        <v>301</v>
      </c>
      <c r="C56">
        <f>C52</f>
        <v>11.88</v>
      </c>
      <c r="D56">
        <f>D52</f>
        <v>13.860000000000003</v>
      </c>
      <c r="E56">
        <f>E52</f>
        <v>16.335000000000001</v>
      </c>
      <c r="F56">
        <f>F52</f>
        <v>17.82</v>
      </c>
    </row>
    <row r="57" spans="2:7" ht="15" customHeight="1" x14ac:dyDescent="0.45">
      <c r="B57" s="79" t="s">
        <v>303</v>
      </c>
      <c r="C57">
        <f>$C$19*(1-$C$22)</f>
        <v>3</v>
      </c>
      <c r="D57">
        <f>$C$19*(1-$C$22)</f>
        <v>3</v>
      </c>
      <c r="E57">
        <f>$C$19*(1-$C$22)</f>
        <v>3</v>
      </c>
      <c r="F57">
        <f>$C$19*(1-$C$22)</f>
        <v>3</v>
      </c>
    </row>
    <row r="58" spans="2:7" ht="15" customHeight="1" x14ac:dyDescent="0.45">
      <c r="B58" s="79" t="s">
        <v>430</v>
      </c>
      <c r="C58">
        <f>-($G$27+$G$26-$C$27)*$C$21*(1-$C$22)</f>
        <v>-5.866274999999999</v>
      </c>
      <c r="D58">
        <f t="shared" ref="D58:F58" si="0">-($G$27+$G$26-$C$27)*$C$21*(1-$C$22)</f>
        <v>-5.866274999999999</v>
      </c>
      <c r="E58">
        <f t="shared" si="0"/>
        <v>-5.866274999999999</v>
      </c>
      <c r="F58">
        <f t="shared" si="0"/>
        <v>-5.866274999999999</v>
      </c>
    </row>
    <row r="59" spans="2:7" ht="15" customHeight="1" x14ac:dyDescent="0.45">
      <c r="B59" s="15" t="s">
        <v>112</v>
      </c>
      <c r="C59">
        <f>SUM(C55:C58)</f>
        <v>67.013724999999994</v>
      </c>
      <c r="D59">
        <f>SUM(D55:D58)</f>
        <v>70.993724999999998</v>
      </c>
      <c r="E59">
        <f>SUM(E55:E58)</f>
        <v>75.468725000000006</v>
      </c>
      <c r="F59">
        <f>SUM(F55:F58)</f>
        <v>76.953724999999991</v>
      </c>
    </row>
    <row r="60" spans="2:7" ht="15" customHeight="1" x14ac:dyDescent="0.45">
      <c r="B60" s="15" t="s">
        <v>115</v>
      </c>
      <c r="C60">
        <f>$C$36</f>
        <v>208.14545454545456</v>
      </c>
      <c r="D60">
        <f>$C$36</f>
        <v>208.14545454545456</v>
      </c>
      <c r="E60">
        <f>$C$36</f>
        <v>208.14545454545456</v>
      </c>
      <c r="F60">
        <f>$C$36</f>
        <v>208.14545454545456</v>
      </c>
    </row>
    <row r="61" spans="2:7" ht="15" customHeight="1" x14ac:dyDescent="0.45">
      <c r="B61" s="15" t="s">
        <v>116</v>
      </c>
      <c r="C61" s="71">
        <f>C59/C60</f>
        <v>0.32195622597833679</v>
      </c>
      <c r="D61" s="71">
        <f>D59/D60</f>
        <v>0.34107746986373161</v>
      </c>
      <c r="E61" s="71">
        <f>E59/E60</f>
        <v>0.36257685840321457</v>
      </c>
      <c r="F61" s="71">
        <f>F59/F60</f>
        <v>0.36971129236547862</v>
      </c>
      <c r="G61" s="71"/>
    </row>
    <row r="62" spans="2:7" ht="15" customHeight="1" x14ac:dyDescent="0.45">
      <c r="B62" s="15" t="s">
        <v>135</v>
      </c>
      <c r="C62" s="71">
        <f>C45</f>
        <v>0.28999999999999998</v>
      </c>
      <c r="D62" s="71">
        <f>D45</f>
        <v>0.3</v>
      </c>
      <c r="E62" s="71">
        <f>E45</f>
        <v>0.31</v>
      </c>
      <c r="F62" s="71">
        <f>F45</f>
        <v>0.31</v>
      </c>
      <c r="G62" s="71"/>
    </row>
    <row r="63" spans="2:7" ht="15" customHeight="1" x14ac:dyDescent="0.45">
      <c r="B63" s="15" t="s">
        <v>263</v>
      </c>
      <c r="C63" s="64">
        <f>C61/C62-1</f>
        <v>0.11019388268391994</v>
      </c>
      <c r="D63" s="64">
        <f>D61/D62-1</f>
        <v>0.13692489954577214</v>
      </c>
      <c r="E63" s="64">
        <f>E61/E62-1</f>
        <v>0.16960276904262761</v>
      </c>
      <c r="F63" s="64">
        <f>F61/F62-1</f>
        <v>0.19261707214670531</v>
      </c>
      <c r="G63" s="64"/>
    </row>
    <row r="65" spans="1:5" ht="15" customHeight="1" x14ac:dyDescent="0.45">
      <c r="A65" s="14" t="s">
        <v>294</v>
      </c>
      <c r="C65" s="78" t="s">
        <v>269</v>
      </c>
      <c r="D65" s="78" t="s">
        <v>277</v>
      </c>
      <c r="E65" s="78" t="s">
        <v>220</v>
      </c>
    </row>
    <row r="66" spans="1:5" ht="15" customHeight="1" x14ac:dyDescent="0.45">
      <c r="B66" s="15" t="s">
        <v>85</v>
      </c>
      <c r="C66" s="65">
        <v>130</v>
      </c>
      <c r="D66" s="65">
        <v>40</v>
      </c>
      <c r="E66">
        <f>C66+D66+C19</f>
        <v>174</v>
      </c>
    </row>
    <row r="67" spans="1:5" ht="15" customHeight="1" x14ac:dyDescent="0.45">
      <c r="B67" s="15" t="s">
        <v>146</v>
      </c>
      <c r="C67" s="65">
        <v>100</v>
      </c>
      <c r="D67" s="65">
        <v>110</v>
      </c>
      <c r="E67">
        <f>C67+D67-D67+G26+G27</f>
        <v>356.43399999999997</v>
      </c>
    </row>
    <row r="68" spans="1:5" ht="15" customHeight="1" x14ac:dyDescent="0.45">
      <c r="B68" s="15" t="s">
        <v>300</v>
      </c>
      <c r="C68" s="98">
        <f>C67/C66</f>
        <v>0.76923076923076927</v>
      </c>
      <c r="D68" s="98">
        <f>D67/D66</f>
        <v>2.75</v>
      </c>
      <c r="E68" s="98">
        <f>E67/E66</f>
        <v>2.0484712643678158</v>
      </c>
    </row>
    <row r="70" spans="1:5" ht="15" customHeight="1" x14ac:dyDescent="0.45">
      <c r="A70" s="14" t="s">
        <v>305</v>
      </c>
    </row>
    <row r="71" spans="1:5" ht="15" customHeight="1" x14ac:dyDescent="0.45">
      <c r="B71" s="15" t="str">
        <f>B12</f>
        <v>Acquisition equity value</v>
      </c>
      <c r="C71">
        <f>D12</f>
        <v>223.99999999999997</v>
      </c>
    </row>
    <row r="72" spans="1:5" ht="15" customHeight="1" x14ac:dyDescent="0.45">
      <c r="B72" s="15" t="str">
        <f>B11</f>
        <v>Market cap</v>
      </c>
      <c r="C72">
        <f>D11</f>
        <v>186.66666666666666</v>
      </c>
    </row>
    <row r="73" spans="1:5" ht="15" customHeight="1" x14ac:dyDescent="0.45">
      <c r="B73" s="15" t="s">
        <v>306</v>
      </c>
      <c r="C73">
        <f>C71-C72</f>
        <v>37.333333333333314</v>
      </c>
    </row>
    <row r="75" spans="1:5" ht="15" customHeight="1" x14ac:dyDescent="0.45">
      <c r="B75" s="15" t="s">
        <v>431</v>
      </c>
      <c r="C75" s="91">
        <v>0.08</v>
      </c>
    </row>
    <row r="76" spans="1:5" ht="15" customHeight="1" x14ac:dyDescent="0.45">
      <c r="B76" s="15" t="s">
        <v>199</v>
      </c>
      <c r="C76" s="91">
        <v>0.03</v>
      </c>
    </row>
    <row r="77" spans="1:5" ht="15" customHeight="1" x14ac:dyDescent="0.45">
      <c r="B77" s="15" t="s">
        <v>201</v>
      </c>
      <c r="C77" s="64">
        <f>SUM(C75:C76)</f>
        <v>0.11</v>
      </c>
    </row>
    <row r="78" spans="1:5" ht="15" customHeight="1" x14ac:dyDescent="0.45">
      <c r="C78" s="64"/>
    </row>
    <row r="79" spans="1:5" ht="15" customHeight="1" x14ac:dyDescent="0.45">
      <c r="D79" s="78" t="s">
        <v>271</v>
      </c>
    </row>
    <row r="80" spans="1:5" ht="15" customHeight="1" x14ac:dyDescent="0.45">
      <c r="B80" s="15" t="s">
        <v>203</v>
      </c>
      <c r="D80">
        <f>C19*(1-C22)</f>
        <v>3</v>
      </c>
    </row>
    <row r="81" spans="1:4" ht="15" customHeight="1" x14ac:dyDescent="0.45">
      <c r="B81" s="15" t="s">
        <v>308</v>
      </c>
      <c r="C81">
        <f>D80/C77</f>
        <v>27.272727272727273</v>
      </c>
    </row>
    <row r="82" spans="1:4" ht="15" customHeight="1" x14ac:dyDescent="0.45">
      <c r="B82" s="15" t="s">
        <v>208</v>
      </c>
      <c r="C82">
        <f>C81-C73</f>
        <v>-10.060606060606041</v>
      </c>
    </row>
    <row r="84" spans="1:4" ht="15" customHeight="1" x14ac:dyDescent="0.45">
      <c r="A84" s="14" t="s">
        <v>309</v>
      </c>
    </row>
    <row r="85" spans="1:4" ht="15" customHeight="1" x14ac:dyDescent="0.45">
      <c r="C85" s="78" t="s">
        <v>314</v>
      </c>
      <c r="D85" s="78" t="s">
        <v>271</v>
      </c>
    </row>
    <row r="86" spans="1:4" ht="15" customHeight="1" x14ac:dyDescent="0.45">
      <c r="B86" s="15" t="s">
        <v>310</v>
      </c>
      <c r="D86" s="65">
        <f>D66-5</f>
        <v>35</v>
      </c>
    </row>
    <row r="87" spans="1:4" ht="15" customHeight="1" x14ac:dyDescent="0.45">
      <c r="B87" s="15" t="s">
        <v>311</v>
      </c>
      <c r="D87">
        <f>D86*(1-C22)</f>
        <v>26.25</v>
      </c>
    </row>
    <row r="88" spans="1:4" ht="15" customHeight="1" x14ac:dyDescent="0.45">
      <c r="B88" s="15" t="str">
        <f>B80</f>
        <v>Post tax synergies</v>
      </c>
      <c r="D88">
        <f>D80</f>
        <v>3</v>
      </c>
    </row>
    <row r="89" spans="1:4" ht="15" customHeight="1" x14ac:dyDescent="0.45">
      <c r="B89" s="15" t="s">
        <v>312</v>
      </c>
      <c r="D89">
        <f>D87+D88</f>
        <v>29.25</v>
      </c>
    </row>
    <row r="91" spans="1:4" ht="15" customHeight="1" x14ac:dyDescent="0.45">
      <c r="B91" s="15" t="s">
        <v>313</v>
      </c>
      <c r="C91">
        <f>D15+D16+C30</f>
        <v>346.03399999999999</v>
      </c>
    </row>
    <row r="92" spans="1:4" ht="15" customHeight="1" x14ac:dyDescent="0.45">
      <c r="B92" s="15" t="s">
        <v>141</v>
      </c>
      <c r="C92" s="64">
        <f>D89/C91</f>
        <v>8.4529265910286269E-2</v>
      </c>
    </row>
    <row r="95" spans="1:4" ht="15" customHeight="1" x14ac:dyDescent="0.45">
      <c r="A95" s="14" t="s">
        <v>424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9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1" manualBreakCount="1">
    <brk id="69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8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332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425</v>
      </c>
    </row>
    <row r="5" spans="1:10" ht="15" customHeight="1" x14ac:dyDescent="0.45">
      <c r="C5" s="78" t="s">
        <v>269</v>
      </c>
      <c r="D5" s="78" t="s">
        <v>277</v>
      </c>
      <c r="F5" s="78" t="s">
        <v>28</v>
      </c>
      <c r="G5" s="78" t="s">
        <v>286</v>
      </c>
      <c r="H5" s="78" t="s">
        <v>287</v>
      </c>
    </row>
    <row r="6" spans="1:10" ht="15" customHeight="1" x14ac:dyDescent="0.45">
      <c r="B6" s="15" t="s">
        <v>34</v>
      </c>
      <c r="C6" s="70">
        <v>33</v>
      </c>
      <c r="D6" s="92">
        <v>40</v>
      </c>
      <c r="F6" s="65">
        <v>20</v>
      </c>
      <c r="G6" s="70">
        <v>30</v>
      </c>
      <c r="H6">
        <f>(D8-G6)/D8*F6</f>
        <v>8.4615384615384617</v>
      </c>
    </row>
    <row r="7" spans="1:10" ht="15" customHeight="1" x14ac:dyDescent="0.45">
      <c r="B7" s="15" t="s">
        <v>73</v>
      </c>
      <c r="C7" s="78"/>
      <c r="D7" s="90">
        <v>0.3</v>
      </c>
    </row>
    <row r="8" spans="1:10" ht="15" customHeight="1" x14ac:dyDescent="0.45">
      <c r="B8" s="15" t="s">
        <v>278</v>
      </c>
      <c r="D8" s="71">
        <f>D6*(1+D7)</f>
        <v>52</v>
      </c>
    </row>
    <row r="9" spans="1:10" ht="15" customHeight="1" x14ac:dyDescent="0.45">
      <c r="B9" s="15" t="s">
        <v>177</v>
      </c>
      <c r="D9" s="92">
        <v>150</v>
      </c>
    </row>
    <row r="10" spans="1:10" ht="15" customHeight="1" x14ac:dyDescent="0.45">
      <c r="B10" s="15" t="s">
        <v>31</v>
      </c>
      <c r="C10" s="65">
        <v>250</v>
      </c>
      <c r="D10">
        <f>D9+H6</f>
        <v>158.46153846153845</v>
      </c>
    </row>
    <row r="11" spans="1:10" ht="15" customHeight="1" x14ac:dyDescent="0.45">
      <c r="B11" s="15" t="s">
        <v>296</v>
      </c>
      <c r="C11">
        <f>C10*C6</f>
        <v>8250</v>
      </c>
      <c r="D11">
        <f>D10*D6</f>
        <v>6338.4615384615381</v>
      </c>
    </row>
    <row r="12" spans="1:10" ht="15" customHeight="1" x14ac:dyDescent="0.45">
      <c r="B12" s="15" t="s">
        <v>215</v>
      </c>
      <c r="D12">
        <f>D10*D8</f>
        <v>8240</v>
      </c>
    </row>
    <row r="13" spans="1:10" ht="15" customHeight="1" x14ac:dyDescent="0.45">
      <c r="B13" s="15" t="s">
        <v>315</v>
      </c>
      <c r="C13" s="65">
        <v>500</v>
      </c>
      <c r="D13" s="65">
        <v>1000</v>
      </c>
    </row>
    <row r="14" spans="1:10" ht="15" customHeight="1" x14ac:dyDescent="0.45">
      <c r="B14" s="15" t="s">
        <v>147</v>
      </c>
      <c r="D14" s="65">
        <v>300</v>
      </c>
    </row>
    <row r="15" spans="1:10" ht="15" customHeight="1" x14ac:dyDescent="0.45">
      <c r="B15" s="15" t="s">
        <v>283</v>
      </c>
      <c r="D15">
        <f>D13+D12-D14</f>
        <v>8940</v>
      </c>
    </row>
    <row r="17" spans="1:7" ht="15" customHeight="1" x14ac:dyDescent="0.45">
      <c r="B17" s="15" t="s">
        <v>316</v>
      </c>
      <c r="D17" s="92">
        <v>200</v>
      </c>
    </row>
    <row r="18" spans="1:7" ht="15" customHeight="1" x14ac:dyDescent="0.45">
      <c r="B18" s="15" t="s">
        <v>317</v>
      </c>
      <c r="D18" s="86">
        <f>D15/D17</f>
        <v>44.7</v>
      </c>
    </row>
    <row r="20" spans="1:7" ht="15" customHeight="1" x14ac:dyDescent="0.45">
      <c r="A20" s="14" t="s">
        <v>291</v>
      </c>
    </row>
    <row r="21" spans="1:7" ht="15" customHeight="1" x14ac:dyDescent="0.45">
      <c r="B21" s="15" t="s">
        <v>295</v>
      </c>
      <c r="D21" s="89">
        <v>5</v>
      </c>
    </row>
    <row r="22" spans="1:7" ht="15" customHeight="1" x14ac:dyDescent="0.45">
      <c r="A22"/>
      <c r="B22"/>
    </row>
    <row r="23" spans="1:7" ht="15" customHeight="1" x14ac:dyDescent="0.45">
      <c r="B23" s="15" t="s">
        <v>293</v>
      </c>
      <c r="D23" s="90">
        <v>0.05</v>
      </c>
    </row>
    <row r="24" spans="1:7" ht="15" customHeight="1" x14ac:dyDescent="0.45">
      <c r="B24" s="15" t="s">
        <v>93</v>
      </c>
      <c r="D24" s="90">
        <v>0.3</v>
      </c>
    </row>
    <row r="25" spans="1:7" ht="15" customHeight="1" x14ac:dyDescent="0.45">
      <c r="B25" s="15" t="s">
        <v>285</v>
      </c>
      <c r="D25" s="90">
        <v>5.0000000000000001E-3</v>
      </c>
    </row>
    <row r="27" spans="1:7" ht="15" customHeight="1" x14ac:dyDescent="0.45">
      <c r="A27" s="14" t="s">
        <v>289</v>
      </c>
      <c r="D27" s="65"/>
    </row>
    <row r="28" spans="1:7" ht="15" customHeight="1" x14ac:dyDescent="0.45">
      <c r="B28" s="15" t="str">
        <f>B12</f>
        <v>Acquisition equity value</v>
      </c>
      <c r="D28">
        <f>D12</f>
        <v>8240</v>
      </c>
      <c r="E28" s="15" t="s">
        <v>318</v>
      </c>
      <c r="G28">
        <f>E40-G29</f>
        <v>705.3</v>
      </c>
    </row>
    <row r="29" spans="1:7" ht="15" customHeight="1" x14ac:dyDescent="0.45">
      <c r="B29" s="15" t="s">
        <v>279</v>
      </c>
      <c r="D29">
        <f>D25*D15</f>
        <v>44.7</v>
      </c>
      <c r="E29" s="15" t="s">
        <v>319</v>
      </c>
      <c r="G29">
        <f>D29</f>
        <v>44.7</v>
      </c>
    </row>
    <row r="30" spans="1:7" ht="15" customHeight="1" x14ac:dyDescent="0.45">
      <c r="E30" s="15" t="s">
        <v>320</v>
      </c>
      <c r="G30">
        <f>D28-G28</f>
        <v>7534.7</v>
      </c>
    </row>
    <row r="31" spans="1:7" ht="15" customHeight="1" x14ac:dyDescent="0.45">
      <c r="B31" s="15" t="s">
        <v>23</v>
      </c>
      <c r="D31">
        <f>SUM(D28:D29)</f>
        <v>8284.7000000000007</v>
      </c>
      <c r="E31" s="15" t="s">
        <v>26</v>
      </c>
      <c r="G31">
        <f>SUM(G28:G30)</f>
        <v>8284.7000000000007</v>
      </c>
    </row>
    <row r="32" spans="1:7" ht="15" customHeight="1" x14ac:dyDescent="0.45">
      <c r="E32" s="15"/>
    </row>
    <row r="33" spans="1:6" ht="15" customHeight="1" x14ac:dyDescent="0.45">
      <c r="A33" s="14" t="s">
        <v>426</v>
      </c>
      <c r="C33" s="78" t="s">
        <v>269</v>
      </c>
      <c r="D33" s="78" t="s">
        <v>277</v>
      </c>
      <c r="E33" s="78" t="s">
        <v>220</v>
      </c>
    </row>
    <row r="34" spans="1:6" ht="15" customHeight="1" x14ac:dyDescent="0.45">
      <c r="B34" s="15" t="s">
        <v>321</v>
      </c>
      <c r="C34" s="65">
        <v>700</v>
      </c>
      <c r="D34">
        <f>D17</f>
        <v>200</v>
      </c>
      <c r="E34">
        <f>SUM(C34:D34)</f>
        <v>900</v>
      </c>
    </row>
    <row r="35" spans="1:6" ht="15" customHeight="1" x14ac:dyDescent="0.45">
      <c r="B35" s="15" t="s">
        <v>276</v>
      </c>
      <c r="C35">
        <f>C13</f>
        <v>500</v>
      </c>
      <c r="D35">
        <f>D13</f>
        <v>1000</v>
      </c>
    </row>
    <row r="36" spans="1:6" ht="15" customHeight="1" x14ac:dyDescent="0.45">
      <c r="B36" s="15" t="s">
        <v>322</v>
      </c>
      <c r="E36" s="31">
        <f>C35+D35</f>
        <v>1500</v>
      </c>
    </row>
    <row r="38" spans="1:6" ht="15" customHeight="1" x14ac:dyDescent="0.45">
      <c r="B38" s="15" t="s">
        <v>324</v>
      </c>
      <c r="E38" s="93">
        <v>2.5</v>
      </c>
      <c r="F38" t="s">
        <v>325</v>
      </c>
    </row>
    <row r="39" spans="1:6" ht="15" customHeight="1" x14ac:dyDescent="0.45">
      <c r="B39" s="15" t="s">
        <v>323</v>
      </c>
      <c r="E39">
        <f>E38*E34</f>
        <v>2250</v>
      </c>
    </row>
    <row r="40" spans="1:6" ht="15" customHeight="1" x14ac:dyDescent="0.45">
      <c r="B40" s="15" t="s">
        <v>318</v>
      </c>
      <c r="E40">
        <f>E39-E36</f>
        <v>750</v>
      </c>
    </row>
    <row r="42" spans="1:6" ht="15" customHeight="1" x14ac:dyDescent="0.45">
      <c r="A42" s="14" t="s">
        <v>297</v>
      </c>
      <c r="C42" s="78" t="s">
        <v>298</v>
      </c>
      <c r="D42" s="78" t="s">
        <v>299</v>
      </c>
    </row>
    <row r="43" spans="1:6" ht="15" customHeight="1" x14ac:dyDescent="0.45">
      <c r="B43" s="15" t="s">
        <v>113</v>
      </c>
      <c r="C43">
        <f>C10</f>
        <v>250</v>
      </c>
      <c r="D43" s="64">
        <f>C43/C45</f>
        <v>0.52265801694045499</v>
      </c>
    </row>
    <row r="44" spans="1:6" ht="15" customHeight="1" x14ac:dyDescent="0.45">
      <c r="B44" s="15" t="s">
        <v>100</v>
      </c>
      <c r="C44">
        <f>G30/C6</f>
        <v>228.32424242424241</v>
      </c>
      <c r="D44" s="64">
        <f>C44/C45</f>
        <v>0.47734198305954501</v>
      </c>
    </row>
    <row r="45" spans="1:6" ht="15" customHeight="1" x14ac:dyDescent="0.45">
      <c r="B45" s="15" t="s">
        <v>115</v>
      </c>
      <c r="C45">
        <f>SUM(C43:C44)</f>
        <v>478.32424242424241</v>
      </c>
      <c r="D45" s="65"/>
    </row>
    <row r="46" spans="1:6" ht="15" customHeight="1" x14ac:dyDescent="0.45">
      <c r="B46" s="15" t="s">
        <v>102</v>
      </c>
      <c r="C46" s="71">
        <f>C44/D10</f>
        <v>1.4408811415122096</v>
      </c>
      <c r="D46" s="65"/>
    </row>
    <row r="47" spans="1:6" ht="15" customHeight="1" x14ac:dyDescent="0.45">
      <c r="B47" s="15" t="s">
        <v>331</v>
      </c>
      <c r="C47" s="71">
        <f>G28/D10</f>
        <v>4.4509223300970877</v>
      </c>
      <c r="D47" s="65"/>
    </row>
    <row r="48" spans="1:6" ht="15" customHeight="1" x14ac:dyDescent="0.45">
      <c r="D48" s="65"/>
    </row>
    <row r="49" spans="1:11" ht="15" customHeight="1" x14ac:dyDescent="0.45">
      <c r="A49" s="14" t="s">
        <v>290</v>
      </c>
      <c r="D49" s="78" t="s">
        <v>271</v>
      </c>
      <c r="E49" s="78" t="s">
        <v>272</v>
      </c>
      <c r="F49" s="78" t="s">
        <v>273</v>
      </c>
    </row>
    <row r="50" spans="1:11" ht="15" customHeight="1" x14ac:dyDescent="0.45">
      <c r="B50" s="15" t="s">
        <v>126</v>
      </c>
      <c r="D50" s="68">
        <f>$C$6/D58</f>
        <v>19.411764705882355</v>
      </c>
      <c r="E50" s="68">
        <f>$C$6/E58</f>
        <v>18.435754189944134</v>
      </c>
      <c r="F50" s="68">
        <f>$C$6/F58</f>
        <v>17.647058823529409</v>
      </c>
    </row>
    <row r="51" spans="1:11" ht="15" customHeight="1" x14ac:dyDescent="0.45">
      <c r="B51" s="15" t="s">
        <v>127</v>
      </c>
      <c r="D51" s="68">
        <f>$D$8/D65</f>
        <v>20</v>
      </c>
      <c r="E51" s="68">
        <f>$D$8/E65</f>
        <v>19.25925925925926</v>
      </c>
      <c r="F51" s="68">
        <f>$D$8/F65</f>
        <v>18.571428571428573</v>
      </c>
    </row>
    <row r="52" spans="1:11" ht="15" customHeight="1" x14ac:dyDescent="0.45">
      <c r="B52" s="15" t="s">
        <v>125</v>
      </c>
      <c r="D52" s="68">
        <f>1/($D$23*(1-$D$24))</f>
        <v>28.571428571428573</v>
      </c>
      <c r="E52" s="68">
        <f>1/($D$23*(1-$D$24))</f>
        <v>28.571428571428573</v>
      </c>
      <c r="F52" s="68">
        <f>1/($D$23*(1-$D$24))</f>
        <v>28.571428571428573</v>
      </c>
    </row>
    <row r="54" spans="1:11" ht="15" customHeight="1" x14ac:dyDescent="0.45">
      <c r="A54" s="14" t="s">
        <v>263</v>
      </c>
      <c r="H54" s="14" t="s">
        <v>327</v>
      </c>
    </row>
    <row r="55" spans="1:11" ht="15" customHeight="1" x14ac:dyDescent="0.45">
      <c r="B55" s="15" t="s">
        <v>269</v>
      </c>
      <c r="C55" s="78"/>
      <c r="D55" s="78" t="s">
        <v>271</v>
      </c>
      <c r="E55" s="78" t="s">
        <v>272</v>
      </c>
      <c r="F55" s="78" t="s">
        <v>273</v>
      </c>
      <c r="I55" s="78" t="s">
        <v>271</v>
      </c>
      <c r="J55" s="78" t="s">
        <v>272</v>
      </c>
      <c r="K55" s="78" t="s">
        <v>273</v>
      </c>
    </row>
    <row r="56" spans="1:11" ht="15" customHeight="1" x14ac:dyDescent="0.45">
      <c r="B56" s="15" t="s">
        <v>326</v>
      </c>
      <c r="C56" s="78"/>
      <c r="D56" s="94">
        <v>1000</v>
      </c>
      <c r="E56" s="94">
        <v>1100</v>
      </c>
      <c r="F56" s="94">
        <v>1150</v>
      </c>
      <c r="H56" t="s">
        <v>328</v>
      </c>
      <c r="J56" s="64">
        <f>E56/D56-1</f>
        <v>0.10000000000000009</v>
      </c>
      <c r="K56" s="64">
        <f>F56/E56-1</f>
        <v>4.5454545454545414E-2</v>
      </c>
    </row>
    <row r="57" spans="1:11" ht="15" customHeight="1" x14ac:dyDescent="0.45">
      <c r="B57" s="15" t="s">
        <v>85</v>
      </c>
      <c r="C57" s="78"/>
      <c r="D57" s="94">
        <v>400</v>
      </c>
      <c r="E57" s="94">
        <v>450</v>
      </c>
      <c r="F57" s="94">
        <v>460</v>
      </c>
      <c r="H57" t="s">
        <v>329</v>
      </c>
      <c r="I57" s="64">
        <f>D57/D56</f>
        <v>0.4</v>
      </c>
      <c r="J57" s="64">
        <f>E57/E56</f>
        <v>0.40909090909090912</v>
      </c>
      <c r="K57" s="64">
        <f>F57/F56</f>
        <v>0.4</v>
      </c>
    </row>
    <row r="58" spans="1:11" ht="15" customHeight="1" x14ac:dyDescent="0.45">
      <c r="B58" s="15" t="s">
        <v>274</v>
      </c>
      <c r="C58" s="70"/>
      <c r="D58" s="95">
        <v>1.7</v>
      </c>
      <c r="E58" s="95">
        <v>1.79</v>
      </c>
      <c r="F58" s="95">
        <v>1.87</v>
      </c>
      <c r="H58" t="s">
        <v>330</v>
      </c>
      <c r="J58" s="64">
        <f>E58/D58-1</f>
        <v>5.2941176470588269E-2</v>
      </c>
      <c r="K58" s="64">
        <f>F58/E58-1</f>
        <v>4.4692737430167551E-2</v>
      </c>
    </row>
    <row r="59" spans="1:11" ht="15" customHeight="1" x14ac:dyDescent="0.45">
      <c r="B59" s="15" t="s">
        <v>275</v>
      </c>
      <c r="C59" s="65"/>
      <c r="D59" s="92">
        <v>250</v>
      </c>
      <c r="E59" s="92">
        <v>250</v>
      </c>
      <c r="F59" s="92">
        <v>250</v>
      </c>
    </row>
    <row r="60" spans="1:11" ht="15" customHeight="1" x14ac:dyDescent="0.45">
      <c r="B60" s="15" t="s">
        <v>89</v>
      </c>
      <c r="D60">
        <f>D59*D58</f>
        <v>425</v>
      </c>
      <c r="E60">
        <f>E59*E58</f>
        <v>447.5</v>
      </c>
      <c r="F60">
        <f>F59*F58</f>
        <v>467.5</v>
      </c>
    </row>
    <row r="62" spans="1:11" ht="15" customHeight="1" x14ac:dyDescent="0.45">
      <c r="B62" s="15" t="s">
        <v>277</v>
      </c>
      <c r="C62" s="78"/>
      <c r="D62" s="78" t="s">
        <v>271</v>
      </c>
      <c r="E62" s="78" t="s">
        <v>272</v>
      </c>
      <c r="F62" s="78" t="s">
        <v>273</v>
      </c>
      <c r="I62" s="78" t="s">
        <v>271</v>
      </c>
      <c r="J62" s="78" t="s">
        <v>272</v>
      </c>
      <c r="K62" s="78" t="s">
        <v>273</v>
      </c>
    </row>
    <row r="63" spans="1:11" ht="15" customHeight="1" x14ac:dyDescent="0.45">
      <c r="B63" s="15" t="s">
        <v>326</v>
      </c>
      <c r="C63" s="78"/>
      <c r="D63" s="94">
        <v>980</v>
      </c>
      <c r="E63" s="94">
        <v>1080</v>
      </c>
      <c r="F63" s="94">
        <v>1120</v>
      </c>
      <c r="H63" t="s">
        <v>328</v>
      </c>
      <c r="J63" s="64">
        <f>E63/D63-1</f>
        <v>0.1020408163265305</v>
      </c>
      <c r="K63" s="64">
        <f>F63/E63-1</f>
        <v>3.7037037037036979E-2</v>
      </c>
    </row>
    <row r="64" spans="1:11" ht="15" customHeight="1" x14ac:dyDescent="0.45">
      <c r="B64" s="15" t="s">
        <v>85</v>
      </c>
      <c r="C64" s="78"/>
      <c r="D64" s="94">
        <v>380</v>
      </c>
      <c r="E64" s="94">
        <v>400</v>
      </c>
      <c r="F64" s="94">
        <v>410</v>
      </c>
      <c r="H64" t="s">
        <v>329</v>
      </c>
      <c r="I64" s="64">
        <f>D64/D63</f>
        <v>0.38775510204081631</v>
      </c>
      <c r="J64" s="64">
        <f>E64/E63</f>
        <v>0.37037037037037035</v>
      </c>
      <c r="K64" s="64">
        <f>F64/F63</f>
        <v>0.36607142857142855</v>
      </c>
    </row>
    <row r="65" spans="2:11" ht="15" customHeight="1" x14ac:dyDescent="0.45">
      <c r="B65" s="15" t="s">
        <v>274</v>
      </c>
      <c r="D65" s="95">
        <v>2.6</v>
      </c>
      <c r="E65" s="95">
        <v>2.7</v>
      </c>
      <c r="F65" s="95">
        <v>2.8</v>
      </c>
      <c r="H65" t="s">
        <v>330</v>
      </c>
      <c r="J65" s="64">
        <f>E65/D65-1</f>
        <v>3.8461538461538547E-2</v>
      </c>
      <c r="K65" s="64">
        <f>F65/E65-1</f>
        <v>3.7037037037036979E-2</v>
      </c>
    </row>
    <row r="66" spans="2:11" ht="15" customHeight="1" x14ac:dyDescent="0.45">
      <c r="B66" s="15" t="s">
        <v>275</v>
      </c>
      <c r="D66" s="92">
        <v>158.5</v>
      </c>
      <c r="E66" s="92">
        <v>158.5</v>
      </c>
      <c r="F66" s="92">
        <v>158.5</v>
      </c>
    </row>
    <row r="67" spans="2:11" ht="15" customHeight="1" x14ac:dyDescent="0.45">
      <c r="B67" s="15" t="s">
        <v>89</v>
      </c>
      <c r="D67">
        <f>D66*D65</f>
        <v>412.1</v>
      </c>
      <c r="E67">
        <f>E66*E65</f>
        <v>427.95000000000005</v>
      </c>
      <c r="F67">
        <f>F66*F65</f>
        <v>443.79999999999995</v>
      </c>
    </row>
    <row r="69" spans="2:11" ht="15" customHeight="1" x14ac:dyDescent="0.45">
      <c r="B69" s="15" t="s">
        <v>220</v>
      </c>
      <c r="C69" s="78"/>
      <c r="D69" s="78" t="s">
        <v>271</v>
      </c>
      <c r="E69" s="78" t="s">
        <v>272</v>
      </c>
      <c r="F69" s="78" t="s">
        <v>273</v>
      </c>
    </row>
    <row r="70" spans="2:11" ht="15" customHeight="1" x14ac:dyDescent="0.45">
      <c r="B70" s="79" t="s">
        <v>302</v>
      </c>
      <c r="D70">
        <f>D60</f>
        <v>425</v>
      </c>
      <c r="E70">
        <f>E60</f>
        <v>447.5</v>
      </c>
      <c r="F70">
        <f>F60</f>
        <v>467.5</v>
      </c>
    </row>
    <row r="71" spans="2:11" ht="15" customHeight="1" x14ac:dyDescent="0.45">
      <c r="B71" s="79" t="s">
        <v>301</v>
      </c>
      <c r="D71">
        <f>D67</f>
        <v>412.1</v>
      </c>
      <c r="E71">
        <f>E67</f>
        <v>427.95000000000005</v>
      </c>
      <c r="F71">
        <f>F67</f>
        <v>443.79999999999995</v>
      </c>
    </row>
    <row r="72" spans="2:11" ht="15" customHeight="1" x14ac:dyDescent="0.45">
      <c r="B72" s="79" t="s">
        <v>303</v>
      </c>
      <c r="D72" s="89">
        <v>21</v>
      </c>
      <c r="E72" s="89">
        <v>29.4</v>
      </c>
      <c r="F72" s="89">
        <v>30.8</v>
      </c>
    </row>
    <row r="73" spans="2:11" ht="15" customHeight="1" x14ac:dyDescent="0.45">
      <c r="B73" s="79" t="s">
        <v>304</v>
      </c>
      <c r="D73">
        <f>-($G$28+$G$29)*$D$23*(1-$D$24)</f>
        <v>-26.25</v>
      </c>
      <c r="E73">
        <f>-($G$28+$G$29)*$D$23*(1-$D$24)</f>
        <v>-26.25</v>
      </c>
      <c r="F73">
        <f>-($G$28+$G$29)*$D$23*(1-$D$24)</f>
        <v>-26.25</v>
      </c>
    </row>
    <row r="74" spans="2:11" ht="15" customHeight="1" x14ac:dyDescent="0.45">
      <c r="B74" s="15" t="s">
        <v>112</v>
      </c>
      <c r="D74">
        <f>SUM(D70:D73)</f>
        <v>831.85</v>
      </c>
      <c r="E74">
        <f>SUM(E70:E73)</f>
        <v>878.6</v>
      </c>
      <c r="F74">
        <f>SUM(F70:F73)</f>
        <v>915.84999999999991</v>
      </c>
    </row>
    <row r="75" spans="2:11" ht="15" customHeight="1" x14ac:dyDescent="0.45">
      <c r="B75" s="15" t="s">
        <v>115</v>
      </c>
      <c r="D75">
        <f>$C$45</f>
        <v>478.32424242424241</v>
      </c>
      <c r="E75">
        <f>$C$45</f>
        <v>478.32424242424241</v>
      </c>
      <c r="F75">
        <f>$C$45</f>
        <v>478.32424242424241</v>
      </c>
    </row>
    <row r="76" spans="2:11" ht="15" customHeight="1" x14ac:dyDescent="0.45">
      <c r="B76" s="15" t="s">
        <v>116</v>
      </c>
      <c r="C76" s="71"/>
      <c r="D76" s="71">
        <f>D74/D75</f>
        <v>1.73909228556767</v>
      </c>
      <c r="E76" s="71">
        <f>E74/E75</f>
        <v>1.8368293347355351</v>
      </c>
      <c r="F76" s="71">
        <f>F74/F75</f>
        <v>1.9147053792596627</v>
      </c>
    </row>
    <row r="77" spans="2:11" ht="15" customHeight="1" x14ac:dyDescent="0.45">
      <c r="B77" s="15" t="s">
        <v>135</v>
      </c>
      <c r="C77" s="71"/>
      <c r="D77" s="71">
        <f>D58</f>
        <v>1.7</v>
      </c>
      <c r="E77" s="71">
        <f>E58</f>
        <v>1.79</v>
      </c>
      <c r="F77" s="71">
        <f>F58</f>
        <v>1.87</v>
      </c>
    </row>
    <row r="78" spans="2:11" ht="15" customHeight="1" x14ac:dyDescent="0.45">
      <c r="B78" s="15" t="s">
        <v>263</v>
      </c>
      <c r="C78" s="64"/>
      <c r="D78" s="64">
        <f>D76/D77-1</f>
        <v>2.299546209862946E-2</v>
      </c>
      <c r="E78" s="64">
        <f>E76/E77-1</f>
        <v>2.6161639517058743E-2</v>
      </c>
      <c r="F78" s="64">
        <f>F76/F77-1</f>
        <v>2.3906619924953132E-2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7"/>
  <sheetViews>
    <sheetView workbookViewId="0"/>
  </sheetViews>
  <sheetFormatPr defaultRowHeight="14.25" x14ac:dyDescent="0.45"/>
  <cols>
    <col min="1" max="1" width="1.46484375" customWidth="1"/>
    <col min="2" max="2" width="49.53125" customWidth="1"/>
    <col min="3" max="10" width="11" customWidth="1"/>
  </cols>
  <sheetData>
    <row r="1" spans="1:16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36" customFormat="1" ht="30" customHeight="1" x14ac:dyDescent="0.65">
      <c r="A2" s="13" t="s">
        <v>351</v>
      </c>
      <c r="B2" s="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4" spans="1:16" ht="15.75" x14ac:dyDescent="0.45">
      <c r="A4" s="14" t="s">
        <v>349</v>
      </c>
      <c r="H4" s="14" t="s">
        <v>327</v>
      </c>
    </row>
    <row r="5" spans="1:16" x14ac:dyDescent="0.45">
      <c r="B5" s="15" t="s">
        <v>340</v>
      </c>
      <c r="D5" s="78" t="s">
        <v>271</v>
      </c>
      <c r="E5" s="78" t="s">
        <v>272</v>
      </c>
      <c r="F5" s="78" t="s">
        <v>273</v>
      </c>
      <c r="G5" s="84"/>
      <c r="H5" s="15" t="s">
        <v>340</v>
      </c>
      <c r="J5" s="78" t="s">
        <v>271</v>
      </c>
      <c r="K5" s="78" t="s">
        <v>272</v>
      </c>
      <c r="L5" s="78" t="s">
        <v>273</v>
      </c>
    </row>
    <row r="6" spans="1:16" x14ac:dyDescent="0.45">
      <c r="B6" s="15" t="s">
        <v>326</v>
      </c>
      <c r="D6" s="94">
        <v>4500</v>
      </c>
      <c r="E6" s="94">
        <v>5000</v>
      </c>
      <c r="F6" s="94">
        <v>5200</v>
      </c>
      <c r="H6" s="15" t="s">
        <v>328</v>
      </c>
      <c r="K6" s="96">
        <f>E6/D6-1</f>
        <v>0.11111111111111116</v>
      </c>
      <c r="L6" s="96">
        <f>F6/E6-1</f>
        <v>4.0000000000000036E-2</v>
      </c>
    </row>
    <row r="7" spans="1:16" x14ac:dyDescent="0.45">
      <c r="B7" s="15" t="s">
        <v>85</v>
      </c>
      <c r="D7" s="94">
        <v>1800</v>
      </c>
      <c r="E7" s="94">
        <v>2025</v>
      </c>
      <c r="F7" s="94">
        <v>2070</v>
      </c>
      <c r="H7" s="15" t="s">
        <v>329</v>
      </c>
      <c r="J7" s="96">
        <f>D7/D6</f>
        <v>0.4</v>
      </c>
      <c r="K7" s="96">
        <f>E7/E6</f>
        <v>0.40500000000000003</v>
      </c>
      <c r="L7" s="96">
        <f>F7/F6</f>
        <v>0.39807692307692305</v>
      </c>
    </row>
    <row r="8" spans="1:16" x14ac:dyDescent="0.45">
      <c r="B8" s="15" t="s">
        <v>274</v>
      </c>
      <c r="D8" s="95">
        <v>1.4231250000000002</v>
      </c>
      <c r="E8" s="95">
        <v>1.4878125</v>
      </c>
      <c r="F8" s="95">
        <v>1.5395624999999997</v>
      </c>
      <c r="H8" s="15" t="s">
        <v>330</v>
      </c>
      <c r="K8" s="96">
        <f>E8/D8-1</f>
        <v>4.5454545454545192E-2</v>
      </c>
      <c r="L8" s="96">
        <f>F8/E8-1</f>
        <v>3.4782608695651973E-2</v>
      </c>
    </row>
    <row r="9" spans="1:16" x14ac:dyDescent="0.45">
      <c r="B9" s="15" t="s">
        <v>275</v>
      </c>
      <c r="D9" s="92">
        <v>800</v>
      </c>
      <c r="E9" s="92">
        <v>800</v>
      </c>
      <c r="F9" s="92">
        <v>800</v>
      </c>
      <c r="H9" s="15"/>
    </row>
    <row r="10" spans="1:16" x14ac:dyDescent="0.45">
      <c r="B10" s="15" t="s">
        <v>89</v>
      </c>
      <c r="D10">
        <f>D8*D9</f>
        <v>1138.5000000000002</v>
      </c>
      <c r="E10">
        <f t="shared" ref="E10:F10" si="0">E8*E9</f>
        <v>1190.25</v>
      </c>
      <c r="F10">
        <f t="shared" si="0"/>
        <v>1231.6499999999999</v>
      </c>
      <c r="H10" s="15"/>
    </row>
    <row r="11" spans="1:16" x14ac:dyDescent="0.45">
      <c r="B11" s="15"/>
      <c r="H11" s="15"/>
    </row>
    <row r="12" spans="1:16" x14ac:dyDescent="0.45">
      <c r="B12" s="15" t="s">
        <v>277</v>
      </c>
      <c r="D12" s="78" t="s">
        <v>271</v>
      </c>
      <c r="E12" s="78" t="s">
        <v>272</v>
      </c>
      <c r="F12" s="78" t="s">
        <v>273</v>
      </c>
      <c r="H12" s="15" t="s">
        <v>277</v>
      </c>
      <c r="J12" s="78" t="s">
        <v>271</v>
      </c>
      <c r="K12" s="78" t="s">
        <v>272</v>
      </c>
      <c r="L12" s="78" t="s">
        <v>273</v>
      </c>
    </row>
    <row r="13" spans="1:16" x14ac:dyDescent="0.45">
      <c r="B13" s="15" t="s">
        <v>326</v>
      </c>
      <c r="D13" s="94">
        <v>4150</v>
      </c>
      <c r="E13" s="94">
        <v>4536</v>
      </c>
      <c r="F13" s="94">
        <v>4750</v>
      </c>
      <c r="H13" s="15" t="s">
        <v>328</v>
      </c>
      <c r="K13" s="96">
        <f>E13/D13-1</f>
        <v>9.301204819277098E-2</v>
      </c>
      <c r="L13" s="96">
        <f>F13/E13-1</f>
        <v>4.7178130511463801E-2</v>
      </c>
    </row>
    <row r="14" spans="1:16" x14ac:dyDescent="0.45">
      <c r="B14" s="15" t="s">
        <v>85</v>
      </c>
      <c r="D14" s="94">
        <v>1596</v>
      </c>
      <c r="E14" s="94">
        <v>1680</v>
      </c>
      <c r="F14" s="94">
        <v>1722</v>
      </c>
      <c r="H14" s="15" t="s">
        <v>329</v>
      </c>
      <c r="J14" s="96">
        <f>D14/D13</f>
        <v>0.38457831325301206</v>
      </c>
      <c r="K14" s="96">
        <f>E14/E13</f>
        <v>0.37037037037037035</v>
      </c>
      <c r="L14" s="96">
        <f>F14/F13</f>
        <v>0.3625263157894737</v>
      </c>
    </row>
    <row r="15" spans="1:16" x14ac:dyDescent="0.45">
      <c r="B15" s="15" t="s">
        <v>274</v>
      </c>
      <c r="D15" s="95">
        <v>2.94</v>
      </c>
      <c r="E15" s="95">
        <v>3.08</v>
      </c>
      <c r="F15" s="95">
        <v>3.18</v>
      </c>
      <c r="H15" s="15" t="s">
        <v>330</v>
      </c>
      <c r="K15" s="96">
        <f>E15/D15-1</f>
        <v>4.7619047619047672E-2</v>
      </c>
      <c r="L15" s="96">
        <f>F15/E15-1</f>
        <v>3.2467532467532534E-2</v>
      </c>
    </row>
    <row r="16" spans="1:16" x14ac:dyDescent="0.45">
      <c r="B16" s="15" t="s">
        <v>275</v>
      </c>
      <c r="D16" s="92">
        <v>320</v>
      </c>
      <c r="E16" s="92">
        <v>320</v>
      </c>
      <c r="F16" s="92">
        <v>320</v>
      </c>
    </row>
    <row r="17" spans="1:6" x14ac:dyDescent="0.45">
      <c r="B17" s="15" t="s">
        <v>89</v>
      </c>
      <c r="D17">
        <f>D15*D16</f>
        <v>940.8</v>
      </c>
      <c r="E17">
        <f t="shared" ref="E17:F17" si="1">E15*E16</f>
        <v>985.6</v>
      </c>
      <c r="F17">
        <f t="shared" si="1"/>
        <v>1017.6</v>
      </c>
    </row>
    <row r="19" spans="1:6" ht="15.75" x14ac:dyDescent="0.45">
      <c r="A19" s="14" t="s">
        <v>350</v>
      </c>
      <c r="C19" s="78" t="s">
        <v>340</v>
      </c>
      <c r="D19" s="78" t="s">
        <v>277</v>
      </c>
      <c r="E19" s="78" t="s">
        <v>220</v>
      </c>
    </row>
    <row r="20" spans="1:6" x14ac:dyDescent="0.45">
      <c r="B20" s="15" t="s">
        <v>333</v>
      </c>
      <c r="C20">
        <f>D7</f>
        <v>1800</v>
      </c>
      <c r="D20">
        <f>D14</f>
        <v>1596</v>
      </c>
    </row>
    <row r="21" spans="1:6" x14ac:dyDescent="0.45">
      <c r="B21" s="15" t="s">
        <v>427</v>
      </c>
      <c r="C21" s="92">
        <v>33</v>
      </c>
      <c r="D21" s="92">
        <v>80</v>
      </c>
    </row>
    <row r="22" spans="1:6" x14ac:dyDescent="0.45">
      <c r="B22" s="15" t="s">
        <v>177</v>
      </c>
      <c r="C22" s="92">
        <v>800</v>
      </c>
      <c r="D22" s="92">
        <v>320</v>
      </c>
    </row>
    <row r="23" spans="1:6" x14ac:dyDescent="0.45">
      <c r="B23" s="15" t="s">
        <v>178</v>
      </c>
      <c r="C23">
        <f>C21*C22</f>
        <v>26400</v>
      </c>
      <c r="D23">
        <f>D21*D22</f>
        <v>25600</v>
      </c>
    </row>
    <row r="24" spans="1:6" x14ac:dyDescent="0.45">
      <c r="B24" s="15" t="s">
        <v>32</v>
      </c>
      <c r="C24" s="92">
        <v>5000</v>
      </c>
      <c r="D24" s="92">
        <v>5650</v>
      </c>
    </row>
    <row r="25" spans="1:6" x14ac:dyDescent="0.45">
      <c r="B25" s="15" t="s">
        <v>334</v>
      </c>
      <c r="C25">
        <f>C23+C24</f>
        <v>31400</v>
      </c>
      <c r="D25">
        <f>D23+D24</f>
        <v>31250</v>
      </c>
    </row>
    <row r="26" spans="1:6" x14ac:dyDescent="0.45">
      <c r="B26" s="15" t="s">
        <v>335</v>
      </c>
      <c r="C26" s="68">
        <f>C25/C20</f>
        <v>17.444444444444443</v>
      </c>
      <c r="D26" s="68">
        <f>D25/D20</f>
        <v>19.580200501253135</v>
      </c>
    </row>
    <row r="28" spans="1:6" ht="15.75" x14ac:dyDescent="0.45">
      <c r="A28" s="14" t="s">
        <v>341</v>
      </c>
      <c r="C28" s="78" t="s">
        <v>340</v>
      </c>
      <c r="D28" s="78" t="s">
        <v>277</v>
      </c>
      <c r="E28" s="78" t="s">
        <v>220</v>
      </c>
    </row>
    <row r="29" spans="1:6" x14ac:dyDescent="0.45">
      <c r="B29" s="15" t="s">
        <v>176</v>
      </c>
      <c r="C29">
        <f>C21</f>
        <v>33</v>
      </c>
      <c r="D29">
        <f>D21</f>
        <v>80</v>
      </c>
    </row>
    <row r="30" spans="1:6" x14ac:dyDescent="0.45">
      <c r="B30" s="15" t="s">
        <v>178</v>
      </c>
      <c r="C30">
        <f>C23</f>
        <v>26400</v>
      </c>
      <c r="D30">
        <f>D23</f>
        <v>25600</v>
      </c>
      <c r="E30">
        <f>SUM(C30:D30)</f>
        <v>52000</v>
      </c>
    </row>
    <row r="31" spans="1:6" x14ac:dyDescent="0.45">
      <c r="B31" s="15" t="s">
        <v>336</v>
      </c>
      <c r="C31" s="96">
        <f>C30/E30</f>
        <v>0.50769230769230766</v>
      </c>
      <c r="D31" s="96">
        <f>D30/E30</f>
        <v>0.49230769230769234</v>
      </c>
    </row>
    <row r="32" spans="1:6" x14ac:dyDescent="0.45">
      <c r="B32" s="15" t="s">
        <v>345</v>
      </c>
      <c r="E32" s="68">
        <f>C29/D29</f>
        <v>0.41249999999999998</v>
      </c>
    </row>
    <row r="33" spans="1:5" x14ac:dyDescent="0.45">
      <c r="B33" s="15" t="s">
        <v>347</v>
      </c>
      <c r="E33" s="97">
        <f>(D30/C29)/$D$22</f>
        <v>2.4242424242424243</v>
      </c>
    </row>
    <row r="35" spans="1:5" ht="15.75" x14ac:dyDescent="0.45">
      <c r="A35" s="14" t="s">
        <v>342</v>
      </c>
      <c r="C35" s="78" t="s">
        <v>340</v>
      </c>
      <c r="D35" s="78" t="s">
        <v>277</v>
      </c>
      <c r="E35" s="78" t="s">
        <v>220</v>
      </c>
    </row>
    <row r="36" spans="1:5" x14ac:dyDescent="0.45">
      <c r="B36" s="15" t="str">
        <f>B26</f>
        <v>EV / Year 1 EBITDA</v>
      </c>
      <c r="C36">
        <f>C26</f>
        <v>17.444444444444443</v>
      </c>
      <c r="D36">
        <f>C36</f>
        <v>17.444444444444443</v>
      </c>
    </row>
    <row r="37" spans="1:5" x14ac:dyDescent="0.45">
      <c r="B37" s="15" t="s">
        <v>337</v>
      </c>
      <c r="C37">
        <f>C36*C20</f>
        <v>31399.999999999996</v>
      </c>
      <c r="D37">
        <f>D36*D20</f>
        <v>27841.333333333332</v>
      </c>
    </row>
    <row r="38" spans="1:5" x14ac:dyDescent="0.45">
      <c r="B38" s="15" t="s">
        <v>32</v>
      </c>
      <c r="C38">
        <f>C24</f>
        <v>5000</v>
      </c>
      <c r="D38">
        <f>D24</f>
        <v>5650</v>
      </c>
    </row>
    <row r="39" spans="1:5" x14ac:dyDescent="0.45">
      <c r="B39" s="15" t="s">
        <v>344</v>
      </c>
      <c r="C39">
        <f>C37-C38</f>
        <v>26399.999999999996</v>
      </c>
      <c r="D39">
        <f>D37-D38</f>
        <v>22191.333333333332</v>
      </c>
      <c r="E39">
        <f>SUM(C39:D39)</f>
        <v>48591.333333333328</v>
      </c>
    </row>
    <row r="40" spans="1:5" x14ac:dyDescent="0.45">
      <c r="B40" s="15" t="s">
        <v>177</v>
      </c>
      <c r="C40">
        <f>C22</f>
        <v>800</v>
      </c>
      <c r="D40">
        <f>D22</f>
        <v>320</v>
      </c>
    </row>
    <row r="41" spans="1:5" x14ac:dyDescent="0.45">
      <c r="B41" s="15" t="s">
        <v>339</v>
      </c>
      <c r="C41">
        <f>C39/C40</f>
        <v>32.999999999999993</v>
      </c>
      <c r="D41">
        <f>D39/D40</f>
        <v>69.347916666666663</v>
      </c>
    </row>
    <row r="42" spans="1:5" x14ac:dyDescent="0.45">
      <c r="B42" s="15" t="s">
        <v>336</v>
      </c>
      <c r="C42" s="96">
        <f>C39/E39</f>
        <v>0.54330676252280929</v>
      </c>
      <c r="D42" s="96">
        <f>D39/E39</f>
        <v>0.45669323747719076</v>
      </c>
    </row>
    <row r="43" spans="1:5" x14ac:dyDescent="0.45">
      <c r="B43" s="15" t="s">
        <v>345</v>
      </c>
      <c r="E43" s="68">
        <f>C41/D41</f>
        <v>0.47586144741190245</v>
      </c>
    </row>
    <row r="44" spans="1:5" x14ac:dyDescent="0.45">
      <c r="B44" s="15" t="s">
        <v>347</v>
      </c>
      <c r="E44" s="97">
        <f>(D39/C41)/$D$22</f>
        <v>2.1014520202020206</v>
      </c>
    </row>
    <row r="46" spans="1:5" ht="15.75" x14ac:dyDescent="0.45">
      <c r="A46" s="14" t="s">
        <v>343</v>
      </c>
      <c r="C46" s="78" t="s">
        <v>340</v>
      </c>
      <c r="D46" s="78" t="s">
        <v>277</v>
      </c>
      <c r="E46" s="78" t="s">
        <v>220</v>
      </c>
    </row>
    <row r="47" spans="1:5" x14ac:dyDescent="0.45">
      <c r="B47" s="15" t="s">
        <v>335</v>
      </c>
      <c r="C47">
        <f>D26</f>
        <v>19.580200501253135</v>
      </c>
      <c r="D47">
        <f>C47</f>
        <v>19.580200501253135</v>
      </c>
    </row>
    <row r="48" spans="1:5" x14ac:dyDescent="0.45">
      <c r="B48" s="15" t="s">
        <v>337</v>
      </c>
      <c r="C48">
        <f>C47*C20</f>
        <v>35244.360902255641</v>
      </c>
      <c r="D48">
        <f>D47*D20</f>
        <v>31250.000000000004</v>
      </c>
    </row>
    <row r="49" spans="1:6" x14ac:dyDescent="0.45">
      <c r="B49" s="15" t="s">
        <v>32</v>
      </c>
      <c r="C49">
        <f>C38</f>
        <v>5000</v>
      </c>
      <c r="D49">
        <f>D38</f>
        <v>5650</v>
      </c>
    </row>
    <row r="50" spans="1:6" x14ac:dyDescent="0.45">
      <c r="B50" s="15" t="s">
        <v>338</v>
      </c>
      <c r="C50">
        <f>C48-C49</f>
        <v>30244.360902255641</v>
      </c>
      <c r="D50">
        <f>D48-D49</f>
        <v>25600.000000000004</v>
      </c>
      <c r="E50">
        <f>SUM(C50:D50)</f>
        <v>55844.360902255648</v>
      </c>
    </row>
    <row r="51" spans="1:6" x14ac:dyDescent="0.45">
      <c r="B51" s="15" t="s">
        <v>177</v>
      </c>
      <c r="C51">
        <f>C40</f>
        <v>800</v>
      </c>
      <c r="D51">
        <f>D40</f>
        <v>320</v>
      </c>
    </row>
    <row r="52" spans="1:6" x14ac:dyDescent="0.45">
      <c r="B52" s="15" t="s">
        <v>339</v>
      </c>
      <c r="C52">
        <f>C50/C51</f>
        <v>37.805451127819552</v>
      </c>
      <c r="D52">
        <f>D50/D51</f>
        <v>80.000000000000014</v>
      </c>
    </row>
    <row r="53" spans="1:6" x14ac:dyDescent="0.45">
      <c r="B53" s="15" t="s">
        <v>336</v>
      </c>
      <c r="C53" s="96">
        <f>C50/E50</f>
        <v>0.54158307864230604</v>
      </c>
      <c r="D53" s="96">
        <f>1-C53</f>
        <v>0.45841692135769396</v>
      </c>
    </row>
    <row r="54" spans="1:6" x14ac:dyDescent="0.45">
      <c r="B54" s="15" t="s">
        <v>345</v>
      </c>
      <c r="E54" s="68">
        <f>C52/D52</f>
        <v>0.47256813909774431</v>
      </c>
    </row>
    <row r="55" spans="1:6" x14ac:dyDescent="0.45">
      <c r="B55" s="15" t="s">
        <v>347</v>
      </c>
      <c r="E55" s="97">
        <f>(D50/C52)/$D$22</f>
        <v>2.1160969546302053</v>
      </c>
    </row>
    <row r="58" spans="1:6" ht="15.75" x14ac:dyDescent="0.45">
      <c r="A58" s="14" t="s">
        <v>348</v>
      </c>
    </row>
    <row r="59" spans="1:6" x14ac:dyDescent="0.45">
      <c r="C59" s="78" t="s">
        <v>340</v>
      </c>
      <c r="D59" s="78" t="s">
        <v>277</v>
      </c>
      <c r="E59" s="78" t="s">
        <v>295</v>
      </c>
      <c r="F59" s="78" t="s">
        <v>220</v>
      </c>
    </row>
    <row r="60" spans="1:6" x14ac:dyDescent="0.45">
      <c r="B60" t="s">
        <v>326</v>
      </c>
      <c r="C60">
        <f>D6</f>
        <v>4500</v>
      </c>
      <c r="D60">
        <f>D13</f>
        <v>4150</v>
      </c>
      <c r="E60" s="89">
        <v>0</v>
      </c>
      <c r="F60">
        <f>SUM(C60:E60)</f>
        <v>8650</v>
      </c>
    </row>
    <row r="61" spans="1:6" x14ac:dyDescent="0.45">
      <c r="B61" t="s">
        <v>346</v>
      </c>
      <c r="C61" s="64">
        <f>C60/$F60</f>
        <v>0.52023121387283233</v>
      </c>
      <c r="D61" s="64">
        <f>D60/$F60</f>
        <v>0.47976878612716761</v>
      </c>
      <c r="E61" s="64">
        <f>E60/$F60</f>
        <v>0</v>
      </c>
    </row>
    <row r="62" spans="1:6" x14ac:dyDescent="0.45">
      <c r="B62" t="s">
        <v>85</v>
      </c>
      <c r="C62">
        <f>D7</f>
        <v>1800</v>
      </c>
      <c r="D62">
        <f>D14</f>
        <v>1596</v>
      </c>
      <c r="E62" s="89">
        <v>50</v>
      </c>
      <c r="F62">
        <f>SUM(C62:E62)</f>
        <v>3446</v>
      </c>
    </row>
    <row r="63" spans="1:6" x14ac:dyDescent="0.45">
      <c r="B63" t="s">
        <v>346</v>
      </c>
      <c r="C63" s="64">
        <f>C62/$F62</f>
        <v>0.52234474753337201</v>
      </c>
      <c r="D63" s="64">
        <f>D62/$F62</f>
        <v>0.46314567614625651</v>
      </c>
      <c r="E63" s="64">
        <f>E62/$F62</f>
        <v>1.4509576320371444E-2</v>
      </c>
    </row>
    <row r="64" spans="1:6" x14ac:dyDescent="0.45">
      <c r="B64" t="s">
        <v>89</v>
      </c>
      <c r="C64">
        <f>D10</f>
        <v>1138.5000000000002</v>
      </c>
      <c r="D64">
        <f>D17</f>
        <v>940.8</v>
      </c>
      <c r="E64">
        <f>E62*(1-C67)</f>
        <v>35</v>
      </c>
      <c r="F64">
        <f>SUM(C64:E64)</f>
        <v>2114.3000000000002</v>
      </c>
    </row>
    <row r="65" spans="2:5" x14ac:dyDescent="0.45">
      <c r="B65" t="s">
        <v>346</v>
      </c>
      <c r="C65" s="64">
        <f>C64/$F64</f>
        <v>0.53847609137776098</v>
      </c>
      <c r="D65" s="64">
        <f>D64/$F64</f>
        <v>0.44496996641914577</v>
      </c>
      <c r="E65" s="64">
        <f>E64/$F64</f>
        <v>1.6553942203093221E-2</v>
      </c>
    </row>
    <row r="67" spans="2:5" x14ac:dyDescent="0.45">
      <c r="B67" t="s">
        <v>106</v>
      </c>
      <c r="C67" s="66">
        <v>0.3</v>
      </c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84DA9348-6F15-4409-990B-3E4CC51D0D90}"/>
</file>

<file path=customXml/itemProps2.xml><?xml version="1.0" encoding="utf-8"?>
<ds:datastoreItem xmlns:ds="http://schemas.openxmlformats.org/officeDocument/2006/customXml" ds:itemID="{D798BC0A-6451-4D71-B5CD-8D9BC2133DAC}"/>
</file>

<file path=customXml/itemProps3.xml><?xml version="1.0" encoding="utf-8"?>
<ds:datastoreItem xmlns:ds="http://schemas.openxmlformats.org/officeDocument/2006/customXml" ds:itemID="{6E9C8CA2-6087-4196-A63D-225FE88725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Welcome</vt:lpstr>
      <vt:lpstr>Info</vt:lpstr>
      <vt:lpstr>M&amp;A Analysis</vt:lpstr>
      <vt:lpstr>M&amp;A Cash Deal 1</vt:lpstr>
      <vt:lpstr>M&amp;A Cash Deal 2</vt:lpstr>
      <vt:lpstr>M&amp;A Stock Deal</vt:lpstr>
      <vt:lpstr>Side by Side and Contribution</vt:lpstr>
      <vt:lpstr>'M&amp;A Cash Deal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Jonathan Rugg</cp:lastModifiedBy>
  <cp:lastPrinted>2016-02-04T14:08:33Z</cp:lastPrinted>
  <dcterms:created xsi:type="dcterms:W3CDTF">2016-02-03T14:06:14Z</dcterms:created>
  <dcterms:modified xsi:type="dcterms:W3CDTF">2021-01-04T19:03:28Z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