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maria_weber_fe_training/Documents/Maria Weber/General prep DONT DELETE/DCF_Andrea/My Final Files/Sent to Andrew/"/>
    </mc:Choice>
  </mc:AlternateContent>
  <xr:revisionPtr revIDLastSave="18" documentId="8_{417C857C-E6EC-436F-B6CB-C088805EAC65}" xr6:coauthVersionLast="47" xr6:coauthVersionMax="47" xr10:uidLastSave="{37C026B4-DA35-47A7-AA5F-60C2B539E80F}"/>
  <bookViews>
    <workbookView xWindow="5887" yWindow="-16297" windowWidth="28996" windowHeight="15675" xr2:uid="{00000000-000D-0000-FFFF-FFFF00000000}"/>
  </bookViews>
  <sheets>
    <sheet name="Welcome" sheetId="1" r:id="rId1"/>
    <sheet name="Info" sheetId="6" r:id="rId2"/>
    <sheet name="Keurig Dr Pepper DCF" sheetId="9" r:id="rId3"/>
    <sheet name="Discount Date" sheetId="10" r:id="rId4"/>
  </sheets>
  <definedNames>
    <definedName name="g">'Keurig Dr Pepper DCF'!$E$38</definedName>
    <definedName name="_xlnm.Print_Area" localSheetId="3">'Discount Date'!$A$1:$K$312</definedName>
    <definedName name="_xlnm.Print_Area" localSheetId="2">'Keurig Dr Pepper DCF'!$A$1:$K$309</definedName>
    <definedName name="ROIC">'Keurig Dr Pepper DCF'!$E$37</definedName>
    <definedName name="WACC">'Keurig Dr Pepper DCF'!$E$34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8" i="10" l="1"/>
  <c r="E20" i="10"/>
  <c r="E14" i="10"/>
  <c r="D14" i="10"/>
  <c r="E11" i="10"/>
  <c r="E28" i="9"/>
  <c r="E20" i="9"/>
  <c r="E14" i="9"/>
  <c r="D14" i="9"/>
  <c r="E11" i="9"/>
  <c r="I45" i="10" l="1"/>
  <c r="J45" i="10"/>
  <c r="K45" i="10"/>
  <c r="L45" i="10"/>
  <c r="M45" i="10"/>
  <c r="H45" i="10"/>
  <c r="E43" i="10"/>
  <c r="G44" i="10" s="1"/>
  <c r="I46" i="10" l="1"/>
  <c r="I47" i="10" s="1"/>
  <c r="M46" i="10"/>
  <c r="M47" i="10" s="1"/>
  <c r="L46" i="10"/>
  <c r="L47" i="10" s="1"/>
  <c r="K46" i="10"/>
  <c r="K47" i="10" s="1"/>
  <c r="H46" i="10"/>
  <c r="H47" i="10" s="1"/>
  <c r="J46" i="10"/>
  <c r="J47" i="10" s="1"/>
  <c r="G45" i="10"/>
  <c r="G46" i="10" s="1"/>
  <c r="G47" i="10" s="1"/>
  <c r="D77" i="9" l="1"/>
  <c r="D78" i="9" s="1"/>
  <c r="D75" i="9"/>
  <c r="D74" i="9" s="1"/>
  <c r="D69" i="9"/>
  <c r="D68" i="9"/>
  <c r="D66" i="9"/>
  <c r="D65" i="9" s="1"/>
  <c r="F25" i="9" l="1"/>
  <c r="H44" i="9"/>
  <c r="I44" i="9"/>
  <c r="J44" i="9"/>
  <c r="K44" i="9"/>
  <c r="L44" i="9"/>
  <c r="M44" i="9"/>
  <c r="G44" i="9"/>
  <c r="F15" i="9" l="1"/>
  <c r="F14" i="9"/>
  <c r="F32" i="9" s="1"/>
  <c r="G14" i="9" l="1"/>
  <c r="H14" i="9" s="1"/>
  <c r="F22" i="9"/>
  <c r="I14" i="9"/>
  <c r="H22" i="9"/>
  <c r="H15" i="9"/>
  <c r="G22" i="9"/>
  <c r="G15" i="9"/>
  <c r="E34" i="10"/>
  <c r="E17" i="10"/>
  <c r="E15" i="10" s="1"/>
  <c r="H73" i="9"/>
  <c r="I73" i="9" s="1"/>
  <c r="F73" i="9"/>
  <c r="E73" i="9" s="1"/>
  <c r="F64" i="9"/>
  <c r="E64" i="9" s="1"/>
  <c r="H64" i="9"/>
  <c r="I64" i="9" s="1"/>
  <c r="H20" i="9" l="1"/>
  <c r="H26" i="9" s="1"/>
  <c r="F20" i="9"/>
  <c r="F17" i="9" s="1"/>
  <c r="G20" i="9"/>
  <c r="G17" i="9" s="1"/>
  <c r="G26" i="9"/>
  <c r="H17" i="9"/>
  <c r="J14" i="9"/>
  <c r="I22" i="9"/>
  <c r="I15" i="9"/>
  <c r="E15" i="9"/>
  <c r="E17" i="9"/>
  <c r="G18" i="9" l="1"/>
  <c r="G19" i="9"/>
  <c r="F18" i="9"/>
  <c r="F19" i="9" s="1"/>
  <c r="F26" i="9"/>
  <c r="I20" i="9"/>
  <c r="I17" i="9" s="1"/>
  <c r="I18" i="9" s="1"/>
  <c r="I19" i="9" s="1"/>
  <c r="I26" i="9"/>
  <c r="J15" i="9"/>
  <c r="K14" i="9"/>
  <c r="J22" i="9"/>
  <c r="H18" i="9"/>
  <c r="H19" i="9" s="1"/>
  <c r="E62" i="10"/>
  <c r="A2" i="10"/>
  <c r="A2" i="9"/>
  <c r="H43" i="9"/>
  <c r="I43" i="9" s="1"/>
  <c r="I31" i="9" l="1"/>
  <c r="F31" i="9"/>
  <c r="F30" i="9"/>
  <c r="H31" i="9"/>
  <c r="J20" i="9"/>
  <c r="J26" i="9" s="1"/>
  <c r="G31" i="9"/>
  <c r="K15" i="9"/>
  <c r="L14" i="9"/>
  <c r="K22" i="9"/>
  <c r="J43" i="9"/>
  <c r="J17" i="9" l="1"/>
  <c r="K20" i="9"/>
  <c r="K17" i="9" s="1"/>
  <c r="K26" i="9"/>
  <c r="J18" i="9"/>
  <c r="J19" i="9" s="1"/>
  <c r="L22" i="9"/>
  <c r="L15" i="9"/>
  <c r="M14" i="9"/>
  <c r="K43" i="9"/>
  <c r="K18" i="9" l="1"/>
  <c r="K19" i="9" s="1"/>
  <c r="L20" i="9"/>
  <c r="L17" i="9" s="1"/>
  <c r="L26" i="9"/>
  <c r="J31" i="9"/>
  <c r="M22" i="9"/>
  <c r="M15" i="9"/>
  <c r="L43" i="9"/>
  <c r="L18" i="9" l="1"/>
  <c r="L19" i="9"/>
  <c r="K31" i="9"/>
  <c r="M20" i="9"/>
  <c r="M26" i="9" s="1"/>
  <c r="M43" i="9"/>
  <c r="M17" i="9" l="1"/>
  <c r="M18" i="9" s="1"/>
  <c r="M19" i="9" s="1"/>
  <c r="L31" i="9"/>
  <c r="F62" i="10"/>
  <c r="F60" i="10"/>
  <c r="F58" i="10"/>
  <c r="F57" i="10"/>
  <c r="F56" i="10"/>
  <c r="E10" i="10"/>
  <c r="E7" i="10"/>
  <c r="E6" i="10"/>
  <c r="E5" i="10"/>
  <c r="E2" i="10"/>
  <c r="F2" i="10" s="1"/>
  <c r="A1" i="10"/>
  <c r="F59" i="9"/>
  <c r="F57" i="9"/>
  <c r="F55" i="9"/>
  <c r="F54" i="9"/>
  <c r="F53" i="9"/>
  <c r="F25" i="10"/>
  <c r="E2" i="9"/>
  <c r="F2" i="9" s="1"/>
  <c r="G2" i="9" s="1"/>
  <c r="H2" i="9" s="1"/>
  <c r="I2" i="9" s="1"/>
  <c r="J2" i="9" s="1"/>
  <c r="K2" i="9" s="1"/>
  <c r="L2" i="9" s="1"/>
  <c r="M2" i="9" s="1"/>
  <c r="G14" i="10"/>
  <c r="E8" i="9"/>
  <c r="E7" i="9"/>
  <c r="E6" i="9"/>
  <c r="E5" i="9"/>
  <c r="A1" i="9"/>
  <c r="M40" i="9" l="1"/>
  <c r="F49" i="9" s="1"/>
  <c r="M31" i="9"/>
  <c r="G2" i="10"/>
  <c r="F14" i="10"/>
  <c r="F11" i="10" s="1"/>
  <c r="E8" i="10"/>
  <c r="D2" i="10"/>
  <c r="C2" i="10" s="1"/>
  <c r="G11" i="10"/>
  <c r="D2" i="9"/>
  <c r="C2" i="9" s="1"/>
  <c r="F22" i="10"/>
  <c r="H14" i="10"/>
  <c r="G11" i="9"/>
  <c r="G22" i="10"/>
  <c r="F11" i="9"/>
  <c r="F21" i="9" s="1"/>
  <c r="E10" i="9"/>
  <c r="F27" i="9" l="1"/>
  <c r="F28" i="9" s="1"/>
  <c r="G25" i="9" s="1"/>
  <c r="F23" i="9"/>
  <c r="G21" i="9"/>
  <c r="F32" i="10"/>
  <c r="H2" i="10"/>
  <c r="F15" i="10"/>
  <c r="G15" i="10"/>
  <c r="H11" i="10"/>
  <c r="H11" i="9"/>
  <c r="H22" i="10"/>
  <c r="I14" i="10"/>
  <c r="G23" i="9" l="1"/>
  <c r="G45" i="9" s="1"/>
  <c r="G27" i="9"/>
  <c r="G28" i="9"/>
  <c r="H25" i="9" s="1"/>
  <c r="G32" i="9"/>
  <c r="G30" i="9"/>
  <c r="H21" i="9"/>
  <c r="I2" i="10"/>
  <c r="H15" i="10"/>
  <c r="F21" i="10"/>
  <c r="F27" i="10" s="1"/>
  <c r="G21" i="10"/>
  <c r="G27" i="10" s="1"/>
  <c r="G17" i="10"/>
  <c r="G20" i="10"/>
  <c r="G26" i="10" s="1"/>
  <c r="F20" i="10"/>
  <c r="F26" i="10" s="1"/>
  <c r="I11" i="10"/>
  <c r="I22" i="10"/>
  <c r="I11" i="9"/>
  <c r="J14" i="10"/>
  <c r="H23" i="9" l="1"/>
  <c r="H45" i="9" s="1"/>
  <c r="H27" i="9"/>
  <c r="H32" i="9"/>
  <c r="H28" i="9"/>
  <c r="I25" i="9" s="1"/>
  <c r="H30" i="9"/>
  <c r="H21" i="10"/>
  <c r="H27" i="10" s="1"/>
  <c r="I21" i="9"/>
  <c r="J2" i="10"/>
  <c r="I15" i="10"/>
  <c r="F28" i="10"/>
  <c r="G32" i="10" s="1"/>
  <c r="H20" i="10"/>
  <c r="H26" i="10" s="1"/>
  <c r="F17" i="10"/>
  <c r="J11" i="10"/>
  <c r="J22" i="10"/>
  <c r="K14" i="10"/>
  <c r="J11" i="9"/>
  <c r="I32" i="9" l="1"/>
  <c r="I30" i="9"/>
  <c r="I23" i="9"/>
  <c r="I45" i="9" s="1"/>
  <c r="I27" i="9"/>
  <c r="I28" i="9" s="1"/>
  <c r="J25" i="9" s="1"/>
  <c r="I21" i="10"/>
  <c r="I27" i="10" s="1"/>
  <c r="J21" i="9"/>
  <c r="K2" i="10"/>
  <c r="J15" i="10"/>
  <c r="F18" i="10"/>
  <c r="F19" i="10" s="1"/>
  <c r="G25" i="10"/>
  <c r="G28" i="10" s="1"/>
  <c r="H32" i="10" s="1"/>
  <c r="J21" i="10"/>
  <c r="J27" i="10" s="1"/>
  <c r="I20" i="10"/>
  <c r="I26" i="10" s="1"/>
  <c r="H17" i="10"/>
  <c r="G18" i="10"/>
  <c r="G19" i="10" s="1"/>
  <c r="K11" i="10"/>
  <c r="L14" i="10"/>
  <c r="K11" i="9"/>
  <c r="K21" i="9" s="1"/>
  <c r="K22" i="10"/>
  <c r="J32" i="9" l="1"/>
  <c r="J30" i="9"/>
  <c r="K23" i="9"/>
  <c r="K45" i="9" s="1"/>
  <c r="K27" i="9"/>
  <c r="J23" i="9"/>
  <c r="J45" i="9" s="1"/>
  <c r="J27" i="9"/>
  <c r="J28" i="9" s="1"/>
  <c r="K25" i="9" s="1"/>
  <c r="L21" i="9"/>
  <c r="L2" i="10"/>
  <c r="K15" i="10"/>
  <c r="G31" i="10"/>
  <c r="G30" i="10"/>
  <c r="G23" i="10"/>
  <c r="G48" i="10" s="1"/>
  <c r="F31" i="10"/>
  <c r="F23" i="10"/>
  <c r="F30" i="10"/>
  <c r="J20" i="10"/>
  <c r="J26" i="10" s="1"/>
  <c r="H25" i="10"/>
  <c r="H28" i="10" s="1"/>
  <c r="I32" i="10" s="1"/>
  <c r="H18" i="10"/>
  <c r="H19" i="10" s="1"/>
  <c r="I17" i="10"/>
  <c r="L11" i="10"/>
  <c r="M14" i="10"/>
  <c r="L11" i="9"/>
  <c r="L22" i="10"/>
  <c r="K28" i="9" l="1"/>
  <c r="L25" i="9" s="1"/>
  <c r="K32" i="9"/>
  <c r="K30" i="9"/>
  <c r="L23" i="9"/>
  <c r="L45" i="9" s="1"/>
  <c r="L27" i="9"/>
  <c r="M2" i="10"/>
  <c r="L15" i="10"/>
  <c r="I25" i="10"/>
  <c r="I28" i="10" s="1"/>
  <c r="J32" i="10" s="1"/>
  <c r="H31" i="10"/>
  <c r="H30" i="10"/>
  <c r="H23" i="10"/>
  <c r="H48" i="10" s="1"/>
  <c r="I18" i="10"/>
  <c r="I19" i="10" s="1"/>
  <c r="K21" i="10"/>
  <c r="K27" i="10" s="1"/>
  <c r="J17" i="10"/>
  <c r="K17" i="10"/>
  <c r="K20" i="10"/>
  <c r="K26" i="10" s="1"/>
  <c r="M11" i="10"/>
  <c r="M22" i="10"/>
  <c r="M11" i="9"/>
  <c r="M21" i="9" s="1"/>
  <c r="M23" i="9" l="1"/>
  <c r="M27" i="9"/>
  <c r="L32" i="9"/>
  <c r="L28" i="9"/>
  <c r="M25" i="9" s="1"/>
  <c r="L30" i="9"/>
  <c r="M15" i="10"/>
  <c r="J25" i="10"/>
  <c r="J28" i="10" s="1"/>
  <c r="K32" i="10" s="1"/>
  <c r="K18" i="10"/>
  <c r="K19" i="10" s="1"/>
  <c r="K31" i="10" s="1"/>
  <c r="L20" i="10"/>
  <c r="L26" i="10" s="1"/>
  <c r="L21" i="10"/>
  <c r="L27" i="10" s="1"/>
  <c r="J18" i="10"/>
  <c r="J19" i="10" s="1"/>
  <c r="M21" i="10"/>
  <c r="M27" i="10" s="1"/>
  <c r="I31" i="10"/>
  <c r="I23" i="10"/>
  <c r="I48" i="10" s="1"/>
  <c r="I30" i="10"/>
  <c r="M32" i="9" l="1"/>
  <c r="M28" i="9"/>
  <c r="M30" i="9"/>
  <c r="M39" i="9"/>
  <c r="E49" i="9" s="1"/>
  <c r="M45" i="9"/>
  <c r="K23" i="10"/>
  <c r="K48" i="10" s="1"/>
  <c r="K30" i="10"/>
  <c r="K25" i="10"/>
  <c r="K28" i="10" s="1"/>
  <c r="L32" i="10" s="1"/>
  <c r="L17" i="10"/>
  <c r="J30" i="10"/>
  <c r="J23" i="10"/>
  <c r="J48" i="10" s="1"/>
  <c r="J31" i="10"/>
  <c r="M20" i="10"/>
  <c r="M26" i="10" s="1"/>
  <c r="E48" i="9" l="1"/>
  <c r="E50" i="9" s="1"/>
  <c r="E56" i="9" s="1"/>
  <c r="E58" i="9" s="1"/>
  <c r="F48" i="9"/>
  <c r="F50" i="9" s="1"/>
  <c r="F56" i="9" s="1"/>
  <c r="F58" i="9" s="1"/>
  <c r="L25" i="10"/>
  <c r="L28" i="10" s="1"/>
  <c r="M32" i="10" s="1"/>
  <c r="M17" i="10"/>
  <c r="L18" i="10"/>
  <c r="L19" i="10" s="1"/>
  <c r="E60" i="9" l="1"/>
  <c r="D64" i="9"/>
  <c r="F60" i="9"/>
  <c r="D73" i="9"/>
  <c r="L31" i="10"/>
  <c r="L30" i="10"/>
  <c r="L23" i="10"/>
  <c r="L48" i="10" s="1"/>
  <c r="M25" i="10"/>
  <c r="M28" i="10" s="1"/>
  <c r="M18" i="10"/>
  <c r="M19" i="10" s="1"/>
  <c r="M31" i="10" l="1"/>
  <c r="M23" i="10"/>
  <c r="M48" i="10" s="1"/>
  <c r="E51" i="10" s="1"/>
  <c r="M30" i="10"/>
  <c r="M40" i="10"/>
  <c r="F52" i="10" s="1"/>
  <c r="M39" i="10" l="1"/>
  <c r="E52" i="10" s="1"/>
  <c r="E53" i="10" l="1"/>
  <c r="E59" i="10" s="1"/>
  <c r="E61" i="10" s="1"/>
  <c r="E63" i="10" s="1"/>
  <c r="F51" i="10"/>
  <c r="F53" i="10" s="1"/>
  <c r="F59" i="10" s="1"/>
  <c r="F61" i="10" s="1"/>
  <c r="F63" i="10" s="1"/>
  <c r="A7" i="1" l="1"/>
  <c r="A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Maria Weber</author>
  </authors>
  <commentList>
    <comment ref="F5" authorId="0" shapeId="0" xr:uid="{D757F37B-D5D1-4A35-B052-6C1B14C0C0A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5" authorId="0" shapeId="0" xr:uid="{7EC5F51E-7C7D-445A-BC7C-CAD9680D2DB5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5" authorId="0" shapeId="0" xr:uid="{043D798D-D043-41EC-A386-7B76B51C371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F6" authorId="0" shapeId="0" xr:uid="{6D0A52CB-7F71-41F6-A8C7-8AB3B3EE24B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6" authorId="0" shapeId="0" xr:uid="{A3F07410-2EDE-40D3-A5B7-4B2C8B64D7EA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6" authorId="0" shapeId="0" xr:uid="{1646A6F1-C0C8-4BC9-99FD-5E708BE3324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E11" authorId="1" shapeId="0" xr:uid="{923E588B-15E6-4C6B-815C-8626BADB00E2}">
      <text>
        <r>
          <rPr>
            <b/>
            <sz val="9"/>
            <color indexed="81"/>
            <rFont val="Tahoma"/>
            <charset val="1"/>
          </rPr>
          <t>FE:</t>
        </r>
        <r>
          <rPr>
            <sz val="9"/>
            <color indexed="81"/>
            <rFont val="Tahoma"/>
            <charset val="1"/>
          </rPr>
          <t xml:space="preserve">
10K</t>
        </r>
      </text>
    </comment>
    <comment ref="D14" authorId="0" shapeId="0" xr:uid="{FA99EF55-D0B7-4BCA-BF58-FF824FA920E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4" authorId="0" shapeId="0" xr:uid="{5FCAB8B8-0004-497D-8910-787AAF69B2ED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7" authorId="0" shapeId="0" xr:uid="{5BAA33BF-D4FF-4978-94D8-2D3733583EF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 Press Release Adjusted Number</t>
        </r>
      </text>
    </comment>
    <comment ref="E20" authorId="0" shapeId="0" xr:uid="{5FB73E99-B0DB-465F-9D30-D5F40AB91C5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22" authorId="0" shapeId="0" xr:uid="{F83389CB-7095-4DC1-A44C-083C24604434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28" authorId="0" shapeId="0" xr:uid="{2A03C9E1-C32A-4817-9F0B-E554B60961E6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34" authorId="0" shapeId="0" xr:uid="{B49C30C8-CFEB-48BD-8AE8-121AFB28FD58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Felix, using survey ERP</t>
        </r>
      </text>
    </comment>
    <comment ref="E53" authorId="0" shapeId="0" xr:uid="{B7D69646-D142-4F5F-8E8F-4C121AA9FE57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4" authorId="0" shapeId="0" xr:uid="{9AA31810-57F8-4F44-AA8F-A39F1D75C3B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5" authorId="0" shapeId="0" xr:uid="{DE9DA39A-BC4E-4FDD-AC05-A6B5D2E022A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7" authorId="0" shapeId="0" xr:uid="{867BB739-F9AA-4E5B-ADD9-B38216CE3AE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9" authorId="0" shapeId="0" xr:uid="{BE81E251-3046-48EA-8678-24D8DEC2C6CF}">
      <text>
        <r>
          <rPr>
            <b/>
            <sz val="9"/>
            <color indexed="81"/>
            <rFont val="Tahoma"/>
            <family val="2"/>
          </rPr>
          <t>FE</t>
        </r>
        <r>
          <rPr>
            <sz val="9"/>
            <color indexed="81"/>
            <rFont val="Tahoma"/>
            <family val="2"/>
          </rPr>
          <t xml:space="preserve">
Felix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Ward</author>
    <author>Maria Weber</author>
  </authors>
  <commentList>
    <comment ref="F5" authorId="0" shapeId="0" xr:uid="{AA56B182-7A58-4063-BFB8-19ECF9724634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5" authorId="0" shapeId="0" xr:uid="{77B4B8BC-8E5C-442E-BAFF-3A8D87964E83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5" authorId="0" shapeId="0" xr:uid="{57C826CB-B3F7-4FCD-9AC1-DA5AD3B8DD4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F6" authorId="0" shapeId="0" xr:uid="{E9D6A804-B868-44F3-8297-D755CF68FBA6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G6" authorId="0" shapeId="0" xr:uid="{E11E0F95-6F70-46C1-AC1F-010E56BEA7C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H6" authorId="0" shapeId="0" xr:uid="{1B93C645-C025-42AD-8214-F5A06F2ED08C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 - consensus forecasts</t>
        </r>
      </text>
    </comment>
    <comment ref="E11" authorId="1" shapeId="0" xr:uid="{9CC98287-FD8D-408F-8DFE-E297E017325B}">
      <text>
        <r>
          <rPr>
            <b/>
            <sz val="9"/>
            <color indexed="81"/>
            <rFont val="Tahoma"/>
            <charset val="1"/>
          </rPr>
          <t>FE:</t>
        </r>
        <r>
          <rPr>
            <sz val="9"/>
            <color indexed="81"/>
            <rFont val="Tahoma"/>
            <charset val="1"/>
          </rPr>
          <t xml:space="preserve">
10K</t>
        </r>
      </text>
    </comment>
    <comment ref="D14" authorId="0" shapeId="0" xr:uid="{1DBE2792-F6DD-49F6-B011-8A7A10E77781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4" authorId="0" shapeId="0" xr:uid="{99551601-9078-4BC5-81F1-79D4D9B419B9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17" authorId="0" shapeId="0" xr:uid="{6F70D6A2-F92C-4658-977B-E5886B0E777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 Press Release Adjusted Number</t>
        </r>
      </text>
    </comment>
    <comment ref="E20" authorId="0" shapeId="0" xr:uid="{16FB8391-30E2-4210-938C-C16ADDC25378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22" authorId="0" shapeId="0" xr:uid="{DD258132-64C0-41F4-8F53-F8A5DF0A08B5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28" authorId="0" shapeId="0" xr:uid="{858B18E0-155F-48F2-AA1D-BAD0F6CB829B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10K</t>
        </r>
      </text>
    </comment>
    <comment ref="E56" authorId="0" shapeId="0" xr:uid="{25E99D12-A896-4840-BBBF-D94C8920F396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7" authorId="0" shapeId="0" xr:uid="{66192458-985A-4C2E-81E5-053D36A37BD7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58" authorId="0" shapeId="0" xr:uid="{6EE70D70-444D-4AEB-9D5E-3CF4CD623DE3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  <comment ref="E60" authorId="0" shapeId="0" xr:uid="{F9EDE33C-7625-4736-BA5E-8138B8124F2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Felix
</t>
        </r>
      </text>
    </comment>
  </commentList>
</comments>
</file>

<file path=xl/sharedStrings.xml><?xml version="1.0" encoding="utf-8"?>
<sst xmlns="http://schemas.openxmlformats.org/spreadsheetml/2006/main" count="159" uniqueCount="83">
  <si>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</si>
  <si>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</si>
  <si>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</si>
  <si>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</si>
  <si>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</si>
  <si>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</si>
  <si>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</si>
  <si>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</si>
  <si>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</si>
  <si>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</si>
  <si>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</si>
  <si>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</si>
  <si>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</si>
  <si>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</si>
  <si>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</si>
  <si>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</si>
  <si>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</si>
  <si>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Advanced Valuation</t>
  </si>
  <si>
    <t>Valuation date</t>
  </si>
  <si>
    <t>Long term growth rate</t>
  </si>
  <si>
    <t>WACC</t>
  </si>
  <si>
    <t>Discount factor</t>
  </si>
  <si>
    <t>Terminal value</t>
  </si>
  <si>
    <t>Enterprise value</t>
  </si>
  <si>
    <t>Equity value</t>
  </si>
  <si>
    <t>Mid-year valuation date</t>
  </si>
  <si>
    <t>Long term ROIC</t>
  </si>
  <si>
    <t>Value driver formula</t>
  </si>
  <si>
    <t>NOPAT</t>
  </si>
  <si>
    <t>Free cash flow</t>
  </si>
  <si>
    <t>EBIT</t>
  </si>
  <si>
    <t>Tax on EBIT</t>
  </si>
  <si>
    <t>Total debt</t>
  </si>
  <si>
    <t>Discounting</t>
  </si>
  <si>
    <t>Year</t>
  </si>
  <si>
    <t>Present value of free cash flows</t>
  </si>
  <si>
    <t>Sum of present value of free cash flows</t>
  </si>
  <si>
    <t>Present value of terminal value</t>
  </si>
  <si>
    <t>Cash and cash equivalents</t>
  </si>
  <si>
    <t>Hist.</t>
  </si>
  <si>
    <t>Proj.</t>
  </si>
  <si>
    <t>Sales</t>
  </si>
  <si>
    <t>EBITDA</t>
  </si>
  <si>
    <t>Assumptions</t>
  </si>
  <si>
    <t>EBITDA margin</t>
  </si>
  <si>
    <t>Capex % sales</t>
  </si>
  <si>
    <t>Effective Tax Rate</t>
  </si>
  <si>
    <t>OWC % Sales</t>
  </si>
  <si>
    <t>Sales growth</t>
  </si>
  <si>
    <t>Capex/D&amp;A</t>
  </si>
  <si>
    <t>No of fully diluted shares</t>
  </si>
  <si>
    <t>Implied value per share</t>
  </si>
  <si>
    <t>Current share price</t>
  </si>
  <si>
    <t>OWC</t>
  </si>
  <si>
    <t>Investments</t>
  </si>
  <si>
    <t>Premium / (Discount)</t>
  </si>
  <si>
    <t>Net reinvestment in PP&amp;E</t>
  </si>
  <si>
    <t>Net reinvestment in OWC</t>
  </si>
  <si>
    <t xml:space="preserve">Return on opening invested capital </t>
  </si>
  <si>
    <t>NOPAT margin</t>
  </si>
  <si>
    <t>Capital turnover</t>
  </si>
  <si>
    <t>Beginning invested capital</t>
  </si>
  <si>
    <t>Ending invested capital</t>
  </si>
  <si>
    <t>Terminal value based on perpetuity</t>
  </si>
  <si>
    <t>Terminal value based on value driver perpetuity</t>
  </si>
  <si>
    <t>Perpetuity</t>
  </si>
  <si>
    <t>Value Driver</t>
  </si>
  <si>
    <t>Keurig Dr Pepper</t>
  </si>
  <si>
    <t>Percentage of FCF received</t>
  </si>
  <si>
    <t>Date of occurrence</t>
  </si>
  <si>
    <t>Exact Valuation date</t>
  </si>
  <si>
    <t>Keurig ROIC</t>
  </si>
  <si>
    <t>Normal DCF &amp; Value Driver</t>
  </si>
  <si>
    <t>Keurig Discount</t>
  </si>
  <si>
    <t>Exact valuation date</t>
  </si>
  <si>
    <t>D&amp;A</t>
  </si>
  <si>
    <t>Change in OWC</t>
  </si>
  <si>
    <t>Capex</t>
  </si>
  <si>
    <t>End</t>
  </si>
  <si>
    <t>Number of years from valuation date</t>
  </si>
  <si>
    <t>Long-term growth rate</t>
  </si>
  <si>
    <t>Implied value per share using perpetuity formula</t>
  </si>
  <si>
    <t>Implied value per share usingvalue driver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</si>
</sst>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\ \x_);\(#,##0.0\ \x\)"/>
    <numFmt numFmtId="176" formatCode="#,##0.0_);\(#,##0.0\)"/>
    <numFmt numFmtId="177" formatCode="#,##0.0%_);\(#,##0.0%\)"/>
    <numFmt numFmtId="178" formatCode="#,##0.00_);\(#,##0.00\);0.00_);@_)"/>
    <numFmt numFmtId="179" formatCode="#,##0.00%_);\(#,##0.00%\)"/>
  </numFmts>
  <fonts count="45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b/>
      <sz val="11"/>
      <color rgb="FF0853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u/>
      <sz val="11"/>
      <color theme="1" tint="0.2499465926084170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40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85393"/>
        <bgColor rgb="FF085393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6">
    <xf numFmtId="174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68" fontId="29" fillId="0" borderId="0" applyFont="0" applyFill="0" applyBorder="0" applyAlignment="0" applyProtection="0"/>
    <xf numFmtId="175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1" applyNumberFormat="0">
      <protection locked="0"/>
    </xf>
    <xf numFmtId="0" fontId="2" fillId="5" borderId="12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  <xf numFmtId="170" fontId="3" fillId="0" borderId="0">
      <alignment vertical="top"/>
    </xf>
    <xf numFmtId="174" fontId="34" fillId="0" borderId="0" applyNumberFormat="0" applyFill="0" applyBorder="0" applyAlignment="0" applyProtection="0"/>
  </cellStyleXfs>
  <cellXfs count="101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7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2" xfId="61" applyFont="1" applyAlignment="1">
      <alignment vertical="top"/>
    </xf>
    <xf numFmtId="0" fontId="3" fillId="5" borderId="12" xfId="61" applyFont="1" applyAlignment="1">
      <alignment horizontal="center" vertical="top"/>
    </xf>
    <xf numFmtId="0" fontId="2" fillId="5" borderId="12" xfId="61" applyFont="1" applyAlignment="1"/>
    <xf numFmtId="0" fontId="5" fillId="5" borderId="12" xfId="61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2" xfId="61" applyFont="1" applyAlignment="1"/>
    <xf numFmtId="0" fontId="2" fillId="5" borderId="12" xfId="61" applyFont="1" applyAlignment="1">
      <alignment horizontal="left"/>
    </xf>
    <xf numFmtId="0" fontId="7" fillId="5" borderId="12" xfId="61" applyFont="1" applyAlignment="1">
      <alignment horizontal="center" vertical="center" wrapText="1"/>
    </xf>
    <xf numFmtId="0" fontId="7" fillId="5" borderId="12" xfId="61" applyFont="1" applyAlignment="1">
      <alignment vertical="center" wrapText="1"/>
    </xf>
    <xf numFmtId="170" fontId="30" fillId="37" borderId="11" xfId="60" applyNumberFormat="1">
      <protection locked="0"/>
    </xf>
    <xf numFmtId="170" fontId="2" fillId="0" borderId="0" xfId="51" applyNumberFormat="1" applyFont="1" applyFill="1" applyAlignment="1"/>
    <xf numFmtId="0" fontId="2" fillId="0" borderId="0" xfId="61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2" xfId="61" applyFont="1" applyAlignment="1"/>
    <xf numFmtId="174" fontId="4" fillId="5" borderId="0" xfId="51" applyNumberFormat="1" applyFont="1" applyAlignment="1">
      <alignment vertical="center"/>
    </xf>
    <xf numFmtId="0" fontId="3" fillId="5" borderId="12" xfId="61" applyFont="1" applyAlignment="1">
      <alignment horizontal="left" vertical="top"/>
    </xf>
    <xf numFmtId="174" fontId="30" fillId="0" borderId="0" xfId="57" applyNumberFormat="1" applyFill="1"/>
    <xf numFmtId="172" fontId="30" fillId="0" borderId="0" xfId="57" applyNumberFormat="1" applyFill="1"/>
    <xf numFmtId="172" fontId="0" fillId="0" borderId="0" xfId="56" applyFont="1" applyFill="1"/>
    <xf numFmtId="170" fontId="4" fillId="0" borderId="0" xfId="50" applyNumberFormat="1" applyFill="1">
      <alignment horizontal="left" vertical="center"/>
    </xf>
    <xf numFmtId="174" fontId="0" fillId="0" borderId="0" xfId="0" applyAlignment="1">
      <alignment wrapText="1"/>
    </xf>
    <xf numFmtId="172" fontId="30" fillId="37" borderId="11" xfId="60" applyNumberFormat="1">
      <protection locked="0"/>
    </xf>
    <xf numFmtId="174" fontId="30" fillId="0" borderId="0" xfId="57" applyNumberFormat="1" applyFill="1" applyBorder="1"/>
    <xf numFmtId="174" fontId="4" fillId="0" borderId="0" xfId="50" applyNumberFormat="1">
      <alignment horizontal="left" vertical="center"/>
    </xf>
    <xf numFmtId="170" fontId="3" fillId="0" borderId="0" xfId="64">
      <alignment vertical="top"/>
    </xf>
    <xf numFmtId="174" fontId="34" fillId="0" borderId="0" xfId="65"/>
    <xf numFmtId="172" fontId="30" fillId="37" borderId="11" xfId="56" applyFont="1" applyFill="1" applyBorder="1" applyProtection="1">
      <protection locked="0"/>
    </xf>
    <xf numFmtId="177" fontId="0" fillId="0" borderId="0" xfId="0" applyNumberFormat="1"/>
    <xf numFmtId="174" fontId="34" fillId="0" borderId="0" xfId="65" applyAlignment="1">
      <alignment horizontal="right"/>
    </xf>
    <xf numFmtId="177" fontId="30" fillId="37" borderId="11" xfId="60" applyNumberFormat="1">
      <protection locked="0"/>
    </xf>
    <xf numFmtId="176" fontId="30" fillId="0" borderId="0" xfId="57" applyNumberFormat="1" applyFill="1"/>
    <xf numFmtId="178" fontId="0" fillId="0" borderId="0" xfId="0" applyNumberFormat="1"/>
    <xf numFmtId="170" fontId="33" fillId="0" borderId="0" xfId="64" applyFont="1">
      <alignment vertical="top"/>
    </xf>
    <xf numFmtId="174" fontId="35" fillId="0" borderId="0" xfId="0" applyFont="1"/>
    <xf numFmtId="174" fontId="36" fillId="0" borderId="0" xfId="57" applyNumberFormat="1" applyFont="1" applyFill="1"/>
    <xf numFmtId="174" fontId="37" fillId="0" borderId="0" xfId="0" applyFont="1"/>
    <xf numFmtId="168" fontId="0" fillId="0" borderId="0" xfId="54" applyFont="1"/>
    <xf numFmtId="168" fontId="30" fillId="37" borderId="11" xfId="60" applyNumberFormat="1">
      <protection locked="0"/>
    </xf>
    <xf numFmtId="174" fontId="40" fillId="0" borderId="0" xfId="0" applyFont="1"/>
    <xf numFmtId="174" fontId="40" fillId="0" borderId="0" xfId="0" applyFont="1" applyAlignment="1">
      <alignment horizontal="center"/>
    </xf>
    <xf numFmtId="172" fontId="41" fillId="39" borderId="0" xfId="0" applyNumberFormat="1" applyFont="1" applyFill="1" applyAlignment="1">
      <alignment horizontal="center"/>
    </xf>
    <xf numFmtId="0" fontId="40" fillId="0" borderId="0" xfId="0" applyNumberFormat="1" applyFont="1"/>
    <xf numFmtId="179" fontId="30" fillId="37" borderId="11" xfId="60" applyNumberFormat="1">
      <protection locked="0"/>
    </xf>
    <xf numFmtId="0" fontId="42" fillId="0" borderId="0" xfId="0" applyNumberFormat="1" applyFont="1"/>
    <xf numFmtId="174" fontId="34" fillId="0" borderId="0" xfId="65" applyFill="1"/>
    <xf numFmtId="174" fontId="29" fillId="0" borderId="0" xfId="0" applyFont="1"/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8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169" fontId="2" fillId="5" borderId="0" xfId="51" applyNumberFormat="1" applyFont="1" applyAlignment="1">
      <alignment horizontal="left"/>
    </xf>
  </cellXfs>
  <cellStyles count="66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1" xr:uid="{00000000-0005-0000-0000-00001A000000}"/>
    <cellStyle name="Blank" xfId="59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0000000}"/>
    <cellStyle name="Currency" xfId="4" builtinId="4" hidden="1"/>
    <cellStyle name="Currency [0]" xfId="5" builtinId="7" hidden="1"/>
    <cellStyle name="Date" xfId="54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3" xr:uid="{00000000-0005-0000-0000-00002C000000}"/>
    <cellStyle name="Hist Proj Title" xfId="53" xr:uid="{00000000-0005-0000-0000-00002D000000}"/>
    <cellStyle name="Hyperlink" xfId="1" builtinId="8" hidden="1" customBuiltin="1"/>
    <cellStyle name="Hyperlink" xfId="65" builtinId="8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7000000}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B000000}"/>
    <cellStyle name="Row Label" xfId="64" xr:uid="{0F688BA7-BB42-4B59-BD24-BB1A454D2981}"/>
    <cellStyle name="Secondary Title" xfId="49" xr:uid="{00000000-0005-0000-0000-00003D000000}"/>
    <cellStyle name="Tertiary Title" xfId="50" xr:uid="{00000000-0005-0000-0000-00003E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felix.fe.training/filing-document/?hid=65bcfc3a12104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felix.fe.training/filing-document/?hid=65bcfc3a12104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showGridLines="0" tabSelected="1" zoomScaleNormal="100" workbookViewId="0">
      <selection sqref="A1:N1"/>
    </sheetView>
  </sheetViews>
  <sheetFormatPr defaultColWidth="9.06640625" defaultRowHeight="14.25" x14ac:dyDescent="0.45"/>
  <cols>
    <col min="1" max="1" width="9.796875" customWidth="1"/>
    <col min="2" max="13" width="9.265625" customWidth="1"/>
    <col min="14" max="14" width="9.796875" customWidth="1"/>
    <col min="15" max="26" width="9.06640625" customWidth="1"/>
  </cols>
  <sheetData>
    <row r="1" spans="1:14" s="33" customFormat="1" ht="189.75" customHeight="1" x14ac:dyDescent="0.8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</row>
    <row r="2" spans="1:14" s="21" customFormat="1" ht="75" customHeight="1" x14ac:dyDescent="0.45">
      <c r="A2" s="92" t="s">
        <v>17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</row>
    <row r="3" spans="1:14" s="22" customFormat="1" ht="7.5" customHeight="1" x14ac:dyDescent="0.45">
      <c r="B3" s="23"/>
      <c r="C3" s="23"/>
      <c r="F3" s="24"/>
      <c r="G3" s="24"/>
      <c r="H3" s="24"/>
      <c r="I3" s="24"/>
      <c r="J3" s="24"/>
      <c r="K3" s="24"/>
    </row>
    <row r="4" spans="1:14" s="22" customFormat="1" ht="15" customHeight="1" x14ac:dyDescent="0.45">
      <c r="A4" s="36"/>
      <c r="B4" s="37"/>
      <c r="C4" s="91"/>
      <c r="D4" s="91"/>
      <c r="E4" s="38"/>
      <c r="F4" s="39"/>
      <c r="G4" s="39"/>
      <c r="H4" s="39"/>
      <c r="I4" s="39"/>
      <c r="J4" s="39"/>
      <c r="K4" s="39"/>
      <c r="L4" s="38"/>
      <c r="M4" s="38"/>
      <c r="N4" s="38"/>
    </row>
    <row r="5" spans="1:14" s="22" customFormat="1" ht="15" customHeight="1" x14ac:dyDescent="0.45">
      <c r="A5" s="93" t="s">
        <v>10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</row>
    <row r="6" spans="1:14" s="22" customFormat="1" ht="15" customHeight="1" x14ac:dyDescent="0.45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</row>
    <row r="7" spans="1:14" s="22" customFormat="1" ht="15" customHeight="1" x14ac:dyDescent="0.45">
      <c r="A7" s="93" t="str">
        <f ca="1">"© "&amp;YEAR(TODAY())&amp;" Financial Edge Training "</f>
        <v xml:space="preserve">© 2024 Financial Edge Training 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s="22" customFormat="1" ht="15" customHeight="1" thickBot="1" x14ac:dyDescent="0.5">
      <c r="A8" s="41"/>
      <c r="B8" s="42"/>
      <c r="C8" s="41"/>
      <c r="D8" s="41"/>
      <c r="E8" s="43"/>
      <c r="F8" s="44"/>
      <c r="G8" s="44"/>
      <c r="H8" s="44"/>
      <c r="I8" s="44"/>
      <c r="J8" s="44"/>
      <c r="K8" s="44"/>
      <c r="L8" s="43"/>
      <c r="M8" s="43"/>
      <c r="N8" s="43"/>
    </row>
    <row r="9" spans="1:14" s="22" customFormat="1" ht="15" customHeight="1" x14ac:dyDescent="0.45">
      <c r="F9" s="27"/>
      <c r="G9" s="94"/>
      <c r="H9" s="94"/>
      <c r="I9" s="94"/>
      <c r="J9" s="94"/>
      <c r="K9" s="27"/>
    </row>
    <row r="10" spans="1:14" s="22" customFormat="1" ht="15" customHeight="1" x14ac:dyDescent="0.45">
      <c r="B10" s="23"/>
      <c r="C10" s="23"/>
      <c r="F10" s="27"/>
      <c r="G10" s="94"/>
      <c r="H10" s="94"/>
      <c r="I10" s="94"/>
      <c r="J10" s="94"/>
      <c r="K10" s="27"/>
    </row>
    <row r="11" spans="1:14" s="22" customFormat="1" ht="15" customHeight="1" x14ac:dyDescent="0.45">
      <c r="B11" s="19"/>
      <c r="C11" s="19"/>
      <c r="D11" s="20"/>
      <c r="F11" s="24"/>
      <c r="G11" s="24"/>
      <c r="H11" s="24"/>
      <c r="I11" s="24"/>
      <c r="J11" s="24"/>
      <c r="K11" s="24"/>
    </row>
    <row r="12" spans="1:14" s="22" customFormat="1" ht="15" customHeight="1" x14ac:dyDescent="0.45">
      <c r="A12" s="25"/>
      <c r="B12" s="19"/>
      <c r="C12" s="19"/>
      <c r="D12" s="28"/>
      <c r="F12" s="24"/>
      <c r="G12" s="90"/>
      <c r="H12" s="90"/>
      <c r="I12" s="90"/>
      <c r="J12" s="90"/>
      <c r="K12" s="24"/>
    </row>
    <row r="13" spans="1:14" s="22" customFormat="1" ht="15" customHeight="1" x14ac:dyDescent="0.45">
      <c r="A13" s="18"/>
      <c r="B13" s="19"/>
      <c r="C13" s="19"/>
      <c r="D13" s="29"/>
      <c r="F13" s="24"/>
      <c r="G13" s="90"/>
      <c r="H13" s="90"/>
      <c r="I13" s="90"/>
      <c r="J13" s="90"/>
      <c r="K13" s="24"/>
    </row>
    <row r="14" spans="1:14" s="22" customFormat="1" ht="15" customHeight="1" x14ac:dyDescent="0.45">
      <c r="A14" s="21"/>
      <c r="B14" s="19"/>
      <c r="C14" s="19"/>
      <c r="D14" s="29"/>
      <c r="F14" s="24"/>
      <c r="G14" s="90"/>
      <c r="H14" s="90"/>
      <c r="I14" s="90"/>
      <c r="J14" s="90"/>
      <c r="K14" s="24"/>
    </row>
    <row r="15" spans="1:14" s="22" customFormat="1" ht="15" customHeight="1" x14ac:dyDescent="0.45">
      <c r="A15" s="21"/>
      <c r="B15" s="19"/>
      <c r="C15" s="19"/>
      <c r="D15" s="29"/>
      <c r="F15" s="24"/>
      <c r="G15" s="24"/>
      <c r="H15" s="24"/>
      <c r="I15" s="24"/>
      <c r="J15" s="24"/>
      <c r="K15" s="24"/>
    </row>
    <row r="16" spans="1:14" s="22" customFormat="1" ht="15" customHeight="1" x14ac:dyDescent="0.45">
      <c r="A16" s="21"/>
      <c r="B16" s="19"/>
      <c r="C16" s="19"/>
      <c r="D16" s="30"/>
      <c r="F16" s="24"/>
      <c r="G16" s="90"/>
      <c r="H16" s="90"/>
      <c r="I16" s="90"/>
      <c r="J16" s="90"/>
      <c r="K16" s="24"/>
    </row>
    <row r="17" spans="1:11" s="22" customFormat="1" ht="15" customHeight="1" x14ac:dyDescent="0.45">
      <c r="A17" s="21"/>
      <c r="B17" s="31"/>
      <c r="C17" s="32"/>
      <c r="D17" s="30"/>
      <c r="F17" s="24"/>
      <c r="G17" s="24"/>
      <c r="H17" s="24"/>
      <c r="I17" s="24"/>
      <c r="J17" s="24"/>
      <c r="K17" s="24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landscape" r:id="rId1"/>
  <headerFooter>
    <oddHeader xml:space="preserve">&amp;R&amp;10&amp;F 
&amp;A
</oddHeader>
    <oddFooter>&amp;L&amp;10© 2018&amp;C&amp;10Page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showGridLines="0" zoomScaleNormal="100" workbookViewId="0"/>
  </sheetViews>
  <sheetFormatPr defaultColWidth="9.06640625" defaultRowHeight="14.25" x14ac:dyDescent="0.45"/>
  <cols>
    <col min="1" max="1" width="1.33203125" customWidth="1"/>
    <col min="2" max="2" width="2.796875" customWidth="1"/>
    <col min="3" max="3" width="13.265625" customWidth="1"/>
    <col min="4" max="4" width="2.796875" customWidth="1"/>
    <col min="5" max="7" width="1.33203125" customWidth="1"/>
    <col min="8" max="8" width="2.796875" customWidth="1"/>
    <col min="9" max="9" width="42.73046875" customWidth="1"/>
    <col min="10" max="11" width="1.33203125" customWidth="1"/>
    <col min="12" max="12" width="15.59765625" bestFit="1" customWidth="1"/>
    <col min="13" max="14" width="1.33203125" customWidth="1"/>
    <col min="15" max="15" width="2.796875" customWidth="1"/>
    <col min="16" max="16" width="32.59765625" customWidth="1"/>
    <col min="17" max="17" width="2.796875" customWidth="1"/>
    <col min="18" max="18" width="1.33203125" customWidth="1"/>
    <col min="23" max="23" width="17.73046875" bestFit="1" customWidth="1"/>
  </cols>
  <sheetData>
    <row r="1" spans="1:18" s="33" customFormat="1" ht="45" customHeight="1" x14ac:dyDescent="0.85">
      <c r="A1" s="13" t="str">
        <f>Welcome!A2</f>
        <v>Advanced Valuation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4" customFormat="1" ht="30" customHeight="1" x14ac:dyDescent="0.65">
      <c r="A2" s="14" t="s">
        <v>15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45"/>
    <row r="4" spans="1:18" s="2" customFormat="1" ht="22.5" customHeight="1" x14ac:dyDescent="0.45">
      <c r="A4" s="1"/>
      <c r="B4" s="96" t="s">
        <v>0</v>
      </c>
      <c r="C4" s="96"/>
      <c r="D4" s="96"/>
      <c r="E4" s="96"/>
      <c r="F4" s="96"/>
      <c r="G4" s="96"/>
      <c r="H4" s="96"/>
      <c r="I4" s="96"/>
      <c r="K4" s="1"/>
      <c r="L4" s="96" t="s">
        <v>2</v>
      </c>
      <c r="M4" s="96"/>
      <c r="N4" s="96"/>
      <c r="O4" s="96"/>
      <c r="P4" s="96"/>
      <c r="Q4" s="39"/>
      <c r="R4" s="39"/>
    </row>
    <row r="5" spans="1:18" s="2" customFormat="1" ht="15" customHeight="1" x14ac:dyDescent="0.45">
      <c r="A5" s="16"/>
      <c r="B5" s="8" t="s">
        <v>1</v>
      </c>
      <c r="C5" s="54" t="s">
        <v>27</v>
      </c>
      <c r="D5" s="17"/>
      <c r="E5" s="17"/>
      <c r="F5" s="17"/>
      <c r="G5" s="17"/>
      <c r="H5" s="17"/>
      <c r="I5" s="17"/>
      <c r="K5" s="1"/>
      <c r="L5" s="9" t="s">
        <v>3</v>
      </c>
      <c r="M5" s="9"/>
      <c r="N5" s="98" t="s">
        <v>67</v>
      </c>
      <c r="O5" s="98"/>
      <c r="P5" s="98"/>
      <c r="Q5" s="98"/>
      <c r="R5" s="39"/>
    </row>
    <row r="6" spans="1:18" s="2" customFormat="1" ht="15" customHeight="1" x14ac:dyDescent="0.45">
      <c r="A6" s="3"/>
      <c r="B6" s="8" t="s">
        <v>1</v>
      </c>
      <c r="C6" s="54" t="s">
        <v>25</v>
      </c>
      <c r="D6" s="17"/>
      <c r="E6" s="17"/>
      <c r="F6" s="17"/>
      <c r="G6" s="17"/>
      <c r="H6" s="17"/>
      <c r="I6" s="17"/>
      <c r="K6" s="16"/>
      <c r="L6" s="9" t="s">
        <v>4</v>
      </c>
      <c r="M6" s="9"/>
      <c r="N6" s="99">
        <v>44926</v>
      </c>
      <c r="O6" s="99"/>
      <c r="P6" s="99"/>
      <c r="Q6" s="99"/>
      <c r="R6" s="39"/>
    </row>
    <row r="7" spans="1:18" s="2" customFormat="1" ht="15" customHeight="1" x14ac:dyDescent="0.45">
      <c r="A7" s="17"/>
      <c r="B7" s="8" t="s">
        <v>1</v>
      </c>
      <c r="C7" s="17" t="s">
        <v>70</v>
      </c>
      <c r="D7" s="17"/>
      <c r="E7" s="17"/>
      <c r="F7" s="17"/>
      <c r="G7" s="17"/>
      <c r="H7" s="17"/>
      <c r="I7" s="17"/>
      <c r="K7" s="3"/>
      <c r="L7" s="9" t="s">
        <v>5</v>
      </c>
      <c r="M7" s="9"/>
      <c r="N7" s="98"/>
      <c r="O7" s="98"/>
      <c r="P7" s="98"/>
      <c r="Q7" s="98"/>
      <c r="R7" s="39"/>
    </row>
    <row r="8" spans="1:18" s="2" customFormat="1" ht="15" customHeight="1" x14ac:dyDescent="0.45">
      <c r="A8" s="17"/>
      <c r="B8" s="8"/>
      <c r="C8" s="17"/>
      <c r="D8" s="17"/>
      <c r="E8" s="17"/>
      <c r="F8" s="17"/>
      <c r="G8" s="17"/>
      <c r="H8" s="17"/>
      <c r="I8" s="17"/>
      <c r="K8" s="17"/>
      <c r="L8" s="9" t="s">
        <v>6</v>
      </c>
      <c r="M8" s="9"/>
      <c r="N8" s="98"/>
      <c r="O8" s="98"/>
      <c r="P8" s="98"/>
      <c r="Q8" s="98"/>
      <c r="R8" s="39"/>
    </row>
    <row r="9" spans="1:18" s="2" customFormat="1" ht="15" customHeight="1" x14ac:dyDescent="0.45">
      <c r="A9" s="40"/>
      <c r="B9" s="8"/>
      <c r="C9" s="17"/>
      <c r="D9" s="40"/>
      <c r="E9" s="40"/>
      <c r="F9" s="40"/>
      <c r="G9" s="40"/>
      <c r="H9" s="40"/>
      <c r="I9" s="40"/>
      <c r="K9" s="17"/>
      <c r="L9" s="9" t="s">
        <v>7</v>
      </c>
      <c r="M9" s="9"/>
      <c r="N9" s="98" t="s">
        <v>9</v>
      </c>
      <c r="O9" s="98"/>
      <c r="P9" s="98"/>
      <c r="Q9" s="98"/>
      <c r="R9" s="39"/>
    </row>
    <row r="10" spans="1:18" s="2" customFormat="1" ht="15" customHeight="1" x14ac:dyDescent="0.45">
      <c r="A10" s="38"/>
      <c r="B10" s="8"/>
      <c r="C10" s="17"/>
      <c r="D10" s="38"/>
      <c r="E10" s="38"/>
      <c r="F10" s="38"/>
      <c r="G10" s="38"/>
      <c r="H10" s="38"/>
      <c r="I10" s="38"/>
      <c r="K10" s="17"/>
      <c r="L10" s="9" t="s">
        <v>8</v>
      </c>
      <c r="M10" s="9"/>
      <c r="N10" s="100">
        <v>0</v>
      </c>
      <c r="O10" s="100"/>
      <c r="P10" s="100"/>
      <c r="Q10" s="100"/>
      <c r="R10" s="46"/>
    </row>
    <row r="11" spans="1:18" s="2" customFormat="1" ht="15" customHeight="1" thickBot="1" x14ac:dyDescent="0.5">
      <c r="A11" s="43"/>
      <c r="B11" s="43"/>
      <c r="C11" s="43"/>
      <c r="D11" s="43"/>
      <c r="E11" s="43"/>
      <c r="F11" s="43"/>
      <c r="G11" s="43"/>
      <c r="H11" s="43"/>
      <c r="I11" s="43"/>
      <c r="K11" s="4"/>
      <c r="L11" s="58"/>
      <c r="M11" s="58"/>
      <c r="N11" s="47"/>
      <c r="O11" s="48"/>
      <c r="P11" s="48"/>
      <c r="Q11" s="49"/>
      <c r="R11" s="50"/>
    </row>
    <row r="12" spans="1:18" s="2" customFormat="1" ht="7.5" customHeight="1" x14ac:dyDescent="0.45">
      <c r="K12" s="24"/>
      <c r="L12" s="24"/>
      <c r="M12" s="24"/>
      <c r="N12" s="24"/>
      <c r="O12" s="24"/>
      <c r="P12" s="24"/>
      <c r="Q12" s="24"/>
      <c r="R12" s="24"/>
    </row>
    <row r="13" spans="1:18" s="2" customFormat="1" ht="22.5" customHeight="1" x14ac:dyDescent="0.45">
      <c r="A13" s="54"/>
      <c r="B13" s="97" t="s">
        <v>16</v>
      </c>
      <c r="C13" s="97"/>
      <c r="D13" s="97"/>
      <c r="E13" s="97"/>
      <c r="F13" s="97"/>
      <c r="G13" s="97"/>
      <c r="H13" s="97"/>
      <c r="I13" s="97"/>
      <c r="J13" s="97"/>
      <c r="K13" s="97"/>
      <c r="L13" s="97"/>
      <c r="N13" s="1"/>
      <c r="O13" s="96" t="s">
        <v>11</v>
      </c>
      <c r="P13" s="96"/>
      <c r="Q13" s="96"/>
      <c r="R13" s="57"/>
    </row>
    <row r="14" spans="1:18" s="2" customFormat="1" ht="15" customHeight="1" x14ac:dyDescent="0.45">
      <c r="A14" s="55"/>
      <c r="B14" s="95" t="s">
        <v>71</v>
      </c>
      <c r="C14" s="95"/>
      <c r="D14" s="95" t="s">
        <v>72</v>
      </c>
      <c r="E14" s="95"/>
      <c r="F14" s="95"/>
      <c r="G14" s="95"/>
      <c r="H14" s="95"/>
      <c r="I14" s="95"/>
      <c r="J14" s="95"/>
      <c r="K14" s="95"/>
      <c r="L14" s="95"/>
      <c r="N14" s="16"/>
      <c r="O14" s="26"/>
      <c r="P14" s="21"/>
      <c r="Q14" s="21"/>
      <c r="R14" s="55"/>
    </row>
    <row r="15" spans="1:18" s="2" customFormat="1" ht="15" customHeight="1" x14ac:dyDescent="0.45">
      <c r="A15" s="55"/>
      <c r="B15" s="95" t="s">
        <v>73</v>
      </c>
      <c r="C15" s="95"/>
      <c r="D15" s="95" t="s">
        <v>74</v>
      </c>
      <c r="E15" s="95"/>
      <c r="F15" s="95"/>
      <c r="G15" s="95"/>
      <c r="H15" s="95"/>
      <c r="I15" s="95"/>
      <c r="J15" s="95"/>
      <c r="K15" s="95"/>
      <c r="L15" s="95"/>
      <c r="N15" s="3"/>
      <c r="O15" s="26"/>
      <c r="P15" s="51" t="s">
        <v>12</v>
      </c>
      <c r="Q15" s="21"/>
      <c r="R15" s="55"/>
    </row>
    <row r="16" spans="1:18" s="2" customFormat="1" ht="15" customHeight="1" x14ac:dyDescent="0.45">
      <c r="A16" s="5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N16" s="17"/>
      <c r="O16" s="26"/>
      <c r="P16" s="35" t="s">
        <v>13</v>
      </c>
      <c r="Q16" s="21"/>
      <c r="R16" s="55"/>
    </row>
    <row r="17" spans="1:18" s="2" customFormat="1" ht="15" customHeight="1" x14ac:dyDescent="0.45">
      <c r="A17" s="5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N17" s="17"/>
      <c r="O17" s="26"/>
      <c r="P17" t="s">
        <v>14</v>
      </c>
      <c r="Q17" s="21"/>
      <c r="R17" s="55"/>
    </row>
    <row r="18" spans="1:18" s="2" customFormat="1" ht="15" customHeight="1" x14ac:dyDescent="0.45">
      <c r="A18" s="38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N18" s="38"/>
      <c r="O18" s="52"/>
      <c r="P18" s="52"/>
      <c r="Q18" s="52"/>
      <c r="R18" s="38"/>
    </row>
    <row r="19" spans="1:18" ht="14.65" thickBot="1" x14ac:dyDescent="0.5">
      <c r="A19" s="43"/>
      <c r="B19" s="43"/>
      <c r="C19" s="43"/>
      <c r="D19" s="56"/>
      <c r="E19" s="56"/>
      <c r="F19" s="56"/>
      <c r="G19" s="56"/>
      <c r="H19" s="56"/>
      <c r="I19" s="56"/>
      <c r="J19" s="56"/>
      <c r="K19" s="56"/>
      <c r="L19" s="56"/>
      <c r="N19" s="43"/>
      <c r="O19" s="43"/>
      <c r="P19" s="43"/>
      <c r="Q19" s="43"/>
      <c r="R19" s="43"/>
    </row>
    <row r="20" spans="1:18" x14ac:dyDescent="0.45">
      <c r="Q20" s="53"/>
    </row>
  </sheetData>
  <mergeCells count="20"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  <mergeCell ref="L4:P4"/>
    <mergeCell ref="B4:I4"/>
    <mergeCell ref="B13:L13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landscape" horizontalDpi="2400" verticalDpi="2400" r:id="rId1"/>
  <headerFooter>
    <oddHeader xml:space="preserve">&amp;R&amp;10&amp;F 
&amp;A
</oddHeader>
    <oddFooter>&amp;L&amp;10© 2018&amp;C&amp;10Page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3A21E-4292-4997-9C19-F3B85043A150}">
  <sheetPr>
    <pageSetUpPr fitToPage="1"/>
  </sheetPr>
  <dimension ref="A1:M194"/>
  <sheetViews>
    <sheetView zoomScaleNormal="100" zoomScaleSheetLayoutView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12.59765625" defaultRowHeight="15" customHeight="1" x14ac:dyDescent="0.45"/>
  <cols>
    <col min="1" max="1" width="1.59765625" customWidth="1"/>
    <col min="2" max="2" width="49.86328125" bestFit="1" customWidth="1"/>
    <col min="3" max="5" width="9.1328125" customWidth="1"/>
    <col min="6" max="6" width="11" bestFit="1" customWidth="1"/>
    <col min="7" max="13" width="9.1328125" customWidth="1"/>
    <col min="14" max="39" width="12.59765625" customWidth="1"/>
  </cols>
  <sheetData>
    <row r="1" spans="1:13" s="45" customFormat="1" ht="45" customHeight="1" x14ac:dyDescent="0.85">
      <c r="A1" s="5" t="str">
        <f>Info!A1</f>
        <v>Advanced Valuation</v>
      </c>
      <c r="B1" s="10"/>
      <c r="C1" s="12" t="s">
        <v>39</v>
      </c>
      <c r="D1" s="12" t="s">
        <v>39</v>
      </c>
      <c r="E1" s="12" t="s">
        <v>39</v>
      </c>
      <c r="F1" s="12" t="s">
        <v>40</v>
      </c>
      <c r="G1" s="12" t="s">
        <v>40</v>
      </c>
      <c r="H1" s="12" t="s">
        <v>40</v>
      </c>
      <c r="I1" s="12" t="s">
        <v>40</v>
      </c>
      <c r="J1" s="12" t="s">
        <v>40</v>
      </c>
      <c r="K1" s="12" t="s">
        <v>40</v>
      </c>
      <c r="L1" s="12" t="s">
        <v>40</v>
      </c>
      <c r="M1" s="12" t="s">
        <v>40</v>
      </c>
    </row>
    <row r="2" spans="1:13" s="34" customFormat="1" ht="30" customHeight="1" x14ac:dyDescent="0.65">
      <c r="A2" s="14" t="str">
        <f>Info!N5</f>
        <v>Keurig Dr Pepper</v>
      </c>
      <c r="B2" s="7"/>
      <c r="C2" s="11">
        <f>DATE(YEAR(D2)-1,MONTH(D2),DAY(D2))</f>
        <v>44196</v>
      </c>
      <c r="D2" s="11">
        <f>DATE(YEAR(E2)-1,MONTH(E2),DAY(E2))</f>
        <v>44561</v>
      </c>
      <c r="E2" s="11">
        <f>Info!N6</f>
        <v>44926</v>
      </c>
      <c r="F2" s="11">
        <f>DATE(YEAR(E2)+1,MONTH(E2),DAY(E2))</f>
        <v>45291</v>
      </c>
      <c r="G2" s="11">
        <f>DATE(YEAR(F2)+1,MONTH(F2),DAY(F2))</f>
        <v>45657</v>
      </c>
      <c r="H2" s="11">
        <f>DATE(YEAR(G2)+1,MONTH(G2),DAY(G2))</f>
        <v>46022</v>
      </c>
      <c r="I2" s="11">
        <f>DATE(YEAR(H2)+1,MONTH(H2),DAY(H2))</f>
        <v>46387</v>
      </c>
      <c r="J2" s="11">
        <f>DATE(YEAR(I2)+1,MONTH(I2),DAY(I2))</f>
        <v>46752</v>
      </c>
      <c r="K2" s="11">
        <f t="shared" ref="K2:M2" si="0">DATE(YEAR(J2)+1,MONTH(J2),DAY(J2))</f>
        <v>47118</v>
      </c>
      <c r="L2" s="11">
        <f t="shared" si="0"/>
        <v>47483</v>
      </c>
      <c r="M2" s="11">
        <f t="shared" si="0"/>
        <v>47848</v>
      </c>
    </row>
    <row r="3" spans="1:13" ht="15" customHeight="1" x14ac:dyDescent="0.45">
      <c r="A3" s="66"/>
    </row>
    <row r="4" spans="1:13" ht="15" customHeight="1" x14ac:dyDescent="0.45">
      <c r="A4" s="66" t="s">
        <v>43</v>
      </c>
    </row>
    <row r="5" spans="1:13" ht="15" customHeight="1" x14ac:dyDescent="0.45">
      <c r="A5" s="66"/>
      <c r="B5" s="67" t="s">
        <v>48</v>
      </c>
      <c r="D5" s="70"/>
      <c r="E5" s="70">
        <f>+E14/D14-1</f>
        <v>0.1083339903808247</v>
      </c>
      <c r="F5" s="64">
        <v>6.8000000000000005E-2</v>
      </c>
      <c r="G5" s="64">
        <v>4.3999999999999997E-2</v>
      </c>
      <c r="H5" s="64">
        <v>0.04</v>
      </c>
      <c r="I5" s="64">
        <v>0.04</v>
      </c>
      <c r="J5" s="64">
        <v>0.04</v>
      </c>
      <c r="K5" s="64">
        <v>0.04</v>
      </c>
      <c r="L5" s="64">
        <v>0.04</v>
      </c>
      <c r="M5" s="64">
        <v>3.5000000000000003E-2</v>
      </c>
    </row>
    <row r="6" spans="1:13" ht="15" customHeight="1" x14ac:dyDescent="0.45">
      <c r="A6" s="66"/>
      <c r="B6" s="67" t="s">
        <v>44</v>
      </c>
      <c r="D6" s="70"/>
      <c r="E6" s="70">
        <f>+E15/E14</f>
        <v>0.27971828982001851</v>
      </c>
      <c r="F6" s="64">
        <v>0.28299999999999997</v>
      </c>
      <c r="G6" s="64">
        <v>0.28499999999999998</v>
      </c>
      <c r="H6" s="64">
        <v>0.28699999999999998</v>
      </c>
      <c r="I6" s="64">
        <v>0.28999999999999998</v>
      </c>
      <c r="J6" s="64">
        <v>0.28999999999999998</v>
      </c>
      <c r="K6" s="64">
        <v>0.28499999999999998</v>
      </c>
      <c r="L6" s="64">
        <v>0.28499999999999998</v>
      </c>
      <c r="M6" s="64">
        <v>0.28499999999999998</v>
      </c>
    </row>
    <row r="7" spans="1:13" ht="15" customHeight="1" x14ac:dyDescent="0.45">
      <c r="A7" s="66"/>
      <c r="B7" s="67" t="s">
        <v>45</v>
      </c>
      <c r="C7" s="61"/>
      <c r="D7" s="61"/>
      <c r="E7" s="61">
        <f>+E22/E14*-1</f>
        <v>2.5112043821583552E-2</v>
      </c>
      <c r="F7" s="69">
        <v>2.5000000000000001E-2</v>
      </c>
      <c r="G7" s="69">
        <v>2.5000000000000001E-2</v>
      </c>
      <c r="H7" s="69">
        <v>2.5000000000000001E-2</v>
      </c>
      <c r="I7" s="69">
        <v>2.5000000000000001E-2</v>
      </c>
      <c r="J7" s="69">
        <v>2.5000000000000001E-2</v>
      </c>
      <c r="K7" s="69">
        <v>2.5000000000000001E-2</v>
      </c>
      <c r="L7" s="69">
        <v>2.5000000000000001E-2</v>
      </c>
      <c r="M7" s="69">
        <v>2.5000000000000001E-2</v>
      </c>
    </row>
    <row r="8" spans="1:13" ht="15" customHeight="1" x14ac:dyDescent="0.45">
      <c r="A8" s="66"/>
      <c r="B8" s="67" t="s">
        <v>49</v>
      </c>
      <c r="C8" s="61"/>
      <c r="D8" s="61"/>
      <c r="E8" s="61">
        <f>+E22/E20*-1</f>
        <v>0.65735567970204845</v>
      </c>
      <c r="F8" s="64">
        <v>0.7</v>
      </c>
      <c r="G8" s="64">
        <v>0.75</v>
      </c>
      <c r="H8" s="64">
        <v>0.8</v>
      </c>
      <c r="I8" s="64">
        <v>0.85</v>
      </c>
      <c r="J8" s="64">
        <v>0.9</v>
      </c>
      <c r="K8" s="64">
        <v>0.95</v>
      </c>
      <c r="L8" s="64">
        <v>1</v>
      </c>
      <c r="M8" s="64">
        <v>1.02</v>
      </c>
    </row>
    <row r="9" spans="1:13" ht="15" customHeight="1" x14ac:dyDescent="0.45">
      <c r="A9" s="66"/>
      <c r="B9" s="67" t="s">
        <v>46</v>
      </c>
      <c r="E9" s="61"/>
      <c r="F9" s="69">
        <v>0.21</v>
      </c>
      <c r="G9" s="69">
        <v>0.21</v>
      </c>
      <c r="H9" s="69">
        <v>0.21</v>
      </c>
      <c r="I9" s="69">
        <v>0.21</v>
      </c>
      <c r="J9" s="69">
        <v>0.21</v>
      </c>
      <c r="K9" s="69">
        <v>0.21</v>
      </c>
      <c r="L9" s="69">
        <v>0.21</v>
      </c>
      <c r="M9" s="69">
        <v>0.21</v>
      </c>
    </row>
    <row r="10" spans="1:13" ht="15" customHeight="1" x14ac:dyDescent="0.45">
      <c r="A10" s="66"/>
      <c r="B10" s="67" t="s">
        <v>47</v>
      </c>
      <c r="E10" s="61">
        <f>+E11/E14</f>
        <v>-0.17130255388774276</v>
      </c>
      <c r="F10" s="69">
        <v>-0.17100000000000001</v>
      </c>
      <c r="G10" s="69">
        <v>-0.17100000000000001</v>
      </c>
      <c r="H10" s="69">
        <v>-0.17100000000000001</v>
      </c>
      <c r="I10" s="69">
        <v>-0.17100000000000001</v>
      </c>
      <c r="J10" s="69">
        <v>-0.17100000000000001</v>
      </c>
      <c r="K10" s="69">
        <v>-0.17100000000000001</v>
      </c>
      <c r="L10" s="69">
        <v>-0.17100000000000001</v>
      </c>
      <c r="M10" s="69">
        <v>-0.17100000000000001</v>
      </c>
    </row>
    <row r="11" spans="1:13" ht="15" customHeight="1" x14ac:dyDescent="0.45">
      <c r="A11" s="66"/>
      <c r="B11" s="67" t="s">
        <v>53</v>
      </c>
      <c r="E11" s="59">
        <f>1484+1314-5206</f>
        <v>-2408</v>
      </c>
      <c r="F11">
        <f>+F10*F14</f>
        <v>-2567.2017960000003</v>
      </c>
      <c r="G11">
        <f t="shared" ref="G11:M11" si="1">+G10*G14</f>
        <v>-2680.1586750240003</v>
      </c>
      <c r="H11">
        <f t="shared" si="1"/>
        <v>-2787.3650220249606</v>
      </c>
      <c r="I11">
        <f t="shared" si="1"/>
        <v>-2898.859622905959</v>
      </c>
      <c r="J11">
        <f t="shared" si="1"/>
        <v>-3014.8140078221977</v>
      </c>
      <c r="K11">
        <f t="shared" si="1"/>
        <v>-3135.4065681350853</v>
      </c>
      <c r="L11">
        <f t="shared" si="1"/>
        <v>-3260.8228308604889</v>
      </c>
      <c r="M11">
        <f t="shared" si="1"/>
        <v>-3374.9516299406055</v>
      </c>
    </row>
    <row r="12" spans="1:13" ht="15" customHeight="1" x14ac:dyDescent="0.45">
      <c r="A12" s="66"/>
    </row>
    <row r="13" spans="1:13" ht="15" customHeight="1" x14ac:dyDescent="0.45">
      <c r="A13" s="66" t="s">
        <v>29</v>
      </c>
      <c r="E13" s="70"/>
    </row>
    <row r="14" spans="1:13" ht="15" customHeight="1" x14ac:dyDescent="0.45">
      <c r="A14" s="66"/>
      <c r="B14" s="67" t="s">
        <v>41</v>
      </c>
      <c r="C14" s="68"/>
      <c r="D14" s="59">
        <f>12683</f>
        <v>12683</v>
      </c>
      <c r="E14" s="59">
        <f>14057</f>
        <v>14057</v>
      </c>
      <c r="F14">
        <f>E14*(1+F5)</f>
        <v>15012.876</v>
      </c>
      <c r="G14">
        <f t="shared" ref="G14:M14" si="2">F14*(1+G5)</f>
        <v>15673.442544000001</v>
      </c>
      <c r="H14">
        <f t="shared" si="2"/>
        <v>16300.380245760001</v>
      </c>
      <c r="I14">
        <f t="shared" si="2"/>
        <v>16952.395455590402</v>
      </c>
      <c r="J14">
        <f t="shared" si="2"/>
        <v>17630.491273814019</v>
      </c>
      <c r="K14">
        <f t="shared" si="2"/>
        <v>18335.710924766579</v>
      </c>
      <c r="L14">
        <f t="shared" si="2"/>
        <v>19069.139361757243</v>
      </c>
      <c r="M14">
        <f t="shared" si="2"/>
        <v>19736.559239418744</v>
      </c>
    </row>
    <row r="15" spans="1:13" ht="15" customHeight="1" x14ac:dyDescent="0.45">
      <c r="A15" s="66"/>
      <c r="B15" s="67" t="s">
        <v>42</v>
      </c>
      <c r="C15" s="59"/>
      <c r="D15" s="59"/>
      <c r="E15">
        <f>E17+E20</f>
        <v>3932</v>
      </c>
      <c r="F15">
        <f>F6*F14</f>
        <v>4248.643908</v>
      </c>
      <c r="G15">
        <f t="shared" ref="G15:M15" si="3">G6*G14</f>
        <v>4466.9311250399996</v>
      </c>
      <c r="H15">
        <f t="shared" si="3"/>
        <v>4678.2091305331196</v>
      </c>
      <c r="I15">
        <f t="shared" si="3"/>
        <v>4916.1946821212159</v>
      </c>
      <c r="J15">
        <f t="shared" si="3"/>
        <v>5112.842469406065</v>
      </c>
      <c r="K15">
        <f t="shared" si="3"/>
        <v>5225.6776135584751</v>
      </c>
      <c r="L15">
        <f t="shared" si="3"/>
        <v>5434.7047181008138</v>
      </c>
      <c r="M15">
        <f t="shared" si="3"/>
        <v>5624.9193832343417</v>
      </c>
    </row>
    <row r="16" spans="1:13" ht="15" customHeight="1" x14ac:dyDescent="0.45">
      <c r="A16" s="66"/>
    </row>
    <row r="17" spans="1:13" ht="15" customHeight="1" x14ac:dyDescent="0.45">
      <c r="A17" s="15"/>
      <c r="B17" s="67" t="s">
        <v>30</v>
      </c>
      <c r="E17" s="87">
        <f>3538-138-5</f>
        <v>3395</v>
      </c>
      <c r="F17" s="88">
        <f>F15-F20</f>
        <v>3712.4697651428569</v>
      </c>
      <c r="G17" s="88">
        <f t="shared" ref="G17:M17" si="4">G15-G20</f>
        <v>3944.4830402399994</v>
      </c>
      <c r="H17" s="88">
        <f t="shared" si="4"/>
        <v>4168.8222478531197</v>
      </c>
      <c r="I17" s="88">
        <f t="shared" si="4"/>
        <v>4417.5948157803214</v>
      </c>
      <c r="J17" s="88">
        <f t="shared" si="4"/>
        <v>4623.1066006890087</v>
      </c>
      <c r="K17" s="88">
        <f t="shared" si="4"/>
        <v>4743.1589050119865</v>
      </c>
      <c r="L17" s="88">
        <f t="shared" si="4"/>
        <v>4957.9762340568832</v>
      </c>
      <c r="M17" s="88">
        <f t="shared" si="4"/>
        <v>5141.1801861897648</v>
      </c>
    </row>
    <row r="18" spans="1:13" ht="15" customHeight="1" x14ac:dyDescent="0.45">
      <c r="A18" s="15"/>
      <c r="B18" s="67" t="s">
        <v>31</v>
      </c>
      <c r="F18">
        <f>F17*F9*-1</f>
        <v>-779.61865067999997</v>
      </c>
      <c r="G18">
        <f t="shared" ref="G18:M18" si="5">G17*G9*-1</f>
        <v>-828.34143845039978</v>
      </c>
      <c r="H18">
        <f t="shared" si="5"/>
        <v>-875.45267204915513</v>
      </c>
      <c r="I18">
        <f t="shared" si="5"/>
        <v>-927.69491131386746</v>
      </c>
      <c r="J18">
        <f t="shared" si="5"/>
        <v>-970.85238614469176</v>
      </c>
      <c r="K18">
        <f t="shared" si="5"/>
        <v>-996.06337005251714</v>
      </c>
      <c r="L18">
        <f t="shared" si="5"/>
        <v>-1041.1750091519455</v>
      </c>
      <c r="M18">
        <f t="shared" si="5"/>
        <v>-1079.6478390998507</v>
      </c>
    </row>
    <row r="19" spans="1:13" s="76" customFormat="1" ht="15" customHeight="1" x14ac:dyDescent="0.45">
      <c r="A19" s="15"/>
      <c r="B19" s="75" t="s">
        <v>28</v>
      </c>
      <c r="F19" s="76">
        <f>SUM(F17:F18)</f>
        <v>2932.8511144628569</v>
      </c>
      <c r="G19" s="76">
        <f t="shared" ref="G19:M19" si="6">SUM(G17:G18)</f>
        <v>3116.1416017895995</v>
      </c>
      <c r="H19" s="76">
        <f t="shared" si="6"/>
        <v>3293.3695758039648</v>
      </c>
      <c r="I19" s="76">
        <f t="shared" si="6"/>
        <v>3489.8999044664538</v>
      </c>
      <c r="J19" s="76">
        <f t="shared" si="6"/>
        <v>3652.2542145443167</v>
      </c>
      <c r="K19" s="76">
        <f t="shared" si="6"/>
        <v>3747.0955349594692</v>
      </c>
      <c r="L19" s="76">
        <f t="shared" si="6"/>
        <v>3916.801224904938</v>
      </c>
      <c r="M19" s="76">
        <f t="shared" si="6"/>
        <v>4061.5323470899139</v>
      </c>
    </row>
    <row r="20" spans="1:13" ht="15" customHeight="1" x14ac:dyDescent="0.45">
      <c r="A20" s="15"/>
      <c r="B20" s="67" t="s">
        <v>75</v>
      </c>
      <c r="C20" s="68"/>
      <c r="D20" s="68"/>
      <c r="E20" s="59">
        <f>399+138</f>
        <v>537</v>
      </c>
      <c r="F20">
        <f>F22/F8*-1</f>
        <v>536.1741428571429</v>
      </c>
      <c r="G20">
        <f t="shared" ref="G20:M20" si="7">G22/G8*-1</f>
        <v>522.44808480000006</v>
      </c>
      <c r="H20">
        <f t="shared" si="7"/>
        <v>509.38688268000004</v>
      </c>
      <c r="I20">
        <f t="shared" si="7"/>
        <v>498.59986634089427</v>
      </c>
      <c r="J20">
        <f t="shared" si="7"/>
        <v>489.73586871705612</v>
      </c>
      <c r="K20">
        <f t="shared" si="7"/>
        <v>482.51870854648899</v>
      </c>
      <c r="L20">
        <f t="shared" si="7"/>
        <v>476.72848404393108</v>
      </c>
      <c r="M20">
        <f t="shared" si="7"/>
        <v>483.73919704457711</v>
      </c>
    </row>
    <row r="21" spans="1:13" ht="15" customHeight="1" x14ac:dyDescent="0.45">
      <c r="A21" s="15"/>
      <c r="B21" s="67" t="s">
        <v>76</v>
      </c>
      <c r="C21" s="59"/>
      <c r="F21">
        <f>E11-F11</f>
        <v>159.20179600000029</v>
      </c>
      <c r="G21">
        <f t="shared" ref="G21:M21" si="8">F11-G11</f>
        <v>112.95687902400005</v>
      </c>
      <c r="H21">
        <f t="shared" si="8"/>
        <v>107.20634700096025</v>
      </c>
      <c r="I21">
        <f t="shared" si="8"/>
        <v>111.49460088099841</v>
      </c>
      <c r="J21">
        <f t="shared" si="8"/>
        <v>115.95438491623872</v>
      </c>
      <c r="K21">
        <f t="shared" si="8"/>
        <v>120.5925603128876</v>
      </c>
      <c r="L21">
        <f t="shared" si="8"/>
        <v>125.41626272540361</v>
      </c>
      <c r="M21">
        <f t="shared" si="8"/>
        <v>114.12879908011655</v>
      </c>
    </row>
    <row r="22" spans="1:13" ht="15" customHeight="1" x14ac:dyDescent="0.45">
      <c r="A22" s="15"/>
      <c r="B22" s="67" t="s">
        <v>77</v>
      </c>
      <c r="C22" s="71"/>
      <c r="D22" s="68"/>
      <c r="E22" s="59">
        <v>-353</v>
      </c>
      <c r="F22">
        <f>F7*F14*-1</f>
        <v>-375.32190000000003</v>
      </c>
      <c r="G22">
        <f t="shared" ref="G22:M22" si="9">G7*G14*-1</f>
        <v>-391.83606360000005</v>
      </c>
      <c r="H22">
        <f t="shared" si="9"/>
        <v>-407.50950614400006</v>
      </c>
      <c r="I22">
        <f t="shared" si="9"/>
        <v>-423.80988638976009</v>
      </c>
      <c r="J22">
        <f t="shared" si="9"/>
        <v>-440.76228184535051</v>
      </c>
      <c r="K22">
        <f t="shared" si="9"/>
        <v>-458.39277311916453</v>
      </c>
      <c r="L22">
        <f t="shared" si="9"/>
        <v>-476.72848404393108</v>
      </c>
      <c r="M22">
        <f t="shared" si="9"/>
        <v>-493.41398098546864</v>
      </c>
    </row>
    <row r="23" spans="1:13" s="76" customFormat="1" ht="15" customHeight="1" x14ac:dyDescent="0.45">
      <c r="A23" s="15"/>
      <c r="B23" s="75" t="s">
        <v>29</v>
      </c>
      <c r="C23" s="77"/>
      <c r="F23" s="76">
        <f>SUM(F19:F22)</f>
        <v>3252.90515332</v>
      </c>
      <c r="G23" s="76">
        <f t="shared" ref="G23:M23" si="10">SUM(G19:G22)</f>
        <v>3359.7105020135991</v>
      </c>
      <c r="H23" s="76">
        <f t="shared" si="10"/>
        <v>3502.4532993409248</v>
      </c>
      <c r="I23" s="76">
        <f t="shared" si="10"/>
        <v>3676.184485298586</v>
      </c>
      <c r="J23" s="76">
        <f t="shared" si="10"/>
        <v>3817.1821863322607</v>
      </c>
      <c r="K23" s="76">
        <f t="shared" si="10"/>
        <v>3891.814030699682</v>
      </c>
      <c r="L23" s="76">
        <f t="shared" si="10"/>
        <v>4042.2174876303411</v>
      </c>
      <c r="M23" s="76">
        <f t="shared" si="10"/>
        <v>4165.9863622291386</v>
      </c>
    </row>
    <row r="24" spans="1:13" ht="15" customHeight="1" x14ac:dyDescent="0.45">
      <c r="A24" s="15"/>
      <c r="B24" s="67"/>
      <c r="C24" s="59"/>
      <c r="M24" s="70"/>
    </row>
    <row r="25" spans="1:13" ht="15" customHeight="1" x14ac:dyDescent="0.45">
      <c r="A25" s="15"/>
      <c r="B25" s="67" t="s">
        <v>61</v>
      </c>
      <c r="C25" s="59"/>
      <c r="F25">
        <f>E28</f>
        <v>35557</v>
      </c>
      <c r="G25">
        <f t="shared" ref="G25:M25" si="11">F28</f>
        <v>35236.945961142854</v>
      </c>
      <c r="H25">
        <f t="shared" si="11"/>
        <v>34993.37706091885</v>
      </c>
      <c r="I25">
        <f t="shared" si="11"/>
        <v>34784.293337381889</v>
      </c>
      <c r="J25">
        <f t="shared" si="11"/>
        <v>34598.008756549752</v>
      </c>
      <c r="K25">
        <f t="shared" si="11"/>
        <v>34433.080784761813</v>
      </c>
      <c r="L25">
        <f t="shared" si="11"/>
        <v>34288.362289021599</v>
      </c>
      <c r="M25">
        <f t="shared" si="11"/>
        <v>34162.946026296195</v>
      </c>
    </row>
    <row r="26" spans="1:13" ht="15" customHeight="1" x14ac:dyDescent="0.45">
      <c r="A26" s="15"/>
      <c r="B26" s="67" t="s">
        <v>56</v>
      </c>
      <c r="C26" s="59"/>
      <c r="F26">
        <f>F22*-1-F20</f>
        <v>-160.85224285714287</v>
      </c>
      <c r="G26">
        <f t="shared" ref="G26:M26" si="12">G22*-1-G20</f>
        <v>-130.61202120000002</v>
      </c>
      <c r="H26">
        <f t="shared" si="12"/>
        <v>-101.87737653599999</v>
      </c>
      <c r="I26">
        <f t="shared" si="12"/>
        <v>-74.789979951134171</v>
      </c>
      <c r="J26">
        <f t="shared" si="12"/>
        <v>-48.973586871705606</v>
      </c>
      <c r="K26">
        <f t="shared" si="12"/>
        <v>-24.125935427324464</v>
      </c>
      <c r="L26">
        <f t="shared" si="12"/>
        <v>0</v>
      </c>
      <c r="M26">
        <f t="shared" si="12"/>
        <v>9.6747839408915297</v>
      </c>
    </row>
    <row r="27" spans="1:13" ht="15" customHeight="1" x14ac:dyDescent="0.45">
      <c r="A27" s="15"/>
      <c r="B27" s="67" t="s">
        <v>57</v>
      </c>
      <c r="C27" s="59"/>
      <c r="F27">
        <f>F21*-1</f>
        <v>-159.20179600000029</v>
      </c>
      <c r="G27">
        <f t="shared" ref="G27:M27" si="13">G21*-1</f>
        <v>-112.95687902400005</v>
      </c>
      <c r="H27">
        <f t="shared" si="13"/>
        <v>-107.20634700096025</v>
      </c>
      <c r="I27">
        <f t="shared" si="13"/>
        <v>-111.49460088099841</v>
      </c>
      <c r="J27">
        <f t="shared" si="13"/>
        <v>-115.95438491623872</v>
      </c>
      <c r="K27">
        <f t="shared" si="13"/>
        <v>-120.5925603128876</v>
      </c>
      <c r="L27">
        <f t="shared" si="13"/>
        <v>-125.41626272540361</v>
      </c>
      <c r="M27">
        <f t="shared" si="13"/>
        <v>-114.12879908011655</v>
      </c>
    </row>
    <row r="28" spans="1:13" ht="15" customHeight="1" x14ac:dyDescent="0.45">
      <c r="A28" s="15"/>
      <c r="B28" s="67" t="s">
        <v>62</v>
      </c>
      <c r="C28" s="59"/>
      <c r="E28" s="59">
        <f>25125+11072+895-535-1000</f>
        <v>35557</v>
      </c>
      <c r="F28" s="88">
        <f>SUM(F25:F27)</f>
        <v>35236.945961142854</v>
      </c>
      <c r="G28" s="88">
        <f t="shared" ref="G28:M28" si="14">SUM(G25:G27)</f>
        <v>34993.37706091885</v>
      </c>
      <c r="H28" s="88">
        <f t="shared" si="14"/>
        <v>34784.293337381889</v>
      </c>
      <c r="I28" s="88">
        <f t="shared" si="14"/>
        <v>34598.008756549752</v>
      </c>
      <c r="J28" s="88">
        <f t="shared" si="14"/>
        <v>34433.080784761813</v>
      </c>
      <c r="K28" s="88">
        <f t="shared" si="14"/>
        <v>34288.362289021599</v>
      </c>
      <c r="L28" s="88">
        <f t="shared" si="14"/>
        <v>34162.946026296195</v>
      </c>
      <c r="M28" s="88">
        <f t="shared" si="14"/>
        <v>34058.492011156974</v>
      </c>
    </row>
    <row r="29" spans="1:13" ht="15" customHeight="1" x14ac:dyDescent="0.45">
      <c r="A29" s="15"/>
      <c r="B29" s="67"/>
      <c r="C29" s="59"/>
      <c r="M29" s="70"/>
    </row>
    <row r="30" spans="1:13" ht="15" customHeight="1" x14ac:dyDescent="0.45">
      <c r="A30" s="15"/>
      <c r="B30" s="67" t="s">
        <v>58</v>
      </c>
      <c r="C30" s="59"/>
      <c r="F30" s="70">
        <f>F19/F25</f>
        <v>8.2483086718869891E-2</v>
      </c>
      <c r="G30" s="70">
        <f t="shared" ref="G30:M30" si="15">G19/G25</f>
        <v>8.8433929694868837E-2</v>
      </c>
      <c r="H30" s="70">
        <f t="shared" si="15"/>
        <v>9.4114082503973337E-2</v>
      </c>
      <c r="I30" s="70">
        <f t="shared" si="15"/>
        <v>0.10032976293688099</v>
      </c>
      <c r="J30" s="70">
        <f t="shared" si="15"/>
        <v>0.1055625553552387</v>
      </c>
      <c r="K30" s="70">
        <f t="shared" si="15"/>
        <v>0.10882254650352773</v>
      </c>
      <c r="L30" s="70">
        <f t="shared" si="15"/>
        <v>0.11423121325800428</v>
      </c>
      <c r="M30" s="70">
        <f t="shared" si="15"/>
        <v>0.11888706389559134</v>
      </c>
    </row>
    <row r="31" spans="1:13" ht="15" customHeight="1" x14ac:dyDescent="0.45">
      <c r="A31" s="15"/>
      <c r="B31" s="67" t="s">
        <v>59</v>
      </c>
      <c r="C31" s="59"/>
      <c r="F31" s="70">
        <f>F19/F14</f>
        <v>0.19535571428571427</v>
      </c>
      <c r="G31" s="70">
        <f t="shared" ref="G31:M31" si="16">G19/G14</f>
        <v>0.19881666666666661</v>
      </c>
      <c r="H31" s="70">
        <f t="shared" si="16"/>
        <v>0.20204249999999999</v>
      </c>
      <c r="I31" s="70">
        <f t="shared" si="16"/>
        <v>0.20586470588235289</v>
      </c>
      <c r="J31" s="70">
        <f t="shared" si="16"/>
        <v>0.20715555555555551</v>
      </c>
      <c r="K31" s="70">
        <f t="shared" si="16"/>
        <v>0.20436052631578949</v>
      </c>
      <c r="L31" s="70">
        <f t="shared" si="16"/>
        <v>0.2054</v>
      </c>
      <c r="M31" s="70">
        <f t="shared" si="16"/>
        <v>0.20578725490196076</v>
      </c>
    </row>
    <row r="32" spans="1:13" ht="15" customHeight="1" x14ac:dyDescent="0.45">
      <c r="A32" s="15"/>
      <c r="B32" s="67" t="s">
        <v>60</v>
      </c>
      <c r="C32" s="59"/>
      <c r="F32" s="70">
        <f>F14/F25</f>
        <v>0.42221998481311696</v>
      </c>
      <c r="G32" s="70">
        <f t="shared" ref="G32:M32" si="17">G14/G25</f>
        <v>0.44480139003203384</v>
      </c>
      <c r="H32" s="70">
        <f t="shared" si="17"/>
        <v>0.46581329425231499</v>
      </c>
      <c r="I32" s="70">
        <f t="shared" si="17"/>
        <v>0.4873577649304161</v>
      </c>
      <c r="J32" s="70">
        <f t="shared" si="17"/>
        <v>0.50958109750973424</v>
      </c>
      <c r="K32" s="70">
        <f t="shared" si="17"/>
        <v>0.53250277079130703</v>
      </c>
      <c r="L32" s="70">
        <f t="shared" si="17"/>
        <v>0.55614027876340932</v>
      </c>
      <c r="M32" s="70">
        <f t="shared" si="17"/>
        <v>0.57771830404283497</v>
      </c>
    </row>
    <row r="33" spans="1:13" ht="15" customHeight="1" x14ac:dyDescent="0.45">
      <c r="A33" s="15"/>
      <c r="B33" s="67"/>
      <c r="C33" s="59"/>
      <c r="F33" s="70"/>
      <c r="M33" s="70"/>
    </row>
    <row r="34" spans="1:13" ht="15.75" x14ac:dyDescent="0.45">
      <c r="A34" s="15" t="s">
        <v>20</v>
      </c>
      <c r="B34" s="67"/>
      <c r="C34" s="59"/>
      <c r="E34" s="85">
        <v>7.2599999999999998E-2</v>
      </c>
    </row>
    <row r="35" spans="1:13" ht="15" customHeight="1" x14ac:dyDescent="0.45">
      <c r="A35" s="15"/>
      <c r="B35" s="67"/>
    </row>
    <row r="36" spans="1:13" ht="15" customHeight="1" x14ac:dyDescent="0.45">
      <c r="A36" s="15" t="s">
        <v>22</v>
      </c>
      <c r="B36" s="67"/>
    </row>
    <row r="37" spans="1:13" ht="15" customHeight="1" x14ac:dyDescent="0.45">
      <c r="A37" s="15"/>
      <c r="B37" s="67" t="s">
        <v>26</v>
      </c>
      <c r="E37" s="72">
        <v>0.105</v>
      </c>
    </row>
    <row r="38" spans="1:13" ht="15" customHeight="1" x14ac:dyDescent="0.45">
      <c r="A38" s="15"/>
      <c r="B38" s="67" t="s">
        <v>19</v>
      </c>
      <c r="E38" s="72">
        <v>3.5000000000000003E-2</v>
      </c>
    </row>
    <row r="39" spans="1:13" ht="15" customHeight="1" x14ac:dyDescent="0.45">
      <c r="A39" s="15"/>
      <c r="B39" s="67" t="s">
        <v>63</v>
      </c>
      <c r="M39">
        <f>M23*(1+E38)/(E34-E38)</f>
        <v>114675.42247093508</v>
      </c>
    </row>
    <row r="40" spans="1:13" ht="15" customHeight="1" x14ac:dyDescent="0.45">
      <c r="A40" s="15"/>
      <c r="B40" s="67" t="s">
        <v>64</v>
      </c>
      <c r="M40">
        <f>M19*(1-g/ROIC)*(1+g)/(WACC-g)</f>
        <v>74533.439348192565</v>
      </c>
    </row>
    <row r="41" spans="1:13" ht="15" customHeight="1" x14ac:dyDescent="0.45">
      <c r="A41" s="15"/>
      <c r="B41" s="67"/>
    </row>
    <row r="42" spans="1:13" ht="15" customHeight="1" x14ac:dyDescent="0.45">
      <c r="A42" s="15" t="s">
        <v>33</v>
      </c>
      <c r="B42" s="67"/>
    </row>
    <row r="43" spans="1:13" ht="15" customHeight="1" x14ac:dyDescent="0.45">
      <c r="A43" s="15"/>
      <c r="B43" s="67" t="s">
        <v>34</v>
      </c>
      <c r="G43" s="73">
        <v>0.5</v>
      </c>
      <c r="H43">
        <f>G43+1</f>
        <v>1.5</v>
      </c>
      <c r="I43">
        <f t="shared" ref="I43:M43" si="18">H43+1</f>
        <v>2.5</v>
      </c>
      <c r="J43">
        <f t="shared" si="18"/>
        <v>3.5</v>
      </c>
      <c r="K43">
        <f t="shared" si="18"/>
        <v>4.5</v>
      </c>
      <c r="L43">
        <f t="shared" si="18"/>
        <v>5.5</v>
      </c>
      <c r="M43">
        <f t="shared" si="18"/>
        <v>6.5</v>
      </c>
    </row>
    <row r="44" spans="1:13" ht="15" customHeight="1" x14ac:dyDescent="0.45">
      <c r="A44" s="15"/>
      <c r="B44" s="67" t="s">
        <v>21</v>
      </c>
      <c r="C44" s="59"/>
      <c r="F44" s="74"/>
      <c r="G44" s="74">
        <f t="shared" ref="G44:M44" si="19">1/(1+WACC)^G43</f>
        <v>0.9655640855770945</v>
      </c>
      <c r="H44" s="74">
        <f t="shared" si="19"/>
        <v>0.9002089181214753</v>
      </c>
      <c r="I44" s="74">
        <f t="shared" si="19"/>
        <v>0.83927738031090371</v>
      </c>
      <c r="J44" s="74">
        <f t="shared" si="19"/>
        <v>0.78247005436407202</v>
      </c>
      <c r="K44" s="74">
        <f t="shared" si="19"/>
        <v>0.72950778889061352</v>
      </c>
      <c r="L44" s="74">
        <f t="shared" si="19"/>
        <v>0.68013032714023269</v>
      </c>
      <c r="M44" s="74">
        <f t="shared" si="19"/>
        <v>0.63409502810016094</v>
      </c>
    </row>
    <row r="45" spans="1:13" ht="15" customHeight="1" x14ac:dyDescent="0.45">
      <c r="A45" s="15"/>
      <c r="B45" s="67" t="s">
        <v>35</v>
      </c>
      <c r="C45" s="59"/>
      <c r="G45">
        <f>G23*G44</f>
        <v>3244.015798680522</v>
      </c>
      <c r="H45">
        <f t="shared" ref="H45:M45" si="20">H23*H44</f>
        <v>3152.9396953706855</v>
      </c>
      <c r="I45">
        <f t="shared" si="20"/>
        <v>3085.3384843609851</v>
      </c>
      <c r="J45">
        <f t="shared" si="20"/>
        <v>2986.8307528569712</v>
      </c>
      <c r="K45">
        <f t="shared" si="20"/>
        <v>2839.1086483091913</v>
      </c>
      <c r="L45">
        <f t="shared" si="20"/>
        <v>2749.2347022339932</v>
      </c>
      <c r="M45">
        <f t="shared" si="20"/>
        <v>2641.6312394225729</v>
      </c>
    </row>
    <row r="46" spans="1:13" ht="15" customHeight="1" x14ac:dyDescent="0.45">
      <c r="A46" s="15"/>
      <c r="B46" s="67"/>
      <c r="C46" s="59"/>
    </row>
    <row r="47" spans="1:13" ht="15" customHeight="1" x14ac:dyDescent="0.45">
      <c r="A47" s="15"/>
      <c r="B47" s="67"/>
      <c r="C47" s="59"/>
      <c r="E47" s="78" t="s">
        <v>65</v>
      </c>
      <c r="F47" s="78" t="s">
        <v>66</v>
      </c>
    </row>
    <row r="48" spans="1:13" ht="15" customHeight="1" x14ac:dyDescent="0.45">
      <c r="A48" s="15"/>
      <c r="B48" s="67" t="s">
        <v>36</v>
      </c>
      <c r="C48" s="59"/>
      <c r="E48">
        <f>SUM(G45:M45)</f>
        <v>20699.09932123492</v>
      </c>
      <c r="F48">
        <f>SUM(G45:M45)</f>
        <v>20699.09932123492</v>
      </c>
    </row>
    <row r="49" spans="1:9" ht="15" customHeight="1" x14ac:dyDescent="0.45">
      <c r="A49" s="15"/>
      <c r="B49" s="67" t="s">
        <v>37</v>
      </c>
      <c r="C49" s="59"/>
      <c r="E49">
        <f>M39*M44</f>
        <v>72715.115234105411</v>
      </c>
      <c r="F49">
        <f>M40*M44</f>
        <v>47261.283317893809</v>
      </c>
    </row>
    <row r="50" spans="1:9" ht="15" customHeight="1" x14ac:dyDescent="0.45">
      <c r="A50" s="15"/>
      <c r="B50" s="67" t="s">
        <v>23</v>
      </c>
      <c r="C50" s="59"/>
      <c r="E50">
        <f>SUM(E48:E49)</f>
        <v>93414.214555340324</v>
      </c>
      <c r="F50">
        <f>SUM(F48:F49)</f>
        <v>67960.382639128729</v>
      </c>
    </row>
    <row r="51" spans="1:9" ht="15" customHeight="1" x14ac:dyDescent="0.45">
      <c r="A51" s="15"/>
      <c r="B51" s="67"/>
      <c r="C51" s="60"/>
    </row>
    <row r="52" spans="1:9" ht="15" customHeight="1" x14ac:dyDescent="0.45">
      <c r="A52" s="15" t="s">
        <v>24</v>
      </c>
      <c r="B52" s="67"/>
      <c r="C52" s="60"/>
    </row>
    <row r="53" spans="1:9" ht="15" customHeight="1" x14ac:dyDescent="0.45">
      <c r="A53" s="15"/>
      <c r="B53" s="67" t="s">
        <v>32</v>
      </c>
      <c r="E53" s="59">
        <v>14387</v>
      </c>
      <c r="F53">
        <f>+E53</f>
        <v>14387</v>
      </c>
    </row>
    <row r="54" spans="1:9" ht="15" customHeight="1" x14ac:dyDescent="0.45">
      <c r="A54" s="15"/>
      <c r="B54" s="67" t="s">
        <v>38</v>
      </c>
      <c r="E54" s="59">
        <v>260</v>
      </c>
      <c r="F54">
        <f t="shared" ref="F54:F55" si="21">+E54</f>
        <v>260</v>
      </c>
    </row>
    <row r="55" spans="1:9" ht="15" customHeight="1" x14ac:dyDescent="0.45">
      <c r="A55" s="15"/>
      <c r="B55" s="67" t="s">
        <v>54</v>
      </c>
      <c r="E55" s="59">
        <v>1336</v>
      </c>
      <c r="F55">
        <f t="shared" si="21"/>
        <v>1336</v>
      </c>
    </row>
    <row r="56" spans="1:9" ht="15" customHeight="1" x14ac:dyDescent="0.45">
      <c r="A56" s="15"/>
      <c r="B56" s="67" t="s">
        <v>24</v>
      </c>
      <c r="E56">
        <f>E50+E54+E55-E53</f>
        <v>80623.214555340324</v>
      </c>
      <c r="F56">
        <f>F50+F54+F55-F53</f>
        <v>55169.382639128729</v>
      </c>
    </row>
    <row r="57" spans="1:9" ht="15" customHeight="1" x14ac:dyDescent="0.45">
      <c r="A57" s="66"/>
      <c r="B57" s="67" t="s">
        <v>50</v>
      </c>
      <c r="E57" s="59">
        <v>1416.5</v>
      </c>
      <c r="F57">
        <f>+E57</f>
        <v>1416.5</v>
      </c>
    </row>
    <row r="58" spans="1:9" ht="15" customHeight="1" x14ac:dyDescent="0.45">
      <c r="A58" s="66"/>
      <c r="B58" s="67" t="s">
        <v>51</v>
      </c>
      <c r="E58">
        <f>E56/E57</f>
        <v>56.917200533244142</v>
      </c>
      <c r="F58">
        <f>F56/F57</f>
        <v>38.947675707115238</v>
      </c>
    </row>
    <row r="59" spans="1:9" ht="15" customHeight="1" x14ac:dyDescent="0.45">
      <c r="A59" s="66"/>
      <c r="B59" s="67" t="s">
        <v>52</v>
      </c>
      <c r="E59" s="59">
        <v>31.98</v>
      </c>
      <c r="F59">
        <f>+E59</f>
        <v>31.98</v>
      </c>
    </row>
    <row r="60" spans="1:9" ht="15" customHeight="1" x14ac:dyDescent="0.45">
      <c r="A60" s="66"/>
      <c r="B60" s="67" t="s">
        <v>55</v>
      </c>
      <c r="E60" s="70">
        <f>E58/E59-1</f>
        <v>0.7797748759613552</v>
      </c>
      <c r="F60" s="70">
        <f>F58/F59-1</f>
        <v>0.21787603837133318</v>
      </c>
    </row>
    <row r="61" spans="1:9" ht="15" customHeight="1" x14ac:dyDescent="0.45">
      <c r="A61" s="66"/>
      <c r="C61" s="61"/>
    </row>
    <row r="62" spans="1:9" ht="15" customHeight="1" x14ac:dyDescent="0.45">
      <c r="A62" s="15"/>
      <c r="C62" s="86" t="s">
        <v>81</v>
      </c>
      <c r="H62" s="88"/>
    </row>
    <row r="63" spans="1:9" ht="15" customHeight="1" x14ac:dyDescent="0.45">
      <c r="A63" s="66"/>
      <c r="C63" s="81"/>
      <c r="D63" s="81"/>
      <c r="G63" s="82" t="s">
        <v>80</v>
      </c>
      <c r="H63" s="81"/>
      <c r="I63" s="81"/>
    </row>
    <row r="64" spans="1:9" ht="15" customHeight="1" x14ac:dyDescent="0.45">
      <c r="A64" s="66"/>
      <c r="C64" s="81"/>
      <c r="D64" s="81">
        <f>E58</f>
        <v>56.917200533244142</v>
      </c>
      <c r="E64" s="83">
        <f>F64-0.5%</f>
        <v>2.5000000000000001E-2</v>
      </c>
      <c r="F64" s="83">
        <f>G64-0.5%</f>
        <v>3.0000000000000002E-2</v>
      </c>
      <c r="G64" s="83">
        <v>3.5000000000000003E-2</v>
      </c>
      <c r="H64" s="83">
        <f>G64+0.5%</f>
        <v>0.04</v>
      </c>
      <c r="I64" s="83">
        <f>H64+0.5%</f>
        <v>4.4999999999999998E-2</v>
      </c>
    </row>
    <row r="65" spans="1:9" ht="15" customHeight="1" x14ac:dyDescent="0.45">
      <c r="A65" s="66"/>
      <c r="C65" s="81"/>
      <c r="D65" s="83">
        <f>D66+0.5%</f>
        <v>8.2600000000000007E-2</v>
      </c>
      <c r="E65" s="81">
        <f t="dataTable" ref="E65:I69" dt2D="1" dtr="1" r1="E38" r2="E34" ca="1"/>
        <v>36.379978719270895</v>
      </c>
      <c r="F65" s="81">
        <v>39.516793795824647</v>
      </c>
      <c r="G65" s="81">
        <v>43.312603636360279</v>
      </c>
      <c r="H65" s="81">
        <v>47.99944865073055</v>
      </c>
      <c r="I65" s="81">
        <v>53.932794998709944</v>
      </c>
    </row>
    <row r="66" spans="1:9" ht="15" customHeight="1" x14ac:dyDescent="0.45">
      <c r="A66" s="66"/>
      <c r="C66" s="81"/>
      <c r="D66" s="83">
        <f>D67+0.5%</f>
        <v>7.7600000000000002E-2</v>
      </c>
      <c r="E66" s="81">
        <v>40.615371995563059</v>
      </c>
      <c r="F66" s="81">
        <v>44.509066440754744</v>
      </c>
      <c r="G66" s="81">
        <v>49.316773666507842</v>
      </c>
      <c r="H66" s="81">
        <v>55.403126431025086</v>
      </c>
      <c r="I66" s="81">
        <v>63.356458571161077</v>
      </c>
    </row>
    <row r="67" spans="1:9" ht="15" customHeight="1" x14ac:dyDescent="0.45">
      <c r="A67" s="66"/>
      <c r="C67" s="84" t="s">
        <v>20</v>
      </c>
      <c r="D67" s="83">
        <v>7.2599999999999998E-2</v>
      </c>
      <c r="E67" s="81">
        <v>45.740886195690642</v>
      </c>
      <c r="F67" s="81">
        <v>50.673156372826924</v>
      </c>
      <c r="G67" s="81">
        <v>56.917200533244142</v>
      </c>
      <c r="H67" s="81">
        <v>65.076595663114475</v>
      </c>
      <c r="I67" s="81">
        <v>76.192293376271195</v>
      </c>
    </row>
    <row r="68" spans="1:9" ht="15" customHeight="1" x14ac:dyDescent="0.45">
      <c r="A68" s="66"/>
      <c r="C68" s="81"/>
      <c r="D68" s="83">
        <f>D67-0.5%</f>
        <v>6.7599999999999993E-2</v>
      </c>
      <c r="E68" s="81">
        <v>52.069961330699684</v>
      </c>
      <c r="F68" s="81">
        <v>58.476548169592292</v>
      </c>
      <c r="G68" s="81">
        <v>66.848345695261784</v>
      </c>
      <c r="H68" s="81">
        <v>78.253403193999915</v>
      </c>
      <c r="I68" s="81">
        <v>94.70494631164874</v>
      </c>
    </row>
    <row r="69" spans="1:9" ht="15" customHeight="1" x14ac:dyDescent="0.45">
      <c r="A69" s="66"/>
      <c r="C69" s="81"/>
      <c r="D69" s="83">
        <f>D68-0.5%</f>
        <v>6.2599999999999989E-2</v>
      </c>
      <c r="E69" s="81">
        <v>60.08276156145827</v>
      </c>
      <c r="F69" s="81">
        <v>68.673526989614771</v>
      </c>
      <c r="G69" s="81">
        <v>80.376888587393211</v>
      </c>
      <c r="H69" s="81">
        <v>97.258728768259431</v>
      </c>
      <c r="I69" s="81">
        <v>123.73252359734511</v>
      </c>
    </row>
    <row r="70" spans="1:9" ht="15" customHeight="1" x14ac:dyDescent="0.45">
      <c r="A70" s="66"/>
    </row>
    <row r="71" spans="1:9" ht="15" customHeight="1" x14ac:dyDescent="0.45">
      <c r="A71" s="15"/>
      <c r="C71" s="86" t="s">
        <v>82</v>
      </c>
    </row>
    <row r="72" spans="1:9" ht="15" customHeight="1" x14ac:dyDescent="0.45">
      <c r="A72" s="66"/>
      <c r="C72" s="81"/>
      <c r="D72" s="81"/>
      <c r="G72" s="82" t="s">
        <v>80</v>
      </c>
      <c r="H72" s="81"/>
      <c r="I72" s="81"/>
    </row>
    <row r="73" spans="1:9" ht="15" customHeight="1" x14ac:dyDescent="0.45">
      <c r="A73" s="66"/>
      <c r="C73" s="81"/>
      <c r="D73" s="81">
        <f>F58</f>
        <v>38.947675707115238</v>
      </c>
      <c r="E73" s="83">
        <f>F73-0.5%</f>
        <v>2.5000000000000001E-2</v>
      </c>
      <c r="F73" s="83">
        <f>G73-0.5%</f>
        <v>3.0000000000000002E-2</v>
      </c>
      <c r="G73" s="83">
        <v>3.5000000000000003E-2</v>
      </c>
      <c r="H73" s="83">
        <f>G73+0.5%</f>
        <v>0.04</v>
      </c>
      <c r="I73" s="83">
        <f>H73+0.5%</f>
        <v>4.4999999999999998E-2</v>
      </c>
    </row>
    <row r="74" spans="1:9" ht="15" customHeight="1" x14ac:dyDescent="0.45">
      <c r="A74" s="66"/>
      <c r="C74" s="81"/>
      <c r="D74" s="83">
        <f>D75+0.5%</f>
        <v>8.2600000000000007E-2</v>
      </c>
      <c r="E74" s="81">
        <f t="dataTable" ref="E74:I78" dt2D="1" dtr="1" r1="E38" r2="E34" ca="1"/>
        <v>28.344181588290116</v>
      </c>
      <c r="F74" s="81">
        <v>29.078100423161249</v>
      </c>
      <c r="G74" s="81">
        <v>29.949079898127533</v>
      </c>
      <c r="H74" s="81">
        <v>31.005380801954832</v>
      </c>
      <c r="I74" s="81">
        <v>32.320934555731334</v>
      </c>
    </row>
    <row r="75" spans="1:9" ht="15" customHeight="1" x14ac:dyDescent="0.45">
      <c r="A75" s="66"/>
      <c r="C75" s="81"/>
      <c r="D75" s="83">
        <f>D76+0.5%</f>
        <v>7.7600000000000002E-2</v>
      </c>
      <c r="E75" s="81">
        <v>31.546911536623632</v>
      </c>
      <c r="F75" s="81">
        <v>32.621504511293068</v>
      </c>
      <c r="G75" s="81">
        <v>33.928631026792075</v>
      </c>
      <c r="H75" s="81">
        <v>35.561057123345215</v>
      </c>
      <c r="I75" s="81">
        <v>37.668460522296378</v>
      </c>
    </row>
    <row r="76" spans="1:9" ht="15" customHeight="1" x14ac:dyDescent="0.45">
      <c r="A76" s="66"/>
      <c r="C76" s="84" t="s">
        <v>20</v>
      </c>
      <c r="D76" s="83">
        <v>7.2599999999999998E-2</v>
      </c>
      <c r="E76" s="81">
        <v>35.412297324671187</v>
      </c>
      <c r="F76" s="81">
        <v>36.982673015488785</v>
      </c>
      <c r="G76" s="81">
        <v>38.947675707115238</v>
      </c>
      <c r="H76" s="81">
        <v>41.488882240413524</v>
      </c>
      <c r="I76" s="81">
        <v>44.919446877161782</v>
      </c>
    </row>
    <row r="77" spans="1:9" ht="15" customHeight="1" x14ac:dyDescent="0.45">
      <c r="A77" s="66"/>
      <c r="C77" s="81"/>
      <c r="D77" s="83">
        <f>D76-0.5%</f>
        <v>6.7599999999999993E-2</v>
      </c>
      <c r="E77" s="81">
        <v>40.173211665302958</v>
      </c>
      <c r="F77" s="81">
        <v>42.487209012083582</v>
      </c>
      <c r="G77" s="81">
        <v>45.483644816551092</v>
      </c>
      <c r="H77" s="81">
        <v>49.533409544839685</v>
      </c>
      <c r="I77" s="81">
        <v>55.335615314529655</v>
      </c>
    </row>
    <row r="78" spans="1:9" ht="15" customHeight="1" x14ac:dyDescent="0.45">
      <c r="A78" s="66"/>
      <c r="C78" s="81"/>
      <c r="D78" s="83">
        <f>D77-0.5%</f>
        <v>6.2599999999999989E-2</v>
      </c>
      <c r="E78" s="81">
        <v>46.186372159154637</v>
      </c>
      <c r="F78" s="81">
        <v>49.660439023115082</v>
      </c>
      <c r="G78" s="81">
        <v>54.359887639177749</v>
      </c>
      <c r="H78" s="81">
        <v>61.098024479976857</v>
      </c>
      <c r="I78" s="81">
        <v>71.612367918867278</v>
      </c>
    </row>
    <row r="79" spans="1:9" ht="15" customHeight="1" x14ac:dyDescent="0.45">
      <c r="A79" s="66"/>
      <c r="C79" s="81"/>
      <c r="E79" s="63"/>
      <c r="F79" s="63"/>
      <c r="G79" s="63"/>
    </row>
    <row r="80" spans="1:9" ht="15" customHeight="1" x14ac:dyDescent="0.45">
      <c r="A80" s="15" t="s">
        <v>78</v>
      </c>
      <c r="C80" s="65"/>
      <c r="E80" s="63"/>
      <c r="F80" s="63"/>
      <c r="G80" s="63"/>
    </row>
    <row r="194" ht="27.4" customHeight="1" x14ac:dyDescent="0.45"/>
  </sheetData>
  <hyperlinks>
    <hyperlink ref="E17" r:id="rId1" display="https://felix.fe.training/filing-document/?hid=65bcfc3a12104" xr:uid="{4DA7DD91-D9FB-409D-B7F3-80C16F7F2524}"/>
  </hyperlinks>
  <printOptions horizontalCentered="1" headings="1" gridLines="1"/>
  <pageMargins left="0.11811023622047245" right="0.11811023622047245" top="0.55118110236220474" bottom="0.55118110236220474" header="0.31496062992125984" footer="0.31496062992125984"/>
  <pageSetup paperSize="9" scale="74" fitToHeight="0" orientation="landscape" cellComments="asDisplayed" horizontalDpi="2400" verticalDpi="2400" r:id="rId2"/>
  <headerFooter>
    <oddHeader xml:space="preserve">&amp;R&amp;10&amp;F 
&amp;A
</oddHeader>
    <oddFooter>&amp;L&amp;10© 2018&amp;C&amp;10Page &amp;P of &amp;N&amp;R&amp;G</oddFooter>
  </headerFooter>
  <rowBreaks count="7" manualBreakCount="7">
    <brk id="34" max="10" man="1"/>
    <brk id="111" max="10" man="1"/>
    <brk id="134" max="10" man="1"/>
    <brk id="172" max="10" man="1"/>
    <brk id="213" max="10" man="1"/>
    <brk id="247" max="10" man="1"/>
    <brk id="278" max="10" man="1"/>
  </rowBreaks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05214-57BE-4F7A-A886-51CC9544F0F9}">
  <sheetPr>
    <pageSetUpPr fitToPage="1"/>
  </sheetPr>
  <dimension ref="A1:M197"/>
  <sheetViews>
    <sheetView zoomScaleNormal="100" zoomScaleSheetLayoutView="85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12.59765625" defaultRowHeight="15" customHeight="1" x14ac:dyDescent="0.45"/>
  <cols>
    <col min="1" max="1" width="1.59765625" customWidth="1"/>
    <col min="2" max="2" width="49.86328125" bestFit="1" customWidth="1"/>
    <col min="3" max="5" width="9.1328125" customWidth="1"/>
    <col min="6" max="6" width="11" bestFit="1" customWidth="1"/>
    <col min="7" max="13" width="9.1328125" customWidth="1"/>
    <col min="14" max="39" width="12.59765625" customWidth="1"/>
  </cols>
  <sheetData>
    <row r="1" spans="1:13" s="45" customFormat="1" ht="45" customHeight="1" x14ac:dyDescent="0.85">
      <c r="A1" s="5" t="str">
        <f>Info!A1</f>
        <v>Advanced Valuation</v>
      </c>
      <c r="B1" s="10"/>
      <c r="C1" s="12" t="s">
        <v>39</v>
      </c>
      <c r="D1" s="12" t="s">
        <v>39</v>
      </c>
      <c r="E1" s="12" t="s">
        <v>39</v>
      </c>
      <c r="F1" s="12" t="s">
        <v>40</v>
      </c>
      <c r="G1" s="12" t="s">
        <v>40</v>
      </c>
      <c r="H1" s="12" t="s">
        <v>40</v>
      </c>
      <c r="I1" s="12" t="s">
        <v>40</v>
      </c>
      <c r="J1" s="12" t="s">
        <v>40</v>
      </c>
      <c r="K1" s="12" t="s">
        <v>40</v>
      </c>
      <c r="L1" s="12" t="s">
        <v>40</v>
      </c>
      <c r="M1" s="12" t="s">
        <v>40</v>
      </c>
    </row>
    <row r="2" spans="1:13" s="34" customFormat="1" ht="30" customHeight="1" x14ac:dyDescent="0.65">
      <c r="A2" s="14" t="str">
        <f>'Keurig Dr Pepper DCF'!A2</f>
        <v>Keurig Dr Pepper</v>
      </c>
      <c r="B2" s="7"/>
      <c r="C2" s="11">
        <f>DATE(YEAR(D2)-1,MONTH(D2),DAY(D2))</f>
        <v>44196</v>
      </c>
      <c r="D2" s="11">
        <f>DATE(YEAR(E2)-1,MONTH(E2),DAY(E2))</f>
        <v>44561</v>
      </c>
      <c r="E2" s="11">
        <f>Info!N6</f>
        <v>44926</v>
      </c>
      <c r="F2" s="11">
        <f>DATE(YEAR(E2)+1,MONTH(E2),DAY(E2))</f>
        <v>45291</v>
      </c>
      <c r="G2" s="11">
        <f>DATE(YEAR(F2)+1,MONTH(F2),DAY(F2))</f>
        <v>45657</v>
      </c>
      <c r="H2" s="11">
        <f>DATE(YEAR(G2)+1,MONTH(G2),DAY(G2))</f>
        <v>46022</v>
      </c>
      <c r="I2" s="11">
        <f>DATE(YEAR(H2)+1,MONTH(H2),DAY(H2))</f>
        <v>46387</v>
      </c>
      <c r="J2" s="11">
        <f>DATE(YEAR(I2)+1,MONTH(I2),DAY(I2))</f>
        <v>46752</v>
      </c>
      <c r="K2" s="11">
        <f t="shared" ref="K2:M2" si="0">DATE(YEAR(J2)+1,MONTH(J2),DAY(J2))</f>
        <v>47118</v>
      </c>
      <c r="L2" s="11">
        <f t="shared" si="0"/>
        <v>47483</v>
      </c>
      <c r="M2" s="11">
        <f t="shared" si="0"/>
        <v>47848</v>
      </c>
    </row>
    <row r="3" spans="1:13" ht="15" customHeight="1" x14ac:dyDescent="0.45">
      <c r="A3" s="66"/>
    </row>
    <row r="4" spans="1:13" ht="15" customHeight="1" x14ac:dyDescent="0.45">
      <c r="A4" s="66" t="s">
        <v>43</v>
      </c>
    </row>
    <row r="5" spans="1:13" ht="15" customHeight="1" x14ac:dyDescent="0.45">
      <c r="A5" s="66"/>
      <c r="B5" s="67" t="s">
        <v>48</v>
      </c>
      <c r="D5" s="70"/>
      <c r="E5" s="70">
        <f>+E14/D14-1</f>
        <v>0.1083339903808247</v>
      </c>
      <c r="F5" s="64">
        <v>6.8000000000000005E-2</v>
      </c>
      <c r="G5" s="64">
        <v>4.3999999999999997E-2</v>
      </c>
      <c r="H5" s="64">
        <v>0.04</v>
      </c>
      <c r="I5" s="64">
        <v>0.04</v>
      </c>
      <c r="J5" s="64">
        <v>0.04</v>
      </c>
      <c r="K5" s="64">
        <v>0.04</v>
      </c>
      <c r="L5" s="64">
        <v>0.04</v>
      </c>
      <c r="M5" s="64">
        <v>3.5000000000000003E-2</v>
      </c>
    </row>
    <row r="6" spans="1:13" ht="15" customHeight="1" x14ac:dyDescent="0.45">
      <c r="A6" s="66"/>
      <c r="B6" s="67" t="s">
        <v>44</v>
      </c>
      <c r="D6" s="70"/>
      <c r="E6" s="70">
        <f>+E15/E14</f>
        <v>0.27971828982001851</v>
      </c>
      <c r="F6" s="64">
        <v>0.28299999999999997</v>
      </c>
      <c r="G6" s="64">
        <v>0.28499999999999998</v>
      </c>
      <c r="H6" s="64">
        <v>0.28699999999999998</v>
      </c>
      <c r="I6" s="64">
        <v>0.28999999999999998</v>
      </c>
      <c r="J6" s="64">
        <v>0.28999999999999998</v>
      </c>
      <c r="K6" s="64">
        <v>0.28499999999999998</v>
      </c>
      <c r="L6" s="64">
        <v>0.28499999999999998</v>
      </c>
      <c r="M6" s="64">
        <v>0.28499999999999998</v>
      </c>
    </row>
    <row r="7" spans="1:13" ht="15" customHeight="1" x14ac:dyDescent="0.45">
      <c r="A7" s="66"/>
      <c r="B7" s="67" t="s">
        <v>45</v>
      </c>
      <c r="C7" s="61"/>
      <c r="D7" s="61"/>
      <c r="E7" s="61">
        <f>+E22/E14*-1</f>
        <v>2.5112043821583552E-2</v>
      </c>
      <c r="F7" s="69">
        <v>2.5000000000000001E-2</v>
      </c>
      <c r="G7" s="69">
        <v>2.5000000000000001E-2</v>
      </c>
      <c r="H7" s="69">
        <v>2.5000000000000001E-2</v>
      </c>
      <c r="I7" s="69">
        <v>2.5000000000000001E-2</v>
      </c>
      <c r="J7" s="69">
        <v>2.5000000000000001E-2</v>
      </c>
      <c r="K7" s="69">
        <v>2.5000000000000001E-2</v>
      </c>
      <c r="L7" s="69">
        <v>2.5000000000000001E-2</v>
      </c>
      <c r="M7" s="69">
        <v>2.5000000000000001E-2</v>
      </c>
    </row>
    <row r="8" spans="1:13" ht="15" customHeight="1" x14ac:dyDescent="0.45">
      <c r="A8" s="66"/>
      <c r="B8" s="67" t="s">
        <v>49</v>
      </c>
      <c r="C8" s="61"/>
      <c r="D8" s="61"/>
      <c r="E8" s="61">
        <f>+E22/E20*-1</f>
        <v>0.65735567970204845</v>
      </c>
      <c r="F8" s="64">
        <v>0.7</v>
      </c>
      <c r="G8" s="64">
        <v>0.75</v>
      </c>
      <c r="H8" s="64">
        <v>0.8</v>
      </c>
      <c r="I8" s="64">
        <v>0.85</v>
      </c>
      <c r="J8" s="64">
        <v>0.9</v>
      </c>
      <c r="K8" s="64">
        <v>0.95</v>
      </c>
      <c r="L8" s="64">
        <v>1</v>
      </c>
      <c r="M8" s="64">
        <v>1.02</v>
      </c>
    </row>
    <row r="9" spans="1:13" ht="15" customHeight="1" x14ac:dyDescent="0.45">
      <c r="A9" s="66"/>
      <c r="B9" s="67" t="s">
        <v>46</v>
      </c>
      <c r="E9" s="61"/>
      <c r="F9" s="69">
        <v>0.21</v>
      </c>
      <c r="G9" s="69">
        <v>0.21</v>
      </c>
      <c r="H9" s="69">
        <v>0.21</v>
      </c>
      <c r="I9" s="69">
        <v>0.21</v>
      </c>
      <c r="J9" s="69">
        <v>0.21</v>
      </c>
      <c r="K9" s="69">
        <v>0.21</v>
      </c>
      <c r="L9" s="69">
        <v>0.21</v>
      </c>
      <c r="M9" s="69">
        <v>0.21</v>
      </c>
    </row>
    <row r="10" spans="1:13" ht="15" customHeight="1" x14ac:dyDescent="0.45">
      <c r="A10" s="66"/>
      <c r="B10" s="67" t="s">
        <v>47</v>
      </c>
      <c r="E10" s="61">
        <f>+E11/E14</f>
        <v>-0.17130255388774276</v>
      </c>
      <c r="F10" s="69">
        <v>-0.17100000000000001</v>
      </c>
      <c r="G10" s="69">
        <v>-0.17100000000000001</v>
      </c>
      <c r="H10" s="69">
        <v>-0.17100000000000001</v>
      </c>
      <c r="I10" s="69">
        <v>-0.17100000000000001</v>
      </c>
      <c r="J10" s="69">
        <v>-0.17100000000000001</v>
      </c>
      <c r="K10" s="69">
        <v>-0.17100000000000001</v>
      </c>
      <c r="L10" s="69">
        <v>-0.17100000000000001</v>
      </c>
      <c r="M10" s="69">
        <v>-0.17100000000000001</v>
      </c>
    </row>
    <row r="11" spans="1:13" ht="15" customHeight="1" x14ac:dyDescent="0.45">
      <c r="A11" s="66"/>
      <c r="B11" s="67" t="s">
        <v>53</v>
      </c>
      <c r="E11" s="59">
        <f>1484+1314-5206</f>
        <v>-2408</v>
      </c>
      <c r="F11">
        <f>+F10*F14</f>
        <v>-2567.2017960000003</v>
      </c>
      <c r="G11">
        <f t="shared" ref="G11:M11" si="1">+G10*G14</f>
        <v>-2680.1586750240003</v>
      </c>
      <c r="H11">
        <f t="shared" si="1"/>
        <v>-2787.3650220249606</v>
      </c>
      <c r="I11">
        <f t="shared" si="1"/>
        <v>-2898.859622905959</v>
      </c>
      <c r="J11">
        <f t="shared" si="1"/>
        <v>-3014.8140078221977</v>
      </c>
      <c r="K11">
        <f t="shared" si="1"/>
        <v>-3135.4065681350853</v>
      </c>
      <c r="L11">
        <f t="shared" si="1"/>
        <v>-3260.8228308604889</v>
      </c>
      <c r="M11">
        <f t="shared" si="1"/>
        <v>-3374.9516299406055</v>
      </c>
    </row>
    <row r="12" spans="1:13" ht="15" customHeight="1" x14ac:dyDescent="0.45">
      <c r="A12" s="66"/>
    </row>
    <row r="13" spans="1:13" ht="15" customHeight="1" x14ac:dyDescent="0.45">
      <c r="A13" s="66" t="s">
        <v>29</v>
      </c>
      <c r="E13" s="70"/>
    </row>
    <row r="14" spans="1:13" ht="15" customHeight="1" x14ac:dyDescent="0.45">
      <c r="A14" s="66"/>
      <c r="B14" s="67" t="s">
        <v>41</v>
      </c>
      <c r="C14" s="68"/>
      <c r="D14" s="59">
        <f>12683</f>
        <v>12683</v>
      </c>
      <c r="E14" s="59">
        <f>14057</f>
        <v>14057</v>
      </c>
      <c r="F14">
        <f>+'Keurig Dr Pepper DCF'!F14</f>
        <v>15012.876</v>
      </c>
      <c r="G14">
        <f>+'Keurig Dr Pepper DCF'!G14</f>
        <v>15673.442544000001</v>
      </c>
      <c r="H14">
        <f>+'Keurig Dr Pepper DCF'!H14</f>
        <v>16300.380245760001</v>
      </c>
      <c r="I14">
        <f>+'Keurig Dr Pepper DCF'!I14</f>
        <v>16952.395455590402</v>
      </c>
      <c r="J14">
        <f>+'Keurig Dr Pepper DCF'!J14</f>
        <v>17630.491273814019</v>
      </c>
      <c r="K14">
        <f>+'Keurig Dr Pepper DCF'!K14</f>
        <v>18335.710924766579</v>
      </c>
      <c r="L14">
        <f>+'Keurig Dr Pepper DCF'!L14</f>
        <v>19069.139361757243</v>
      </c>
      <c r="M14">
        <f>+'Keurig Dr Pepper DCF'!M14</f>
        <v>19736.559239418744</v>
      </c>
    </row>
    <row r="15" spans="1:13" ht="15" customHeight="1" x14ac:dyDescent="0.45">
      <c r="A15" s="66"/>
      <c r="B15" s="67" t="s">
        <v>42</v>
      </c>
      <c r="C15" s="59"/>
      <c r="D15" s="59"/>
      <c r="E15">
        <f>E17+E20</f>
        <v>3932</v>
      </c>
      <c r="F15">
        <f>+'Keurig Dr Pepper DCF'!F15</f>
        <v>4248.643908</v>
      </c>
      <c r="G15">
        <f>+'Keurig Dr Pepper DCF'!G15</f>
        <v>4466.9311250399996</v>
      </c>
      <c r="H15">
        <f>+'Keurig Dr Pepper DCF'!H15</f>
        <v>4678.2091305331196</v>
      </c>
      <c r="I15">
        <f>+'Keurig Dr Pepper DCF'!I15</f>
        <v>4916.1946821212159</v>
      </c>
      <c r="J15">
        <f>+'Keurig Dr Pepper DCF'!J15</f>
        <v>5112.842469406065</v>
      </c>
      <c r="K15">
        <f>+'Keurig Dr Pepper DCF'!K15</f>
        <v>5225.6776135584751</v>
      </c>
      <c r="L15">
        <f>+'Keurig Dr Pepper DCF'!L15</f>
        <v>5434.7047181008138</v>
      </c>
      <c r="M15">
        <f>+'Keurig Dr Pepper DCF'!M15</f>
        <v>5624.9193832343417</v>
      </c>
    </row>
    <row r="16" spans="1:13" ht="15" customHeight="1" x14ac:dyDescent="0.45">
      <c r="A16" s="66"/>
    </row>
    <row r="17" spans="1:13" ht="15" customHeight="1" x14ac:dyDescent="0.45">
      <c r="A17" s="15"/>
      <c r="B17" s="67" t="s">
        <v>30</v>
      </c>
      <c r="E17" s="87">
        <f>3538-138-5</f>
        <v>3395</v>
      </c>
      <c r="F17">
        <f>+'Keurig Dr Pepper DCF'!F17</f>
        <v>3712.4697651428569</v>
      </c>
      <c r="G17">
        <f>+'Keurig Dr Pepper DCF'!G17</f>
        <v>3944.4830402399994</v>
      </c>
      <c r="H17">
        <f>+'Keurig Dr Pepper DCF'!H17</f>
        <v>4168.8222478531197</v>
      </c>
      <c r="I17">
        <f>+'Keurig Dr Pepper DCF'!I17</f>
        <v>4417.5948157803214</v>
      </c>
      <c r="J17">
        <f>+'Keurig Dr Pepper DCF'!J17</f>
        <v>4623.1066006890087</v>
      </c>
      <c r="K17">
        <f>+'Keurig Dr Pepper DCF'!K17</f>
        <v>4743.1589050119865</v>
      </c>
      <c r="L17">
        <f>+'Keurig Dr Pepper DCF'!L17</f>
        <v>4957.9762340568832</v>
      </c>
      <c r="M17">
        <f>+'Keurig Dr Pepper DCF'!M17</f>
        <v>5141.1801861897648</v>
      </c>
    </row>
    <row r="18" spans="1:13" ht="15" customHeight="1" x14ac:dyDescent="0.45">
      <c r="A18" s="15"/>
      <c r="B18" s="67" t="s">
        <v>31</v>
      </c>
      <c r="F18">
        <f>+'Keurig Dr Pepper DCF'!F18</f>
        <v>-779.61865067999997</v>
      </c>
      <c r="G18">
        <f>+'Keurig Dr Pepper DCF'!G18</f>
        <v>-828.34143845039978</v>
      </c>
      <c r="H18">
        <f>+'Keurig Dr Pepper DCF'!H18</f>
        <v>-875.45267204915513</v>
      </c>
      <c r="I18">
        <f>+'Keurig Dr Pepper DCF'!I18</f>
        <v>-927.69491131386746</v>
      </c>
      <c r="J18">
        <f>+'Keurig Dr Pepper DCF'!J18</f>
        <v>-970.85238614469176</v>
      </c>
      <c r="K18">
        <f>+'Keurig Dr Pepper DCF'!K18</f>
        <v>-996.06337005251714</v>
      </c>
      <c r="L18">
        <f>+'Keurig Dr Pepper DCF'!L18</f>
        <v>-1041.1750091519455</v>
      </c>
      <c r="M18">
        <f>+'Keurig Dr Pepper DCF'!M18</f>
        <v>-1079.6478390998507</v>
      </c>
    </row>
    <row r="19" spans="1:13" s="76" customFormat="1" ht="15" customHeight="1" x14ac:dyDescent="0.45">
      <c r="A19" s="15"/>
      <c r="B19" s="75" t="s">
        <v>28</v>
      </c>
      <c r="F19" s="76">
        <f>SUM(F17:F18)</f>
        <v>2932.8511144628569</v>
      </c>
      <c r="G19" s="76">
        <f t="shared" ref="G19:M19" si="2">SUM(G17:G18)</f>
        <v>3116.1416017895995</v>
      </c>
      <c r="H19" s="76">
        <f t="shared" si="2"/>
        <v>3293.3695758039648</v>
      </c>
      <c r="I19" s="76">
        <f t="shared" si="2"/>
        <v>3489.8999044664538</v>
      </c>
      <c r="J19" s="76">
        <f t="shared" si="2"/>
        <v>3652.2542145443167</v>
      </c>
      <c r="K19" s="76">
        <f t="shared" si="2"/>
        <v>3747.0955349594692</v>
      </c>
      <c r="L19" s="76">
        <f t="shared" si="2"/>
        <v>3916.801224904938</v>
      </c>
      <c r="M19" s="76">
        <f t="shared" si="2"/>
        <v>4061.5323470899139</v>
      </c>
    </row>
    <row r="20" spans="1:13" ht="15" customHeight="1" x14ac:dyDescent="0.45">
      <c r="A20" s="15"/>
      <c r="B20" s="67" t="s">
        <v>75</v>
      </c>
      <c r="C20" s="68"/>
      <c r="D20" s="68"/>
      <c r="E20" s="59">
        <f>399+138</f>
        <v>537</v>
      </c>
      <c r="F20">
        <f>+'Keurig Dr Pepper DCF'!F20</f>
        <v>536.1741428571429</v>
      </c>
      <c r="G20">
        <f>+'Keurig Dr Pepper DCF'!G20</f>
        <v>522.44808480000006</v>
      </c>
      <c r="H20">
        <f>+'Keurig Dr Pepper DCF'!H20</f>
        <v>509.38688268000004</v>
      </c>
      <c r="I20">
        <f>+'Keurig Dr Pepper DCF'!I20</f>
        <v>498.59986634089427</v>
      </c>
      <c r="J20">
        <f>+'Keurig Dr Pepper DCF'!J20</f>
        <v>489.73586871705612</v>
      </c>
      <c r="K20">
        <f>+'Keurig Dr Pepper DCF'!K20</f>
        <v>482.51870854648899</v>
      </c>
      <c r="L20">
        <f>+'Keurig Dr Pepper DCF'!L20</f>
        <v>476.72848404393108</v>
      </c>
      <c r="M20">
        <f>+'Keurig Dr Pepper DCF'!M20</f>
        <v>483.73919704457711</v>
      </c>
    </row>
    <row r="21" spans="1:13" ht="15" customHeight="1" x14ac:dyDescent="0.45">
      <c r="A21" s="15"/>
      <c r="B21" s="67" t="s">
        <v>76</v>
      </c>
      <c r="C21" s="59"/>
      <c r="F21">
        <f>+'Keurig Dr Pepper DCF'!F21</f>
        <v>159.20179600000029</v>
      </c>
      <c r="G21">
        <f>+'Keurig Dr Pepper DCF'!G21</f>
        <v>112.95687902400005</v>
      </c>
      <c r="H21">
        <f>+'Keurig Dr Pepper DCF'!H21</f>
        <v>107.20634700096025</v>
      </c>
      <c r="I21">
        <f>+'Keurig Dr Pepper DCF'!I21</f>
        <v>111.49460088099841</v>
      </c>
      <c r="J21">
        <f>+'Keurig Dr Pepper DCF'!J21</f>
        <v>115.95438491623872</v>
      </c>
      <c r="K21">
        <f>+'Keurig Dr Pepper DCF'!K21</f>
        <v>120.5925603128876</v>
      </c>
      <c r="L21">
        <f>+'Keurig Dr Pepper DCF'!L21</f>
        <v>125.41626272540361</v>
      </c>
      <c r="M21">
        <f>+'Keurig Dr Pepper DCF'!M21</f>
        <v>114.12879908011655</v>
      </c>
    </row>
    <row r="22" spans="1:13" ht="15" customHeight="1" x14ac:dyDescent="0.45">
      <c r="A22" s="15"/>
      <c r="B22" s="67" t="s">
        <v>77</v>
      </c>
      <c r="C22" s="71"/>
      <c r="D22" s="68"/>
      <c r="E22" s="59">
        <v>-353</v>
      </c>
      <c r="F22">
        <f>+'Keurig Dr Pepper DCF'!F22</f>
        <v>-375.32190000000003</v>
      </c>
      <c r="G22">
        <f>+'Keurig Dr Pepper DCF'!G22</f>
        <v>-391.83606360000005</v>
      </c>
      <c r="H22">
        <f>+'Keurig Dr Pepper DCF'!H22</f>
        <v>-407.50950614400006</v>
      </c>
      <c r="I22">
        <f>+'Keurig Dr Pepper DCF'!I22</f>
        <v>-423.80988638976009</v>
      </c>
      <c r="J22">
        <f>+'Keurig Dr Pepper DCF'!J22</f>
        <v>-440.76228184535051</v>
      </c>
      <c r="K22">
        <f>+'Keurig Dr Pepper DCF'!K22</f>
        <v>-458.39277311916453</v>
      </c>
      <c r="L22">
        <f>+'Keurig Dr Pepper DCF'!L22</f>
        <v>-476.72848404393108</v>
      </c>
      <c r="M22">
        <f>+'Keurig Dr Pepper DCF'!M22</f>
        <v>-493.41398098546864</v>
      </c>
    </row>
    <row r="23" spans="1:13" s="76" customFormat="1" ht="15" customHeight="1" x14ac:dyDescent="0.45">
      <c r="A23" s="15"/>
      <c r="B23" s="75" t="s">
        <v>29</v>
      </c>
      <c r="C23" s="77"/>
      <c r="F23" s="76">
        <f>SUM(F19:F22)</f>
        <v>3252.90515332</v>
      </c>
      <c r="G23" s="76">
        <f t="shared" ref="G23:M23" si="3">SUM(G19:G22)</f>
        <v>3359.7105020135991</v>
      </c>
      <c r="H23" s="76">
        <f t="shared" si="3"/>
        <v>3502.4532993409248</v>
      </c>
      <c r="I23" s="76">
        <f t="shared" si="3"/>
        <v>3676.184485298586</v>
      </c>
      <c r="J23" s="76">
        <f t="shared" si="3"/>
        <v>3817.1821863322607</v>
      </c>
      <c r="K23" s="76">
        <f t="shared" si="3"/>
        <v>3891.814030699682</v>
      </c>
      <c r="L23" s="76">
        <f t="shared" si="3"/>
        <v>4042.2174876303411</v>
      </c>
      <c r="M23" s="76">
        <f t="shared" si="3"/>
        <v>4165.9863622291386</v>
      </c>
    </row>
    <row r="24" spans="1:13" ht="15" customHeight="1" x14ac:dyDescent="0.45">
      <c r="A24" s="15"/>
      <c r="B24" s="67"/>
      <c r="C24" s="59"/>
      <c r="M24" s="70"/>
    </row>
    <row r="25" spans="1:13" ht="15" customHeight="1" x14ac:dyDescent="0.45">
      <c r="A25" s="15"/>
      <c r="B25" s="67" t="s">
        <v>61</v>
      </c>
      <c r="C25" s="59"/>
      <c r="F25">
        <f>+'Keurig Dr Pepper DCF'!F25</f>
        <v>35557</v>
      </c>
      <c r="G25">
        <f>+'Keurig Dr Pepper DCF'!G25</f>
        <v>35236.945961142854</v>
      </c>
      <c r="H25">
        <f>+'Keurig Dr Pepper DCF'!H25</f>
        <v>34993.37706091885</v>
      </c>
      <c r="I25">
        <f>+'Keurig Dr Pepper DCF'!I25</f>
        <v>34784.293337381889</v>
      </c>
      <c r="J25">
        <f>+'Keurig Dr Pepper DCF'!J25</f>
        <v>34598.008756549752</v>
      </c>
      <c r="K25">
        <f>+'Keurig Dr Pepper DCF'!K25</f>
        <v>34433.080784761813</v>
      </c>
      <c r="L25">
        <f>+'Keurig Dr Pepper DCF'!L25</f>
        <v>34288.362289021599</v>
      </c>
      <c r="M25">
        <f>+'Keurig Dr Pepper DCF'!M25</f>
        <v>34162.946026296195</v>
      </c>
    </row>
    <row r="26" spans="1:13" ht="15" customHeight="1" x14ac:dyDescent="0.45">
      <c r="A26" s="15"/>
      <c r="B26" s="67" t="s">
        <v>56</v>
      </c>
      <c r="C26" s="59"/>
      <c r="F26">
        <f>-F22-F20</f>
        <v>-160.85224285714287</v>
      </c>
      <c r="G26">
        <f t="shared" ref="G26:M26" si="4">-G22-G20</f>
        <v>-130.61202120000002</v>
      </c>
      <c r="H26">
        <f t="shared" si="4"/>
        <v>-101.87737653599999</v>
      </c>
      <c r="I26">
        <f t="shared" si="4"/>
        <v>-74.789979951134171</v>
      </c>
      <c r="J26">
        <f t="shared" si="4"/>
        <v>-48.973586871705606</v>
      </c>
      <c r="K26">
        <f t="shared" si="4"/>
        <v>-24.125935427324464</v>
      </c>
      <c r="L26">
        <f t="shared" si="4"/>
        <v>0</v>
      </c>
      <c r="M26">
        <f t="shared" si="4"/>
        <v>9.6747839408915297</v>
      </c>
    </row>
    <row r="27" spans="1:13" ht="15" customHeight="1" x14ac:dyDescent="0.45">
      <c r="A27" s="15"/>
      <c r="B27" s="67" t="s">
        <v>57</v>
      </c>
      <c r="C27" s="59"/>
      <c r="F27">
        <f>-F21</f>
        <v>-159.20179600000029</v>
      </c>
      <c r="G27">
        <f t="shared" ref="G27:M27" si="5">-G21</f>
        <v>-112.95687902400005</v>
      </c>
      <c r="H27">
        <f t="shared" si="5"/>
        <v>-107.20634700096025</v>
      </c>
      <c r="I27">
        <f t="shared" si="5"/>
        <v>-111.49460088099841</v>
      </c>
      <c r="J27">
        <f t="shared" si="5"/>
        <v>-115.95438491623872</v>
      </c>
      <c r="K27">
        <f t="shared" si="5"/>
        <v>-120.5925603128876</v>
      </c>
      <c r="L27">
        <f t="shared" si="5"/>
        <v>-125.41626272540361</v>
      </c>
      <c r="M27">
        <f t="shared" si="5"/>
        <v>-114.12879908011655</v>
      </c>
    </row>
    <row r="28" spans="1:13" ht="15" customHeight="1" x14ac:dyDescent="0.45">
      <c r="A28" s="15"/>
      <c r="B28" s="67" t="s">
        <v>62</v>
      </c>
      <c r="C28" s="59"/>
      <c r="E28" s="59">
        <f>25125+11072+895-535-1000</f>
        <v>35557</v>
      </c>
      <c r="F28">
        <f>SUM(F25:F27)</f>
        <v>35236.945961142854</v>
      </c>
      <c r="G28">
        <f t="shared" ref="G28:M28" si="6">SUM(G25:G27)</f>
        <v>34993.37706091885</v>
      </c>
      <c r="H28">
        <f t="shared" si="6"/>
        <v>34784.293337381889</v>
      </c>
      <c r="I28">
        <f t="shared" si="6"/>
        <v>34598.008756549752</v>
      </c>
      <c r="J28">
        <f t="shared" si="6"/>
        <v>34433.080784761813</v>
      </c>
      <c r="K28">
        <f t="shared" si="6"/>
        <v>34288.362289021599</v>
      </c>
      <c r="L28">
        <f t="shared" si="6"/>
        <v>34162.946026296195</v>
      </c>
      <c r="M28">
        <f t="shared" si="6"/>
        <v>34058.492011156974</v>
      </c>
    </row>
    <row r="29" spans="1:13" ht="15" customHeight="1" x14ac:dyDescent="0.45">
      <c r="A29" s="15"/>
      <c r="B29" s="67"/>
      <c r="C29" s="59"/>
      <c r="M29" s="70"/>
    </row>
    <row r="30" spans="1:13" ht="15" customHeight="1" x14ac:dyDescent="0.45">
      <c r="A30" s="15"/>
      <c r="B30" s="67" t="s">
        <v>58</v>
      </c>
      <c r="C30" s="59"/>
      <c r="F30" s="70">
        <f>+F19/E28</f>
        <v>8.2483086718869891E-2</v>
      </c>
      <c r="G30" s="70">
        <f t="shared" ref="G30:M30" si="7">+G19/F28</f>
        <v>8.8433929694868837E-2</v>
      </c>
      <c r="H30" s="70">
        <f t="shared" si="7"/>
        <v>9.4114082503973337E-2</v>
      </c>
      <c r="I30" s="70">
        <f t="shared" si="7"/>
        <v>0.10032976293688099</v>
      </c>
      <c r="J30" s="70">
        <f t="shared" si="7"/>
        <v>0.1055625553552387</v>
      </c>
      <c r="K30" s="70">
        <f t="shared" si="7"/>
        <v>0.10882254650352773</v>
      </c>
      <c r="L30" s="70">
        <f t="shared" si="7"/>
        <v>0.11423121325800428</v>
      </c>
      <c r="M30" s="70">
        <f t="shared" si="7"/>
        <v>0.11888706389559134</v>
      </c>
    </row>
    <row r="31" spans="1:13" ht="15" customHeight="1" x14ac:dyDescent="0.45">
      <c r="A31" s="15"/>
      <c r="B31" s="67" t="s">
        <v>59</v>
      </c>
      <c r="C31" s="59"/>
      <c r="F31" s="70">
        <f>+F19/F14</f>
        <v>0.19535571428571427</v>
      </c>
      <c r="G31" s="70">
        <f t="shared" ref="G31:M31" si="8">+G19/G14</f>
        <v>0.19881666666666661</v>
      </c>
      <c r="H31" s="70">
        <f t="shared" si="8"/>
        <v>0.20204249999999999</v>
      </c>
      <c r="I31" s="70">
        <f t="shared" si="8"/>
        <v>0.20586470588235289</v>
      </c>
      <c r="J31" s="70">
        <f t="shared" si="8"/>
        <v>0.20715555555555551</v>
      </c>
      <c r="K31" s="70">
        <f t="shared" si="8"/>
        <v>0.20436052631578949</v>
      </c>
      <c r="L31" s="70">
        <f t="shared" si="8"/>
        <v>0.2054</v>
      </c>
      <c r="M31" s="70">
        <f t="shared" si="8"/>
        <v>0.20578725490196076</v>
      </c>
    </row>
    <row r="32" spans="1:13" ht="15" customHeight="1" x14ac:dyDescent="0.45">
      <c r="A32" s="15"/>
      <c r="B32" s="67" t="s">
        <v>60</v>
      </c>
      <c r="C32" s="59"/>
      <c r="F32" s="70">
        <f>+F14/E28</f>
        <v>0.42221998481311696</v>
      </c>
      <c r="G32" s="70">
        <f t="shared" ref="G32:M32" si="9">+G14/F28</f>
        <v>0.44480139003203384</v>
      </c>
      <c r="H32" s="70">
        <f t="shared" si="9"/>
        <v>0.46581329425231499</v>
      </c>
      <c r="I32" s="70">
        <f t="shared" si="9"/>
        <v>0.4873577649304161</v>
      </c>
      <c r="J32" s="70">
        <f t="shared" si="9"/>
        <v>0.50958109750973424</v>
      </c>
      <c r="K32" s="70">
        <f t="shared" si="9"/>
        <v>0.53250277079130703</v>
      </c>
      <c r="L32" s="70">
        <f t="shared" si="9"/>
        <v>0.55614027876340932</v>
      </c>
      <c r="M32" s="70">
        <f t="shared" si="9"/>
        <v>0.57771830404283497</v>
      </c>
    </row>
    <row r="33" spans="1:13" ht="15" customHeight="1" x14ac:dyDescent="0.45">
      <c r="A33" s="15"/>
      <c r="B33" s="67"/>
      <c r="C33" s="59"/>
      <c r="F33" s="70"/>
      <c r="M33" s="70"/>
    </row>
    <row r="34" spans="1:13" ht="15.75" x14ac:dyDescent="0.45">
      <c r="A34" s="15" t="s">
        <v>20</v>
      </c>
      <c r="B34" s="67"/>
      <c r="C34" s="59"/>
      <c r="E34" s="85">
        <f>'Keurig Dr Pepper DCF'!E34</f>
        <v>7.2599999999999998E-2</v>
      </c>
    </row>
    <row r="35" spans="1:13" ht="15" customHeight="1" x14ac:dyDescent="0.45">
      <c r="A35" s="15"/>
      <c r="B35" s="67"/>
    </row>
    <row r="36" spans="1:13" ht="15" customHeight="1" x14ac:dyDescent="0.45">
      <c r="A36" s="15" t="s">
        <v>22</v>
      </c>
      <c r="B36" s="67"/>
    </row>
    <row r="37" spans="1:13" ht="15" customHeight="1" x14ac:dyDescent="0.45">
      <c r="A37" s="15"/>
      <c r="B37" s="67" t="s">
        <v>26</v>
      </c>
      <c r="E37" s="72">
        <v>0.105</v>
      </c>
    </row>
    <row r="38" spans="1:13" ht="15" customHeight="1" x14ac:dyDescent="0.45">
      <c r="A38" s="15"/>
      <c r="B38" s="67" t="s">
        <v>19</v>
      </c>
      <c r="E38" s="72">
        <v>3.5000000000000003E-2</v>
      </c>
    </row>
    <row r="39" spans="1:13" ht="15" customHeight="1" x14ac:dyDescent="0.45">
      <c r="A39" s="15"/>
      <c r="B39" s="67" t="s">
        <v>63</v>
      </c>
      <c r="M39">
        <f>(M23*(1+E38)/(E34-E38))</f>
        <v>114675.42247093508</v>
      </c>
    </row>
    <row r="40" spans="1:13" ht="15" customHeight="1" x14ac:dyDescent="0.45">
      <c r="A40" s="15"/>
      <c r="B40" s="67" t="s">
        <v>64</v>
      </c>
      <c r="M40">
        <f>((M19*(1+E38)*(1-(E38/E37))))/(E34-E38)</f>
        <v>74533.439348192565</v>
      </c>
    </row>
    <row r="41" spans="1:13" ht="15" customHeight="1" x14ac:dyDescent="0.45">
      <c r="A41" s="15"/>
      <c r="B41" s="67"/>
    </row>
    <row r="42" spans="1:13" ht="15" customHeight="1" x14ac:dyDescent="0.45">
      <c r="A42" s="15" t="s">
        <v>33</v>
      </c>
      <c r="B42" s="67"/>
    </row>
    <row r="43" spans="1:13" ht="15" customHeight="1" x14ac:dyDescent="0.45">
      <c r="A43" s="15"/>
      <c r="B43" s="67" t="s">
        <v>18</v>
      </c>
      <c r="E43" s="80">
        <f ca="1">TODAY()</f>
        <v>45413</v>
      </c>
    </row>
    <row r="44" spans="1:13" ht="15" customHeight="1" x14ac:dyDescent="0.45">
      <c r="A44" s="15"/>
      <c r="B44" s="67" t="s">
        <v>68</v>
      </c>
      <c r="F44" s="70"/>
      <c r="G44" s="72">
        <f ca="1">YEARFRAC(E43,G2)</f>
        <v>0.66666666666666663</v>
      </c>
      <c r="H44" s="72">
        <v>1</v>
      </c>
      <c r="I44" s="72">
        <v>1</v>
      </c>
      <c r="J44" s="72">
        <v>1</v>
      </c>
      <c r="K44" s="72">
        <v>1</v>
      </c>
      <c r="L44" s="72">
        <v>1</v>
      </c>
      <c r="M44" s="72">
        <v>1</v>
      </c>
    </row>
    <row r="45" spans="1:13" ht="15" customHeight="1" x14ac:dyDescent="0.45">
      <c r="A45" s="15"/>
      <c r="B45" s="67" t="s">
        <v>69</v>
      </c>
      <c r="F45" s="79"/>
      <c r="G45" s="79">
        <f ca="1">AVERAGE(E43,G2)</f>
        <v>45535</v>
      </c>
      <c r="H45" s="79">
        <f>AVERAGE(G2:H2)</f>
        <v>45839.5</v>
      </c>
      <c r="I45" s="79">
        <f t="shared" ref="I45:M45" si="10">AVERAGE(H2:I2)</f>
        <v>46204.5</v>
      </c>
      <c r="J45" s="79">
        <f t="shared" si="10"/>
        <v>46569.5</v>
      </c>
      <c r="K45" s="79">
        <f t="shared" si="10"/>
        <v>46935</v>
      </c>
      <c r="L45" s="79">
        <f t="shared" si="10"/>
        <v>47300.5</v>
      </c>
      <c r="M45" s="79">
        <f t="shared" si="10"/>
        <v>47665.5</v>
      </c>
    </row>
    <row r="46" spans="1:13" ht="15" customHeight="1" x14ac:dyDescent="0.45">
      <c r="A46" s="15"/>
      <c r="B46" s="67" t="s">
        <v>79</v>
      </c>
      <c r="F46" s="79"/>
      <c r="G46" s="74">
        <f ca="1">YEARFRAC($E$43,G45)</f>
        <v>0.33333333333333331</v>
      </c>
      <c r="H46" s="74">
        <f t="shared" ref="H46:M46" ca="1" si="11">YEARFRAC($E$43,H45)</f>
        <v>1.1666666666666667</v>
      </c>
      <c r="I46" s="74">
        <f t="shared" ca="1" si="11"/>
        <v>2.1666666666666665</v>
      </c>
      <c r="J46" s="74">
        <f t="shared" ca="1" si="11"/>
        <v>3.1666666666666665</v>
      </c>
      <c r="K46" s="74">
        <f t="shared" ca="1" si="11"/>
        <v>4.166666666666667</v>
      </c>
      <c r="L46" s="74">
        <f t="shared" ca="1" si="11"/>
        <v>5.166666666666667</v>
      </c>
      <c r="M46" s="74">
        <f t="shared" ca="1" si="11"/>
        <v>6.166666666666667</v>
      </c>
    </row>
    <row r="47" spans="1:13" ht="15" customHeight="1" x14ac:dyDescent="0.45">
      <c r="A47" s="62"/>
      <c r="B47" s="67" t="s">
        <v>21</v>
      </c>
      <c r="C47" s="59"/>
      <c r="F47" s="74"/>
      <c r="G47" s="74">
        <f ca="1">1/(1+$E$34)^G46</f>
        <v>0.97690890656914209</v>
      </c>
      <c r="H47" s="74">
        <f t="shared" ref="H47:M47" ca="1" si="12">1/(1+$E$34)^H46</f>
        <v>0.92148706196462715</v>
      </c>
      <c r="I47" s="74">
        <f t="shared" ca="1" si="12"/>
        <v>0.85911529178130464</v>
      </c>
      <c r="J47" s="74">
        <f t="shared" ca="1" si="12"/>
        <v>0.80096521702527002</v>
      </c>
      <c r="K47" s="74">
        <f t="shared" ca="1" si="12"/>
        <v>0.74675108803400148</v>
      </c>
      <c r="L47" s="74">
        <f t="shared" ca="1" si="12"/>
        <v>0.69620649639567544</v>
      </c>
      <c r="M47" s="74">
        <f t="shared" ca="1" si="12"/>
        <v>0.64908306581733677</v>
      </c>
    </row>
    <row r="48" spans="1:13" ht="15" customHeight="1" x14ac:dyDescent="0.45">
      <c r="A48" s="15"/>
      <c r="B48" s="67" t="s">
        <v>35</v>
      </c>
      <c r="C48" s="59"/>
      <c r="G48">
        <f ca="1">G23*G47*G44</f>
        <v>2188.0874086073122</v>
      </c>
      <c r="H48">
        <f t="shared" ref="H48:M48" ca="1" si="13">H23*H47*H44</f>
        <v>3227.4654004779836</v>
      </c>
      <c r="I48">
        <f t="shared" ca="1" si="13"/>
        <v>3158.2663067292001</v>
      </c>
      <c r="J48">
        <f t="shared" ca="1" si="13"/>
        <v>3057.430158300614</v>
      </c>
      <c r="K48">
        <f t="shared" ca="1" si="13"/>
        <v>2906.2163618509803</v>
      </c>
      <c r="L48">
        <f t="shared" ca="1" si="13"/>
        <v>2814.2180747324492</v>
      </c>
      <c r="M48">
        <f t="shared" ca="1" si="13"/>
        <v>2704.0712001489032</v>
      </c>
    </row>
    <row r="49" spans="1:6" ht="15" customHeight="1" x14ac:dyDescent="0.45">
      <c r="A49" s="15"/>
      <c r="B49" s="67"/>
      <c r="C49" s="59"/>
    </row>
    <row r="50" spans="1:6" ht="15" customHeight="1" x14ac:dyDescent="0.45">
      <c r="A50" s="15"/>
      <c r="B50" s="67"/>
      <c r="C50" s="59"/>
      <c r="E50" s="78" t="s">
        <v>65</v>
      </c>
      <c r="F50" s="78" t="s">
        <v>66</v>
      </c>
    </row>
    <row r="51" spans="1:6" ht="15" customHeight="1" x14ac:dyDescent="0.45">
      <c r="A51" s="15"/>
      <c r="B51" s="67" t="s">
        <v>36</v>
      </c>
      <c r="C51" s="59"/>
      <c r="E51">
        <f ca="1">SUM(G48:M48)</f>
        <v>20055.754910847445</v>
      </c>
      <c r="F51">
        <f ca="1">+E51</f>
        <v>20055.754910847445</v>
      </c>
    </row>
    <row r="52" spans="1:6" ht="15" customHeight="1" x14ac:dyDescent="0.45">
      <c r="A52" s="15"/>
      <c r="B52" s="67" t="s">
        <v>37</v>
      </c>
      <c r="C52" s="59"/>
      <c r="E52">
        <f ca="1">M39*M47</f>
        <v>74433.874791332855</v>
      </c>
      <c r="F52">
        <f ca="1">M40*M47</f>
        <v>48378.393318035356</v>
      </c>
    </row>
    <row r="53" spans="1:6" ht="15" customHeight="1" x14ac:dyDescent="0.45">
      <c r="A53" s="15"/>
      <c r="B53" s="67" t="s">
        <v>23</v>
      </c>
      <c r="C53" s="59"/>
      <c r="E53">
        <f ca="1">SUM(E51:E52)</f>
        <v>94489.629702180304</v>
      </c>
      <c r="F53">
        <f ca="1">SUM(F51:F52)</f>
        <v>68434.148228882797</v>
      </c>
    </row>
    <row r="54" spans="1:6" ht="15" customHeight="1" x14ac:dyDescent="0.45">
      <c r="A54" s="15"/>
      <c r="B54" s="67"/>
      <c r="C54" s="60"/>
    </row>
    <row r="55" spans="1:6" ht="15" customHeight="1" x14ac:dyDescent="0.45">
      <c r="A55" s="15" t="s">
        <v>24</v>
      </c>
      <c r="B55" s="67"/>
      <c r="C55" s="60"/>
    </row>
    <row r="56" spans="1:6" ht="15" customHeight="1" x14ac:dyDescent="0.45">
      <c r="A56" s="15"/>
      <c r="B56" s="67" t="s">
        <v>32</v>
      </c>
      <c r="E56" s="59">
        <v>14387</v>
      </c>
      <c r="F56">
        <f>+E56</f>
        <v>14387</v>
      </c>
    </row>
    <row r="57" spans="1:6" ht="15" customHeight="1" x14ac:dyDescent="0.45">
      <c r="A57" s="15"/>
      <c r="B57" s="67" t="s">
        <v>38</v>
      </c>
      <c r="E57" s="59">
        <v>260</v>
      </c>
      <c r="F57">
        <f t="shared" ref="F57:F58" si="14">+E57</f>
        <v>260</v>
      </c>
    </row>
    <row r="58" spans="1:6" ht="15" customHeight="1" x14ac:dyDescent="0.45">
      <c r="A58" s="15"/>
      <c r="B58" s="67" t="s">
        <v>54</v>
      </c>
      <c r="E58" s="59">
        <v>1336</v>
      </c>
      <c r="F58">
        <f t="shared" si="14"/>
        <v>1336</v>
      </c>
    </row>
    <row r="59" spans="1:6" ht="15" customHeight="1" x14ac:dyDescent="0.45">
      <c r="A59" s="15"/>
      <c r="B59" s="67" t="s">
        <v>24</v>
      </c>
      <c r="E59">
        <f ca="1">+E53-E56+E57+E58</f>
        <v>81698.629702180304</v>
      </c>
      <c r="F59">
        <f ca="1">+F53-F56+F57+F58</f>
        <v>55643.148228882797</v>
      </c>
    </row>
    <row r="60" spans="1:6" ht="15" customHeight="1" x14ac:dyDescent="0.45">
      <c r="A60" s="66"/>
      <c r="B60" s="67" t="s">
        <v>50</v>
      </c>
      <c r="E60" s="59">
        <v>1416.5</v>
      </c>
      <c r="F60">
        <f>+E60</f>
        <v>1416.5</v>
      </c>
    </row>
    <row r="61" spans="1:6" ht="15" customHeight="1" x14ac:dyDescent="0.45">
      <c r="A61" s="66"/>
      <c r="B61" s="67" t="s">
        <v>51</v>
      </c>
      <c r="E61">
        <f ca="1">+E59/E60</f>
        <v>57.676406425824432</v>
      </c>
      <c r="F61">
        <f ca="1">+F59/F60</f>
        <v>39.282137824837839</v>
      </c>
    </row>
    <row r="62" spans="1:6" ht="15" customHeight="1" x14ac:dyDescent="0.45">
      <c r="A62" s="66"/>
      <c r="B62" s="67" t="s">
        <v>52</v>
      </c>
      <c r="E62">
        <f>'Keurig Dr Pepper DCF'!E59</f>
        <v>31.98</v>
      </c>
      <c r="F62">
        <f>+E62</f>
        <v>31.98</v>
      </c>
    </row>
    <row r="63" spans="1:6" ht="15" customHeight="1" x14ac:dyDescent="0.45">
      <c r="A63" s="66"/>
      <c r="B63" s="67" t="s">
        <v>55</v>
      </c>
      <c r="E63" s="70">
        <f ca="1">+E61/E62-1</f>
        <v>0.80351489761802464</v>
      </c>
      <c r="F63" s="70">
        <f ca="1">+F61/F62-1</f>
        <v>0.22833451609874422</v>
      </c>
    </row>
    <row r="64" spans="1:6" ht="15" customHeight="1" x14ac:dyDescent="0.45">
      <c r="A64" s="66"/>
      <c r="C64" s="61"/>
    </row>
    <row r="65" spans="1:1" ht="15" customHeight="1" x14ac:dyDescent="0.45">
      <c r="A65" s="15" t="s">
        <v>78</v>
      </c>
    </row>
    <row r="197" ht="27.4" customHeight="1" x14ac:dyDescent="0.45"/>
  </sheetData>
  <hyperlinks>
    <hyperlink ref="E17" r:id="rId1" display="https://felix.fe.training/filing-document/?hid=65bcfc3a12104" xr:uid="{2A7AE2C5-5771-478A-B994-3333E1DFC2CF}"/>
  </hyperlinks>
  <printOptions horizontalCentered="1" headings="1" gridLines="1"/>
  <pageMargins left="0.11811023622047245" right="0.11811023622047245" top="0.55118110236220474" bottom="0.55118110236220474" header="0.31496062992125984" footer="0.31496062992125984"/>
  <pageSetup paperSize="9" scale="74" fitToHeight="0" orientation="landscape" cellComments="asDisplayed" horizontalDpi="2400" verticalDpi="2400" r:id="rId2"/>
  <headerFooter>
    <oddHeader xml:space="preserve">&amp;R&amp;10&amp;F 
&amp;A
</oddHeader>
    <oddFooter>&amp;L&amp;10© 2018&amp;C&amp;10Page &amp;P of &amp;N&amp;R&amp;G</oddFooter>
  </headerFooter>
  <rowBreaks count="8" manualBreakCount="8">
    <brk id="34" max="10" man="1"/>
    <brk id="73" max="10" man="1"/>
    <brk id="114" max="10" man="1"/>
    <brk id="137" max="10" man="1"/>
    <brk id="175" max="10" man="1"/>
    <brk id="216" max="10" man="1"/>
    <brk id="250" max="10" man="1"/>
    <brk id="281" max="10" man="1"/>
  </rowBreaks>
  <legacyDrawing r:id="rId3"/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177b724d556871ba26d1daa708a8bded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17e090879e8722037c31bb140bfb891e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626153-C3B9-4B9D-86B0-C733CCFD96A3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953C00DF-FFFF-456F-B2A6-EE2A287AA5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13C0DC-B519-4073-B02B-7F3B43498C9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Welcome</vt:lpstr>
      <vt:lpstr>Info</vt:lpstr>
      <vt:lpstr>Keurig Dr Pepper DCF</vt:lpstr>
      <vt:lpstr>Discount Date</vt:lpstr>
      <vt:lpstr>g</vt:lpstr>
      <vt:lpstr>'Discount Date'!Print_Area</vt:lpstr>
      <vt:lpstr>'Keurig Dr Pepper DCF'!Print_Area</vt:lpstr>
      <vt:lpstr>ROIC</vt:lpstr>
      <vt:lpstr>WACC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 Kelly</dc:creator>
  <cp:lastModifiedBy>Maria Weber</cp:lastModifiedBy>
  <cp:lastPrinted>2024-02-02T14:46:45Z</cp:lastPrinted>
  <dcterms:created xsi:type="dcterms:W3CDTF">2016-02-03T14:06:14Z</dcterms:created>
  <dcterms:modified xsi:type="dcterms:W3CDTF">2024-05-01T10:51:52Z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</Properties>
</file>