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bhero.sharepoint.com/FE Materials/Materials Development/7000 Deal Analysis/7080 Advanced M&amp;A/"/>
    </mc:Choice>
  </mc:AlternateContent>
  <xr:revisionPtr revIDLastSave="8" documentId="8_{34C85EA0-1AFB-4CCB-B75E-6A8023AD1509}" xr6:coauthVersionLast="47" xr6:coauthVersionMax="47" xr10:uidLastSave="{AEF73C87-BC25-4FF3-A35E-279E6F7724AB}"/>
  <bookViews>
    <workbookView xWindow="-120" yWindow="-120" windowWidth="29040" windowHeight="15720" tabRatio="716" xr2:uid="{00000000-000D-0000-FFFF-FFFF00000000}"/>
  </bookViews>
  <sheets>
    <sheet name="Welcome" sheetId="1" r:id="rId1"/>
    <sheet name="Info" sheetId="6" r:id="rId2"/>
    <sheet name="Deal Terms" sheetId="39" r:id="rId3"/>
    <sheet name="Acquirer" sheetId="33" r:id="rId4"/>
    <sheet name="Target (Local FX)" sheetId="42" r:id="rId5"/>
    <sheet name="Target Calendarized (Acqr FX)" sheetId="38" r:id="rId6"/>
    <sheet name="Opening BS" sheetId="40" r:id="rId7"/>
    <sheet name="Proforma" sheetId="41" r:id="rId8"/>
  </sheets>
  <definedNames>
    <definedName name="AcquirerLFY">Acquirer!$D$2</definedName>
    <definedName name="Calendar">'Target Calendarized (Acqr FX)'!$G$4</definedName>
    <definedName name="FX">'Deal Terms'!$C$7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3">Acquirer!$A$1:$H$96</definedName>
    <definedName name="_xlnm.Print_Area" localSheetId="7">Proforma!$A$1:$M$96</definedName>
    <definedName name="_xlnm.Print_Area" localSheetId="4">'Target (Local FX)'!$A$1:$H$96</definedName>
    <definedName name="_xlnm.Print_Area" localSheetId="5">'Target Calendarized (Acqr FX)'!$A$1:$H$88</definedName>
    <definedName name="switch">Info!$N$10</definedName>
    <definedName name="TargetLFY">'Target (Local FX)'!$D$2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2" l="1"/>
  <c r="C29" i="42"/>
  <c r="G4" i="38"/>
  <c r="C48" i="42"/>
  <c r="C47" i="42"/>
  <c r="C46" i="42"/>
  <c r="C49" i="42" s="1"/>
  <c r="C51" i="42" s="1"/>
  <c r="C42" i="42"/>
  <c r="C43" i="42" s="1"/>
  <c r="C38" i="42"/>
  <c r="C37" i="42"/>
  <c r="C33" i="42"/>
  <c r="C32" i="42"/>
  <c r="C31" i="42"/>
  <c r="C53" i="42" l="1"/>
  <c r="G15" i="38" l="1"/>
  <c r="G8" i="38"/>
  <c r="F8" i="38"/>
  <c r="E39" i="42" l="1"/>
  <c r="F39" i="42" s="1"/>
  <c r="C13" i="40"/>
  <c r="C8" i="40"/>
  <c r="C9" i="40"/>
  <c r="C10" i="40"/>
  <c r="C11" i="40"/>
  <c r="C12" i="40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D15" i="42"/>
  <c r="D65" i="42"/>
  <c r="E63" i="42" s="1"/>
  <c r="D45" i="42"/>
  <c r="D48" i="42"/>
  <c r="D47" i="42"/>
  <c r="D46" i="42"/>
  <c r="D42" i="42"/>
  <c r="D18" i="42" s="1"/>
  <c r="D38" i="42"/>
  <c r="D37" i="42"/>
  <c r="D13" i="42" s="1"/>
  <c r="G27" i="42"/>
  <c r="G10" i="38" s="1"/>
  <c r="G32" i="42"/>
  <c r="F27" i="42"/>
  <c r="F10" i="38" s="1"/>
  <c r="E27" i="42"/>
  <c r="E10" i="38" s="1"/>
  <c r="D11" i="42"/>
  <c r="D15" i="33"/>
  <c r="E39" i="33"/>
  <c r="F39" i="33" s="1"/>
  <c r="G39" i="33" s="1"/>
  <c r="E27" i="33"/>
  <c r="E25" i="33"/>
  <c r="E46" i="33" s="1"/>
  <c r="G27" i="33"/>
  <c r="D48" i="33"/>
  <c r="D47" i="33"/>
  <c r="D46" i="33"/>
  <c r="D42" i="33"/>
  <c r="D18" i="33" s="1"/>
  <c r="D41" i="33"/>
  <c r="E41" i="33" s="1"/>
  <c r="D40" i="33"/>
  <c r="D65" i="33" s="1"/>
  <c r="E63" i="33" s="1"/>
  <c r="D38" i="33"/>
  <c r="D37" i="33"/>
  <c r="D9" i="33"/>
  <c r="D29" i="33"/>
  <c r="D11" i="33" s="1"/>
  <c r="F27" i="33"/>
  <c r="E64" i="42" l="1"/>
  <c r="G39" i="42"/>
  <c r="D9" i="38"/>
  <c r="E64" i="33"/>
  <c r="E79" i="33" s="1"/>
  <c r="E37" i="33"/>
  <c r="E42" i="33"/>
  <c r="E26" i="33"/>
  <c r="D43" i="33"/>
  <c r="D13" i="38" l="1"/>
  <c r="E65" i="42"/>
  <c r="E17" i="38"/>
  <c r="E79" i="42"/>
  <c r="E81" i="33"/>
  <c r="E65" i="33"/>
  <c r="F63" i="42" l="1"/>
  <c r="E40" i="42"/>
  <c r="E40" i="33"/>
  <c r="F63" i="33"/>
  <c r="F64" i="42" l="1"/>
  <c r="F65" i="42"/>
  <c r="F64" i="33"/>
  <c r="F79" i="33" s="1"/>
  <c r="G63" i="42" l="1"/>
  <c r="F40" i="42"/>
  <c r="F79" i="42"/>
  <c r="F17" i="38"/>
  <c r="F65" i="33"/>
  <c r="G64" i="42" l="1"/>
  <c r="G63" i="33"/>
  <c r="F40" i="33"/>
  <c r="G65" i="42" l="1"/>
  <c r="G79" i="42"/>
  <c r="G17" i="38"/>
  <c r="G64" i="33"/>
  <c r="G79" i="33" s="1"/>
  <c r="G40" i="42" l="1"/>
  <c r="G65" i="33"/>
  <c r="G40" i="33" s="1"/>
  <c r="F32" i="42" l="1"/>
  <c r="E32" i="42"/>
  <c r="D22" i="42"/>
  <c r="D22" i="33"/>
  <c r="E22" i="33" l="1"/>
  <c r="E32" i="33" l="1"/>
  <c r="F22" i="33"/>
  <c r="G22" i="33" l="1"/>
  <c r="G32" i="33" s="1"/>
  <c r="F32" i="33"/>
  <c r="D94" i="42" l="1"/>
  <c r="D71" i="42"/>
  <c r="E68" i="42" s="1"/>
  <c r="D60" i="42"/>
  <c r="E57" i="42" s="1"/>
  <c r="D49" i="42"/>
  <c r="E47" i="42"/>
  <c r="D43" i="42"/>
  <c r="E41" i="42"/>
  <c r="D31" i="42"/>
  <c r="E25" i="42"/>
  <c r="E8" i="38" s="1"/>
  <c r="D19" i="42"/>
  <c r="D14" i="42"/>
  <c r="D9" i="42"/>
  <c r="A1" i="42"/>
  <c r="F41" i="42" l="1"/>
  <c r="D33" i="42"/>
  <c r="E90" i="42"/>
  <c r="D51" i="42"/>
  <c r="E26" i="42"/>
  <c r="E9" i="38" s="1"/>
  <c r="E42" i="42"/>
  <c r="D53" i="42"/>
  <c r="E37" i="42"/>
  <c r="F47" i="42"/>
  <c r="E58" i="42"/>
  <c r="E15" i="38" s="1"/>
  <c r="E46" i="42"/>
  <c r="E14" i="38" s="1"/>
  <c r="E48" i="42"/>
  <c r="E19" i="38" s="1"/>
  <c r="F25" i="42"/>
  <c r="E74" i="42"/>
  <c r="E13" i="38" l="1"/>
  <c r="E18" i="38"/>
  <c r="G41" i="42"/>
  <c r="F42" i="42"/>
  <c r="E81" i="42"/>
  <c r="F74" i="42"/>
  <c r="G47" i="42"/>
  <c r="G25" i="42"/>
  <c r="F90" i="42"/>
  <c r="E83" i="42"/>
  <c r="E82" i="42"/>
  <c r="E59" i="42"/>
  <c r="E86" i="42"/>
  <c r="E80" i="42"/>
  <c r="F48" i="42"/>
  <c r="F46" i="42"/>
  <c r="F58" i="42"/>
  <c r="F37" i="42"/>
  <c r="F26" i="42"/>
  <c r="F15" i="38" l="1"/>
  <c r="F14" i="38"/>
  <c r="E87" i="42"/>
  <c r="F18" i="38"/>
  <c r="F19" i="38"/>
  <c r="E78" i="42"/>
  <c r="E16" i="38"/>
  <c r="G42" i="42"/>
  <c r="G90" i="42"/>
  <c r="F9" i="38"/>
  <c r="F13" i="38"/>
  <c r="F81" i="42"/>
  <c r="G74" i="42"/>
  <c r="G26" i="42"/>
  <c r="G58" i="42"/>
  <c r="G37" i="42"/>
  <c r="G48" i="42"/>
  <c r="G46" i="42"/>
  <c r="E60" i="42"/>
  <c r="F82" i="42"/>
  <c r="F83" i="42"/>
  <c r="F80" i="42"/>
  <c r="F86" i="42"/>
  <c r="F59" i="42"/>
  <c r="F87" i="42" l="1"/>
  <c r="G81" i="42"/>
  <c r="G18" i="38"/>
  <c r="G82" i="42"/>
  <c r="G14" i="38"/>
  <c r="F78" i="42"/>
  <c r="F16" i="38"/>
  <c r="E38" i="42"/>
  <c r="G83" i="42"/>
  <c r="G19" i="38"/>
  <c r="G80" i="42"/>
  <c r="G13" i="38"/>
  <c r="G9" i="38"/>
  <c r="G86" i="42"/>
  <c r="G59" i="42"/>
  <c r="F57" i="42"/>
  <c r="G78" i="42" l="1"/>
  <c r="G16" i="38"/>
  <c r="G87" i="42"/>
  <c r="F60" i="42"/>
  <c r="F38" i="42"/>
  <c r="G57" i="42"/>
  <c r="G60" i="42" l="1"/>
  <c r="G38" i="42" l="1"/>
  <c r="A1" i="41"/>
  <c r="C21" i="40"/>
  <c r="C19" i="40"/>
  <c r="C18" i="40"/>
  <c r="C17" i="40"/>
  <c r="C16" i="40"/>
  <c r="C7" i="40"/>
  <c r="C14" i="40" s="1"/>
  <c r="A1" i="40"/>
  <c r="A1" i="39"/>
  <c r="A1" i="38"/>
  <c r="D94" i="33"/>
  <c r="D71" i="33"/>
  <c r="E68" i="33" s="1"/>
  <c r="D60" i="33"/>
  <c r="E57" i="33" s="1"/>
  <c r="D49" i="33"/>
  <c r="D51" i="33" s="1"/>
  <c r="E47" i="33"/>
  <c r="D19" i="33"/>
  <c r="D14" i="33"/>
  <c r="D13" i="33"/>
  <c r="E90" i="33" l="1"/>
  <c r="E74" i="33"/>
  <c r="E48" i="33"/>
  <c r="F41" i="33"/>
  <c r="G41" i="33" s="1"/>
  <c r="D53" i="33"/>
  <c r="C20" i="40"/>
  <c r="C22" i="40" s="1"/>
  <c r="C24" i="40" s="1"/>
  <c r="F25" i="33"/>
  <c r="F42" i="33" s="1"/>
  <c r="D31" i="33"/>
  <c r="D33" i="33" s="1"/>
  <c r="F47" i="33"/>
  <c r="E58" i="33"/>
  <c r="F81" i="33" l="1"/>
  <c r="F58" i="33"/>
  <c r="F86" i="33" s="1"/>
  <c r="G25" i="33"/>
  <c r="G42" i="33" s="1"/>
  <c r="G81" i="33" s="1"/>
  <c r="G47" i="33"/>
  <c r="G90" i="33" s="1"/>
  <c r="E80" i="33"/>
  <c r="F37" i="33"/>
  <c r="F80" i="33" s="1"/>
  <c r="F26" i="33"/>
  <c r="F48" i="33"/>
  <c r="E82" i="33"/>
  <c r="E83" i="33"/>
  <c r="F46" i="33"/>
  <c r="F90" i="33"/>
  <c r="F74" i="33"/>
  <c r="E59" i="33"/>
  <c r="E78" i="33" s="1"/>
  <c r="E86" i="33"/>
  <c r="F59" i="33" l="1"/>
  <c r="F78" i="33" s="1"/>
  <c r="G74" i="33"/>
  <c r="G26" i="33"/>
  <c r="G46" i="33"/>
  <c r="G82" i="33" s="1"/>
  <c r="G48" i="33"/>
  <c r="G83" i="33" s="1"/>
  <c r="G58" i="33"/>
  <c r="G37" i="33"/>
  <c r="G80" i="33" s="1"/>
  <c r="F82" i="33"/>
  <c r="F83" i="33"/>
  <c r="F87" i="33"/>
  <c r="E87" i="33"/>
  <c r="E60" i="33"/>
  <c r="E38" i="33" s="1"/>
  <c r="G59" i="33" l="1"/>
  <c r="G78" i="33" s="1"/>
  <c r="G86" i="33"/>
  <c r="G87" i="33" s="1"/>
  <c r="F57" i="33"/>
  <c r="F60" i="33" s="1"/>
  <c r="F38" i="33" l="1"/>
  <c r="G57" i="33"/>
  <c r="G60" i="33" s="1"/>
  <c r="G38" i="33" s="1"/>
  <c r="A1" i="33"/>
  <c r="A7" i="1" l="1"/>
  <c r="F28" i="33" l="1"/>
  <c r="F29" i="33"/>
  <c r="F30" i="33" s="1"/>
  <c r="E69" i="33"/>
  <c r="E70" i="33" s="1"/>
  <c r="G28" i="33"/>
  <c r="G29" i="33"/>
  <c r="G30" i="33" s="1"/>
  <c r="G31" i="33" s="1"/>
  <c r="E28" i="33"/>
  <c r="E29" i="33"/>
  <c r="E30" i="33" s="1"/>
  <c r="E31" i="33"/>
  <c r="E33" i="33" s="1"/>
  <c r="F28" i="42"/>
  <c r="F29" i="42"/>
  <c r="F30" i="42" s="1"/>
  <c r="G69" i="33" l="1"/>
  <c r="G70" i="33" s="1"/>
  <c r="G89" i="33" s="1"/>
  <c r="G91" i="33" s="1"/>
  <c r="G77" i="33"/>
  <c r="G84" i="33" s="1"/>
  <c r="G93" i="33" s="1"/>
  <c r="G33" i="33"/>
  <c r="E89" i="33"/>
  <c r="E91" i="33" s="1"/>
  <c r="E71" i="33"/>
  <c r="F31" i="33"/>
  <c r="F31" i="42"/>
  <c r="E77" i="33"/>
  <c r="E84" i="33" s="1"/>
  <c r="E93" i="33" s="1"/>
  <c r="E94" i="33" s="1"/>
  <c r="G28" i="42"/>
  <c r="G29" i="42" s="1"/>
  <c r="F69" i="33" l="1"/>
  <c r="F70" i="33" s="1"/>
  <c r="F89" i="33" s="1"/>
  <c r="F91" i="33" s="1"/>
  <c r="F77" i="33"/>
  <c r="F84" i="33" s="1"/>
  <c r="F93" i="33" s="1"/>
  <c r="F94" i="33" s="1"/>
  <c r="F33" i="33"/>
  <c r="E50" i="33"/>
  <c r="F68" i="33"/>
  <c r="F71" i="33" s="1"/>
  <c r="E36" i="33"/>
  <c r="E43" i="33" s="1"/>
  <c r="E45" i="33"/>
  <c r="F77" i="42"/>
  <c r="F84" i="42" s="1"/>
  <c r="F69" i="42"/>
  <c r="F70" i="42" s="1"/>
  <c r="F33" i="42"/>
  <c r="G30" i="42"/>
  <c r="G31" i="42"/>
  <c r="G94" i="33" l="1"/>
  <c r="F45" i="33"/>
  <c r="F36" i="33"/>
  <c r="F43" i="33" s="1"/>
  <c r="F89" i="42"/>
  <c r="F91" i="42" s="1"/>
  <c r="F93" i="42" s="1"/>
  <c r="E73" i="33"/>
  <c r="F73" i="33"/>
  <c r="E49" i="33"/>
  <c r="E51" i="33" s="1"/>
  <c r="E53" i="33" s="1"/>
  <c r="G68" i="33"/>
  <c r="G71" i="33" s="1"/>
  <c r="G50" i="33" s="1"/>
  <c r="F50" i="33"/>
  <c r="G77" i="42"/>
  <c r="G84" i="42" s="1"/>
  <c r="G93" i="42" s="1"/>
  <c r="G69" i="42"/>
  <c r="G70" i="42" s="1"/>
  <c r="G89" i="42" s="1"/>
  <c r="G91" i="42" s="1"/>
  <c r="G33" i="42"/>
  <c r="G11" i="38"/>
  <c r="F49" i="33" l="1"/>
  <c r="F51" i="33" s="1"/>
  <c r="F53" i="33" s="1"/>
  <c r="G45" i="33"/>
  <c r="G49" i="33" s="1"/>
  <c r="G51" i="33" s="1"/>
  <c r="G36" i="33"/>
  <c r="G43" i="33" s="1"/>
  <c r="G53" i="33" s="1"/>
  <c r="G73" i="33" l="1"/>
  <c r="E28" i="42"/>
  <c r="E29" i="42"/>
  <c r="E30" i="42" s="1"/>
  <c r="E11" i="38" l="1"/>
  <c r="E31" i="42"/>
  <c r="E33" i="42" l="1"/>
  <c r="E69" i="42"/>
  <c r="E77" i="42"/>
  <c r="E84" i="42" s="1"/>
  <c r="F11" i="38"/>
  <c r="E70" i="42" l="1"/>
  <c r="E71" i="42" s="1"/>
  <c r="E50" i="42" l="1"/>
  <c r="F68" i="42"/>
  <c r="F71" i="42" s="1"/>
  <c r="E89" i="42"/>
  <c r="E91" i="42" s="1"/>
  <c r="E93" i="42" s="1"/>
  <c r="E94" i="42" s="1"/>
  <c r="E21" i="38"/>
  <c r="G21" i="38" l="1"/>
  <c r="F21" i="38"/>
  <c r="F50" i="42"/>
  <c r="G68" i="42"/>
  <c r="G71" i="42" s="1"/>
  <c r="G50" i="42" s="1"/>
  <c r="E36" i="42"/>
  <c r="E45" i="42"/>
  <c r="F94" i="42"/>
  <c r="E43" i="42" l="1"/>
  <c r="F45" i="42"/>
  <c r="G94" i="42"/>
  <c r="F36" i="42"/>
  <c r="E49" i="42"/>
  <c r="E51" i="42" s="1"/>
  <c r="F73" i="42"/>
  <c r="E73" i="42"/>
  <c r="F43" i="42" l="1"/>
  <c r="G36" i="42"/>
  <c r="G45" i="42"/>
  <c r="F49" i="42"/>
  <c r="F51" i="42" s="1"/>
  <c r="G73" i="42"/>
  <c r="E53" i="42"/>
  <c r="G49" i="42" l="1"/>
  <c r="G51" i="42" s="1"/>
  <c r="G43" i="42"/>
  <c r="G53" i="42" s="1"/>
  <c r="F53" i="42"/>
</calcChain>
</file>

<file path=xl/sharedStrings.xml><?xml version="1.0" encoding="utf-8"?>
<sst xmlns="http://schemas.openxmlformats.org/spreadsheetml/2006/main" count="395" uniqueCount="178">
  <si>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</si>
  <si>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</si>
  <si>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</si>
  <si>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</si>
  <si>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</si>
  <si>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</si>
  <si>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</si>
  <si>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</si>
  <si>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</si>
  <si>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</si>
  <si>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</si>
  <si>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</si>
  <si>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</si>
  <si>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</si>
  <si>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</si>
  <si>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</si>
  <si>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</si>
  <si>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Sales</t>
  </si>
  <si>
    <t>Equity</t>
  </si>
  <si>
    <t>EBIT</t>
  </si>
  <si>
    <t>Check</t>
  </si>
  <si>
    <t>Capex</t>
  </si>
  <si>
    <t>Cash</t>
  </si>
  <si>
    <t>Operating cash flow</t>
  </si>
  <si>
    <t>Total assets</t>
  </si>
  <si>
    <t>Net income</t>
  </si>
  <si>
    <t>EBIT margin</t>
  </si>
  <si>
    <t>Total liabilities</t>
  </si>
  <si>
    <t>Investing cash flow</t>
  </si>
  <si>
    <t>Dividends</t>
  </si>
  <si>
    <t>Financing cash flow</t>
  </si>
  <si>
    <t>Net cash flow</t>
  </si>
  <si>
    <t>Amortization</t>
  </si>
  <si>
    <t>Goodwill</t>
  </si>
  <si>
    <t>Interest expense</t>
  </si>
  <si>
    <t>Year 0</t>
  </si>
  <si>
    <t>Year 1</t>
  </si>
  <si>
    <t>Year 2</t>
  </si>
  <si>
    <t>Sales growth</t>
  </si>
  <si>
    <t>Tax rate</t>
  </si>
  <si>
    <t>Interest rate on all debt</t>
  </si>
  <si>
    <t>Depreciation as % of capex</t>
  </si>
  <si>
    <t>Dividend payout ratio</t>
  </si>
  <si>
    <t>Pre tax income</t>
  </si>
  <si>
    <t>Tax</t>
  </si>
  <si>
    <t>Intangibles</t>
  </si>
  <si>
    <t>Financial investments</t>
  </si>
  <si>
    <t>PP&amp;E</t>
  </si>
  <si>
    <t>Ending</t>
  </si>
  <si>
    <t>Change in operating current assets</t>
  </si>
  <si>
    <t>Change in operating current liabilities</t>
  </si>
  <si>
    <t>Change in long term operating liabilities</t>
  </si>
  <si>
    <t>Target</t>
  </si>
  <si>
    <t>Valuation</t>
  </si>
  <si>
    <t>Acquirer</t>
  </si>
  <si>
    <t>Debt</t>
  </si>
  <si>
    <t>Fees</t>
  </si>
  <si>
    <t>Synergies achieved</t>
  </si>
  <si>
    <t>Restructuring costs</t>
  </si>
  <si>
    <t>Tax rate NewCo</t>
  </si>
  <si>
    <t>Deal Terms</t>
  </si>
  <si>
    <t>Opening BS</t>
  </si>
  <si>
    <t>Proforma Financials</t>
  </si>
  <si>
    <t>M&amp;A Modeling</t>
  </si>
  <si>
    <t>Opening Balance Sheet</t>
  </si>
  <si>
    <t>End</t>
  </si>
  <si>
    <t>Assumptions</t>
  </si>
  <si>
    <t>Sources and Uses of Funds</t>
  </si>
  <si>
    <t>Income Statement</t>
  </si>
  <si>
    <t>Balance Sheet</t>
  </si>
  <si>
    <t>Calculations</t>
  </si>
  <si>
    <t>Cash Flow Statement</t>
  </si>
  <si>
    <t>Total sources of funds</t>
  </si>
  <si>
    <t>Total uses of funds</t>
  </si>
  <si>
    <t>% equity financing</t>
  </si>
  <si>
    <t>Book value of target equity</t>
  </si>
  <si>
    <t>Cost synergies % of LTM sales</t>
  </si>
  <si>
    <t>Capex / sales</t>
  </si>
  <si>
    <t xml:space="preserve">Debt issuance / (repayment) </t>
  </si>
  <si>
    <t>Short term debt</t>
  </si>
  <si>
    <t>Long term debt</t>
  </si>
  <si>
    <t>Long term operating liabilities</t>
  </si>
  <si>
    <t>Beginning</t>
  </si>
  <si>
    <t>Add capex</t>
  </si>
  <si>
    <t>Subtract depreciation</t>
  </si>
  <si>
    <t>Add net income</t>
  </si>
  <si>
    <t>Subtract dividends</t>
  </si>
  <si>
    <t>Interest expense on short term debt</t>
  </si>
  <si>
    <t>Interest expense on long term debt</t>
  </si>
  <si>
    <t>Operating long term liabilities / sales</t>
  </si>
  <si>
    <t>Ending cash net of short term debt</t>
  </si>
  <si>
    <t>Total liabilities and equity</t>
  </si>
  <si>
    <t>Foreign currency</t>
  </si>
  <si>
    <t>Target Financials (Acquirer FX)</t>
  </si>
  <si>
    <t>Euro</t>
  </si>
  <si>
    <t>Target (Acqr FX)</t>
  </si>
  <si>
    <t>All figures in Euro millions unless specified</t>
  </si>
  <si>
    <t>Depreciation</t>
  </si>
  <si>
    <t>Ratios</t>
  </si>
  <si>
    <t xml:space="preserve">Long term debt issuance / (repayment) </t>
  </si>
  <si>
    <t>EUR</t>
  </si>
  <si>
    <t>Foreign exchange (gain) / loss</t>
  </si>
  <si>
    <t>Foreign exchange gain / (loss) on debt</t>
  </si>
  <si>
    <t>Proforma net income</t>
  </si>
  <si>
    <t>Proforma shares outstanding</t>
  </si>
  <si>
    <t>Acquirer share price</t>
  </si>
  <si>
    <t>Acquirer shares outstanding</t>
  </si>
  <si>
    <t>New shares issued</t>
  </si>
  <si>
    <t>Share issuance and ownership dilution</t>
  </si>
  <si>
    <t>Proforma EPS</t>
  </si>
  <si>
    <t>Acquirer EPS</t>
  </si>
  <si>
    <t>Shares outstanding</t>
  </si>
  <si>
    <t>EPS</t>
  </si>
  <si>
    <t>EPS accretion / (dilution)</t>
  </si>
  <si>
    <t>Beginning acquisition debt in EUR</t>
  </si>
  <si>
    <t>Ending acquisition debt in EUR</t>
  </si>
  <si>
    <t>Synergies run rate</t>
  </si>
  <si>
    <t>Issuance / (repayment) in EUR</t>
  </si>
  <si>
    <t>Issuance / (repayment) of long term debt</t>
  </si>
  <si>
    <t>+ Depreciation</t>
  </si>
  <si>
    <t>+ Amortization</t>
  </si>
  <si>
    <t>+ Foreign exchange (gain) / loss on debt</t>
  </si>
  <si>
    <t>Acquirer and target combined</t>
  </si>
  <si>
    <t>LVMH and Burberry</t>
  </si>
  <si>
    <t>Burberry share price (GBP)</t>
  </si>
  <si>
    <t>Control premium</t>
  </si>
  <si>
    <t>Diluted shares outstanding</t>
  </si>
  <si>
    <t>Deal analysis as at 31 / 12 / 2024</t>
  </si>
  <si>
    <t>Non-recurring expenses</t>
  </si>
  <si>
    <t>Other intangibles</t>
  </si>
  <si>
    <t>LVMH (Acquirer) Financials</t>
  </si>
  <si>
    <t xml:space="preserve">Amortization % beginning other intangibles  </t>
  </si>
  <si>
    <t>Other intangible assets</t>
  </si>
  <si>
    <t xml:space="preserve">Beginning </t>
  </si>
  <si>
    <t>Subtract amortization</t>
  </si>
  <si>
    <t>Operating current assets</t>
  </si>
  <si>
    <t>Operating current liabilities</t>
  </si>
  <si>
    <t>Operating current assets / sales</t>
  </si>
  <si>
    <t>Operating current liabilities / sales</t>
  </si>
  <si>
    <t>Operating non current assets / sales</t>
  </si>
  <si>
    <t>Other non current operating assets</t>
  </si>
  <si>
    <t>Other non current operating assets / sales</t>
  </si>
  <si>
    <t>Change in other non current operating assets</t>
  </si>
  <si>
    <t>From Factset</t>
  </si>
  <si>
    <t>Burberry (Target) Financials (Local FX)</t>
  </si>
  <si>
    <t>GBP</t>
  </si>
  <si>
    <t>Operating non-current assets</t>
  </si>
  <si>
    <t>Operating long term liabilities</t>
  </si>
  <si>
    <t>Change in operating long term liabilities</t>
  </si>
  <si>
    <t>Change in operating non- current assets</t>
  </si>
  <si>
    <t>Intangible assets</t>
  </si>
  <si>
    <t xml:space="preserve">Amortization % beginning intangibles  </t>
  </si>
  <si>
    <t>From FactSet</t>
  </si>
  <si>
    <t>Spot exchange rate (1 GBP/ X EUR)</t>
  </si>
  <si>
    <t>Net debt (EUR m)</t>
  </si>
  <si>
    <t>Implied enterprise value (EUR m)</t>
  </si>
  <si>
    <t>GBP debt issuance / (repayment)</t>
  </si>
  <si>
    <t>Beginning acquisition debt in GBP</t>
  </si>
  <si>
    <t>Issuance / (repayment) in GBP</t>
  </si>
  <si>
    <t>Ending acquisition debt in GBP</t>
  </si>
  <si>
    <t>Forward exchange rate (1 GBP / X EUR)</t>
  </si>
  <si>
    <t>Debt ratings</t>
  </si>
  <si>
    <t>Proforma EBITDA</t>
  </si>
  <si>
    <t>Calendarization</t>
  </si>
  <si>
    <t>Change in operating non-current assets</t>
  </si>
  <si>
    <t>Adjusted EBIT</t>
  </si>
  <si>
    <t>Offer price (GBP)</t>
  </si>
  <si>
    <t>Equity purchase price (GBP m)</t>
  </si>
  <si>
    <t>Equity purchase price (EUR m)</t>
  </si>
  <si>
    <t>Refinance net debt (EUR m)</t>
  </si>
  <si>
    <t>Debt issuance</t>
  </si>
  <si>
    <t>Equity issuance</t>
  </si>
  <si>
    <t>Deal goodwill</t>
  </si>
  <si>
    <t>Proforma total debt</t>
  </si>
  <si>
    <t>Proforma total debt / EBITDA</t>
  </si>
  <si>
    <t>Standalone total debt/EBITDA</t>
  </si>
  <si>
    <t xml:space="preserve"> </t>
  </si>
  <si>
    <t>Acquirer issues foreign currency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</si>
</sst>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;\(0.00%\)"/>
    <numFmt numFmtId="176" formatCode="0.0%_);\(0.0%\);0.0%_);@_)"/>
    <numFmt numFmtId="177" formatCode="#,##0.00_);\(#,##0.00\);0.00_);@_)"/>
    <numFmt numFmtId="178" formatCode="#,##0.0000_);\(#,##0.0000\);0.0000_);@_)"/>
    <numFmt numFmtId="179" formatCode="#,##0.00000_);\(#,##0.00000\);0.00000_);@_)"/>
  </numFmts>
  <fonts count="39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indexed="12"/>
      <name val="Arial"/>
      <family val="2"/>
    </font>
    <font>
      <b/>
      <sz val="11"/>
      <color theme="1" tint="0.2499465926084170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7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0" fontId="34" fillId="0" borderId="0" applyNumberFormat="0" applyFill="0" applyBorder="0" applyAlignment="0" applyProtection="0"/>
    <xf numFmtId="175" fontId="36" fillId="0" borderId="0" applyNumberFormat="0" applyFill="0" applyBorder="0" applyAlignment="0" applyProtection="0"/>
  </cellStyleXfs>
  <cellXfs count="97">
    <xf numFmtId="174" fontId="0" fillId="0" borderId="0" xfId="0"/>
    <xf numFmtId="174" fontId="4" fillId="0" borderId="0" xfId="50" applyNumberFormat="1">
      <alignment horizontal="left" vertical="center"/>
    </xf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4" fontId="22" fillId="0" borderId="0" xfId="0" applyFont="1" applyAlignment="1">
      <alignment vertical="center"/>
    </xf>
    <xf numFmtId="174" fontId="35" fillId="0" borderId="0" xfId="0" applyFont="1"/>
    <xf numFmtId="174" fontId="29" fillId="0" borderId="0" xfId="0" applyFont="1"/>
    <xf numFmtId="172" fontId="30" fillId="37" borderId="11" xfId="56" applyFont="1" applyFill="1" applyBorder="1" applyProtection="1">
      <protection locked="0"/>
    </xf>
    <xf numFmtId="174" fontId="30" fillId="37" borderId="11" xfId="60" applyNumberFormat="1">
      <protection locked="0"/>
    </xf>
    <xf numFmtId="174" fontId="29" fillId="0" borderId="0" xfId="0" applyFont="1" applyAlignment="1">
      <alignment horizontal="center"/>
    </xf>
    <xf numFmtId="172" fontId="29" fillId="0" borderId="0" xfId="56" applyFont="1" applyFill="1"/>
    <xf numFmtId="176" fontId="30" fillId="37" borderId="11" xfId="60" applyNumberFormat="1">
      <protection locked="0"/>
    </xf>
    <xf numFmtId="174" fontId="29" fillId="0" borderId="0" xfId="57" applyNumberFormat="1" applyFont="1" applyFill="1"/>
    <xf numFmtId="174" fontId="37" fillId="0" borderId="0" xfId="0" applyFont="1"/>
    <xf numFmtId="177" fontId="30" fillId="37" borderId="11" xfId="60" applyNumberFormat="1">
      <protection locked="0"/>
    </xf>
    <xf numFmtId="172" fontId="29" fillId="0" borderId="0" xfId="56" applyFont="1" applyFill="1" applyBorder="1"/>
    <xf numFmtId="172" fontId="0" fillId="0" borderId="0" xfId="56" applyFont="1" applyFill="1"/>
    <xf numFmtId="177" fontId="0" fillId="0" borderId="0" xfId="0" applyNumberFormat="1"/>
    <xf numFmtId="177" fontId="29" fillId="0" borderId="0" xfId="0" applyNumberFormat="1" applyFont="1"/>
    <xf numFmtId="171" fontId="0" fillId="0" borderId="0" xfId="55" applyFont="1"/>
    <xf numFmtId="174" fontId="0" fillId="0" borderId="0" xfId="0" quotePrefix="1"/>
    <xf numFmtId="174" fontId="0" fillId="0" borderId="0" xfId="0" applyAlignment="1">
      <alignment horizontal="right"/>
    </xf>
    <xf numFmtId="168" fontId="29" fillId="0" borderId="0" xfId="54" applyFont="1" applyAlignment="1">
      <alignment horizontal="center"/>
    </xf>
    <xf numFmtId="170" fontId="4" fillId="0" borderId="0" xfId="50" applyNumberFormat="1" applyBorder="1">
      <alignment horizontal="left" vertical="center"/>
    </xf>
    <xf numFmtId="174" fontId="38" fillId="0" borderId="0" xfId="0" applyFont="1"/>
    <xf numFmtId="178" fontId="0" fillId="0" borderId="0" xfId="0" applyNumberFormat="1"/>
    <xf numFmtId="179" fontId="0" fillId="0" borderId="0" xfId="0" applyNumberFormat="1"/>
    <xf numFmtId="168" fontId="0" fillId="0" borderId="0" xfId="54" applyFont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9" fillId="5" borderId="0" xfId="51" applyNumberFormat="1" applyFont="1" applyAlignment="1">
      <alignment horizontal="left"/>
    </xf>
    <xf numFmtId="168" fontId="29" fillId="5" borderId="0" xfId="51" applyNumberFormat="1" applyFont="1" applyAlignment="1">
      <alignment horizontal="left"/>
    </xf>
    <xf numFmtId="0" fontId="29" fillId="5" borderId="0" xfId="51" applyNumberFormat="1" applyFont="1" applyAlignment="1">
      <alignment horizontal="left"/>
    </xf>
  </cellXfs>
  <cellStyles count="67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Blue" xfId="66" xr:uid="{BC91D148-26E0-4633-A1B5-7457313F9886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Hyperlink" xfId="65" builtinId="8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rmal 2" xfId="64" xr:uid="{00000000-0005-0000-0000-000042000000}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163260"/>
      <color rgb="FF085393"/>
      <color rgb="FFBBDEFB"/>
      <color rgb="FFF0F8FE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2057399</xdr:colOff>
      <xdr:row>0</xdr:row>
      <xdr:rowOff>123826</xdr:rowOff>
    </xdr:from>
    <xdr:to>
      <xdr:col>16</xdr:col>
      <xdr:colOff>165658</xdr:colOff>
      <xdr:row>0</xdr:row>
      <xdr:rowOff>467679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6337" y="123826"/>
          <a:ext cx="432359" cy="3438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customWidth="1"/>
    <col min="2" max="13" width="9.28515625" customWidth="1"/>
    <col min="14" max="14" width="9.85546875" customWidth="1"/>
    <col min="15" max="26" width="9.140625" customWidth="1"/>
  </cols>
  <sheetData>
    <row r="1" spans="1:14" s="34" customFormat="1" ht="189.75" customHeight="1" x14ac:dyDescent="0.4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22" customFormat="1" ht="75" customHeight="1" x14ac:dyDescent="0.25">
      <c r="A2" s="88" t="s">
        <v>63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7"/>
      <c r="B4" s="38"/>
      <c r="C4" s="87"/>
      <c r="D4" s="8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25">
      <c r="A5" s="89" t="s">
        <v>10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23" customFormat="1" ht="1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s="23" customFormat="1" ht="15" customHeight="1" x14ac:dyDescent="0.25">
      <c r="A7" s="89" t="str">
        <f ca="1">"© "&amp;YEAR(TODAY())&amp;" Financial Edge Training"</f>
        <v>© 2025 Financial Edge Training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s="23" customFormat="1" ht="15" customHeight="1" thickBot="1" x14ac:dyDescent="0.3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25">
      <c r="F9" s="28"/>
      <c r="G9" s="90"/>
      <c r="H9" s="90"/>
      <c r="I9" s="90"/>
      <c r="J9" s="90"/>
      <c r="K9" s="28"/>
    </row>
    <row r="10" spans="1:14" s="23" customFormat="1" ht="15" customHeight="1" x14ac:dyDescent="0.25">
      <c r="B10" s="24"/>
      <c r="C10" s="24"/>
      <c r="F10" s="28"/>
      <c r="G10" s="90"/>
      <c r="H10" s="90"/>
      <c r="I10" s="90"/>
      <c r="J10" s="90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86"/>
      <c r="H12" s="86"/>
      <c r="I12" s="86"/>
      <c r="J12" s="86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86"/>
      <c r="H13" s="86"/>
      <c r="I13" s="86"/>
      <c r="J13" s="86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86"/>
      <c r="H14" s="86"/>
      <c r="I14" s="86"/>
      <c r="J14" s="86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86"/>
      <c r="H16" s="86"/>
      <c r="I16" s="86"/>
      <c r="J16" s="86"/>
      <c r="K16" s="25"/>
    </row>
    <row r="17" spans="1:11" s="23" customFormat="1" ht="15" customHeight="1" x14ac:dyDescent="0.2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2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scale="66" orientation="portrait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570312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5703125" bestFit="1" customWidth="1"/>
  </cols>
  <sheetData>
    <row r="1" spans="1:18" s="34" customFormat="1" ht="45" customHeight="1" x14ac:dyDescent="0.45">
      <c r="A1" s="14" t="s">
        <v>176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</row>
    <row r="2" spans="1:18" s="35" customFormat="1" ht="30" customHeight="1" x14ac:dyDescent="0.3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8"/>
      <c r="K2" s="8"/>
      <c r="L2" s="8"/>
      <c r="M2" s="8"/>
      <c r="N2" s="8"/>
      <c r="O2" s="8"/>
      <c r="P2" s="8"/>
      <c r="Q2" s="8"/>
      <c r="R2" s="8"/>
    </row>
    <row r="3" spans="1:18" s="3" customFormat="1" ht="7.5" customHeight="1" x14ac:dyDescent="0.25"/>
    <row r="4" spans="1:18" s="3" customFormat="1" ht="22.5" customHeight="1" x14ac:dyDescent="0.25">
      <c r="A4" s="2"/>
      <c r="B4" s="92" t="s">
        <v>0</v>
      </c>
      <c r="C4" s="92"/>
      <c r="D4" s="92"/>
      <c r="E4" s="92"/>
      <c r="F4" s="92"/>
      <c r="G4" s="92"/>
      <c r="H4" s="92"/>
      <c r="I4" s="92"/>
      <c r="K4" s="2"/>
      <c r="L4" s="92" t="s">
        <v>1</v>
      </c>
      <c r="M4" s="92"/>
      <c r="N4" s="92"/>
      <c r="O4" s="92"/>
      <c r="P4" s="92"/>
      <c r="Q4" s="40"/>
      <c r="R4" s="40"/>
    </row>
    <row r="5" spans="1:18" s="3" customFormat="1" ht="15" customHeight="1" x14ac:dyDescent="0.25">
      <c r="A5" s="17"/>
      <c r="B5" s="9"/>
      <c r="C5" s="55" t="s">
        <v>122</v>
      </c>
      <c r="D5" s="18"/>
      <c r="E5" s="18"/>
      <c r="F5" s="18"/>
      <c r="G5" s="18"/>
      <c r="H5" s="18"/>
      <c r="I5" s="18"/>
      <c r="K5" s="2"/>
      <c r="L5" s="10" t="s">
        <v>2</v>
      </c>
      <c r="M5" s="10"/>
      <c r="N5" s="94" t="s">
        <v>123</v>
      </c>
      <c r="O5" s="94"/>
      <c r="P5" s="94"/>
      <c r="Q5" s="94"/>
      <c r="R5" s="40"/>
    </row>
    <row r="6" spans="1:18" s="3" customFormat="1" ht="15" customHeight="1" x14ac:dyDescent="0.25">
      <c r="A6" s="4"/>
      <c r="B6" s="9"/>
      <c r="C6" s="55" t="s">
        <v>127</v>
      </c>
      <c r="D6" s="18"/>
      <c r="E6" s="18"/>
      <c r="F6" s="18"/>
      <c r="G6" s="18"/>
      <c r="H6" s="18"/>
      <c r="I6" s="18"/>
      <c r="K6" s="17"/>
      <c r="L6" s="10" t="s">
        <v>3</v>
      </c>
      <c r="M6" s="10"/>
      <c r="N6" s="95">
        <v>45657</v>
      </c>
      <c r="O6" s="95"/>
      <c r="P6" s="95"/>
      <c r="Q6" s="95"/>
      <c r="R6" s="40"/>
    </row>
    <row r="7" spans="1:18" s="3" customFormat="1" ht="15" customHeight="1" x14ac:dyDescent="0.25">
      <c r="A7" s="18"/>
      <c r="B7" s="9"/>
      <c r="C7" s="55" t="s">
        <v>177</v>
      </c>
      <c r="D7" s="18"/>
      <c r="E7" s="18"/>
      <c r="F7" s="18"/>
      <c r="G7" s="18"/>
      <c r="H7" s="18"/>
      <c r="I7" s="18"/>
      <c r="K7" s="4"/>
      <c r="L7" s="10" t="s">
        <v>4</v>
      </c>
      <c r="M7" s="10"/>
      <c r="N7" s="94" t="s">
        <v>100</v>
      </c>
      <c r="O7" s="94"/>
      <c r="P7" s="94"/>
      <c r="Q7" s="94"/>
      <c r="R7" s="40"/>
    </row>
    <row r="8" spans="1:18" s="3" customFormat="1" ht="15" customHeight="1" x14ac:dyDescent="0.25">
      <c r="A8" s="18"/>
      <c r="B8" s="9"/>
      <c r="C8" s="55"/>
      <c r="D8" s="18"/>
      <c r="E8" s="18"/>
      <c r="F8" s="18"/>
      <c r="G8" s="18"/>
      <c r="H8" s="18"/>
      <c r="I8" s="18"/>
      <c r="K8" s="18"/>
      <c r="L8" s="10" t="s">
        <v>5</v>
      </c>
      <c r="M8" s="10"/>
      <c r="N8" s="94" t="s">
        <v>8</v>
      </c>
      <c r="O8" s="94"/>
      <c r="P8" s="94"/>
      <c r="Q8" s="94"/>
      <c r="R8" s="40"/>
    </row>
    <row r="9" spans="1:18" s="3" customFormat="1" ht="15" customHeight="1" x14ac:dyDescent="0.25">
      <c r="A9" s="41"/>
      <c r="B9" s="38"/>
      <c r="C9" s="41"/>
      <c r="D9" s="41"/>
      <c r="E9" s="41"/>
      <c r="F9" s="41"/>
      <c r="G9" s="41"/>
      <c r="H9" s="41"/>
      <c r="I9" s="41"/>
      <c r="K9" s="18"/>
      <c r="L9" s="10" t="s">
        <v>6</v>
      </c>
      <c r="M9" s="10"/>
      <c r="N9" s="94" t="s">
        <v>9</v>
      </c>
      <c r="O9" s="94"/>
      <c r="P9" s="94"/>
      <c r="Q9" s="94"/>
      <c r="R9" s="40"/>
    </row>
    <row r="10" spans="1:18" s="3" customFormat="1" ht="1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10" t="s">
        <v>7</v>
      </c>
      <c r="M10" s="10"/>
      <c r="N10" s="96">
        <v>0</v>
      </c>
      <c r="O10" s="96"/>
      <c r="P10" s="96"/>
      <c r="Q10" s="96"/>
      <c r="R10" s="47"/>
    </row>
    <row r="11" spans="1:18" s="3" customFormat="1" ht="15" customHeight="1" thickBot="1" x14ac:dyDescent="0.3">
      <c r="A11" s="44"/>
      <c r="B11" s="44"/>
      <c r="C11" s="44"/>
      <c r="D11" s="44"/>
      <c r="E11" s="44"/>
      <c r="F11" s="44"/>
      <c r="G11" s="44"/>
      <c r="H11" s="44"/>
      <c r="I11" s="44"/>
      <c r="K11" s="5"/>
      <c r="L11" s="59"/>
      <c r="M11" s="59"/>
      <c r="N11" s="48"/>
      <c r="O11" s="49"/>
      <c r="P11" s="49"/>
      <c r="Q11" s="50"/>
      <c r="R11" s="51"/>
    </row>
    <row r="12" spans="1:18" s="3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3" customFormat="1" ht="22.5" customHeight="1" x14ac:dyDescent="0.25">
      <c r="A13" s="55"/>
      <c r="B13" s="93" t="s">
        <v>16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N13" s="2"/>
      <c r="O13" s="92" t="s">
        <v>11</v>
      </c>
      <c r="P13" s="92"/>
      <c r="Q13" s="92"/>
      <c r="R13" s="58"/>
    </row>
    <row r="14" spans="1:18" s="3" customFormat="1" ht="15" customHeight="1" x14ac:dyDescent="0.25">
      <c r="A14" s="56"/>
      <c r="B14" s="91" t="s">
        <v>60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N14" s="17"/>
      <c r="O14" s="27"/>
      <c r="P14" s="22"/>
      <c r="Q14" s="22"/>
      <c r="R14" s="56"/>
    </row>
    <row r="15" spans="1:18" s="3" customFormat="1" ht="15" customHeight="1" x14ac:dyDescent="0.25">
      <c r="A15" s="56"/>
      <c r="B15" s="91" t="s">
        <v>54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N15" s="4"/>
      <c r="O15" s="27"/>
      <c r="P15" s="52" t="s">
        <v>12</v>
      </c>
      <c r="Q15" s="22"/>
      <c r="R15" s="56"/>
    </row>
    <row r="16" spans="1:18" s="3" customFormat="1" ht="15" customHeight="1" x14ac:dyDescent="0.25">
      <c r="A16" s="56"/>
      <c r="B16" s="91" t="s">
        <v>52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N16" s="18"/>
      <c r="O16" s="27"/>
      <c r="P16" s="36" t="s">
        <v>13</v>
      </c>
      <c r="Q16" s="22"/>
      <c r="R16" s="56"/>
    </row>
    <row r="17" spans="1:18" s="3" customFormat="1" ht="15" customHeight="1" x14ac:dyDescent="0.25">
      <c r="A17" s="56"/>
      <c r="B17" s="91" t="s">
        <v>61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N17" s="18"/>
      <c r="O17" s="27"/>
      <c r="P17" t="s">
        <v>14</v>
      </c>
      <c r="Q17" s="22"/>
      <c r="R17" s="56"/>
    </row>
    <row r="18" spans="1:18" s="3" customFormat="1" ht="15" customHeight="1" x14ac:dyDescent="0.25">
      <c r="A18" s="39"/>
      <c r="B18" s="91" t="s">
        <v>62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N18" s="39"/>
      <c r="O18" s="53"/>
      <c r="P18" s="53"/>
      <c r="Q18" s="53"/>
      <c r="R18" s="39"/>
    </row>
    <row r="19" spans="1:18" ht="15.75" thickBot="1" x14ac:dyDescent="0.3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25">
      <c r="Q20" s="54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ageMargins left="0.7" right="0.7" top="0.75" bottom="0.75" header="0.3" footer="0.3"/>
  <pageSetup paperSize="9" scale="66" orientation="portrait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99CA-5EC0-42BB-BB0F-0222F6ECD9A4}">
  <sheetPr>
    <pageSetUpPr fitToPage="1"/>
  </sheetPr>
  <dimension ref="A1:L33"/>
  <sheetViews>
    <sheetView zoomScaleNormal="100" workbookViewId="0"/>
  </sheetViews>
  <sheetFormatPr defaultRowHeight="15.75" x14ac:dyDescent="0.25"/>
  <cols>
    <col min="1" max="1" width="2.140625" style="1" customWidth="1"/>
    <col min="2" max="2" width="33.140625" customWidth="1"/>
    <col min="3" max="3" width="11.140625" customWidth="1"/>
    <col min="4" max="4" width="14.42578125" customWidth="1"/>
    <col min="5" max="10" width="11.140625" customWidth="1"/>
  </cols>
  <sheetData>
    <row r="1" spans="1:12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35">
      <c r="A2" s="15" t="s">
        <v>60</v>
      </c>
      <c r="B2" s="8"/>
      <c r="C2" s="12" t="s">
        <v>35</v>
      </c>
      <c r="D2" s="12"/>
      <c r="E2" s="12"/>
      <c r="F2" s="12"/>
      <c r="G2" s="12"/>
      <c r="H2" s="12"/>
      <c r="I2" s="12"/>
      <c r="J2" s="12"/>
      <c r="L2" s="62"/>
    </row>
    <row r="3" spans="1:12" ht="15" customHeight="1" x14ac:dyDescent="0.25"/>
    <row r="4" spans="1:12" ht="15" customHeight="1" x14ac:dyDescent="0.25">
      <c r="A4" t="s">
        <v>96</v>
      </c>
    </row>
    <row r="5" spans="1:12" ht="15" customHeight="1" x14ac:dyDescent="0.25"/>
    <row r="6" spans="1:12" ht="15" customHeight="1" x14ac:dyDescent="0.25">
      <c r="A6" s="1" t="s">
        <v>92</v>
      </c>
      <c r="C6" s="66"/>
    </row>
    <row r="7" spans="1:12" ht="15" customHeight="1" x14ac:dyDescent="0.25">
      <c r="B7" t="s">
        <v>153</v>
      </c>
      <c r="C7" s="71">
        <v>1.2058</v>
      </c>
      <c r="E7" s="81"/>
    </row>
    <row r="8" spans="1:12" ht="15" customHeight="1" x14ac:dyDescent="0.25"/>
    <row r="9" spans="1:12" x14ac:dyDescent="0.25">
      <c r="A9" s="16" t="s">
        <v>53</v>
      </c>
    </row>
    <row r="10" spans="1:12" x14ac:dyDescent="0.25">
      <c r="A10" s="16"/>
      <c r="B10" t="s">
        <v>124</v>
      </c>
      <c r="C10" s="71">
        <v>9.8000000000000007</v>
      </c>
      <c r="E10" s="81"/>
    </row>
    <row r="11" spans="1:12" x14ac:dyDescent="0.25">
      <c r="A11" s="16"/>
      <c r="B11" t="s">
        <v>125</v>
      </c>
      <c r="C11" s="64">
        <v>0.3</v>
      </c>
    </row>
    <row r="12" spans="1:12" x14ac:dyDescent="0.25">
      <c r="A12" s="16"/>
      <c r="B12" t="s">
        <v>166</v>
      </c>
      <c r="C12" s="74"/>
    </row>
    <row r="13" spans="1:12" x14ac:dyDescent="0.25">
      <c r="A13" s="16"/>
      <c r="B13" t="s">
        <v>126</v>
      </c>
      <c r="C13" s="65">
        <v>358.4</v>
      </c>
    </row>
    <row r="14" spans="1:12" x14ac:dyDescent="0.25">
      <c r="A14" s="16"/>
      <c r="B14" t="s">
        <v>167</v>
      </c>
      <c r="C14" s="74"/>
    </row>
    <row r="15" spans="1:12" x14ac:dyDescent="0.25">
      <c r="A15" s="16"/>
      <c r="C15" s="74"/>
    </row>
    <row r="16" spans="1:12" x14ac:dyDescent="0.25">
      <c r="A16" s="16"/>
      <c r="B16" t="s">
        <v>168</v>
      </c>
      <c r="C16" s="74"/>
    </row>
    <row r="17" spans="1:8" x14ac:dyDescent="0.25">
      <c r="A17" s="16"/>
      <c r="B17" t="s">
        <v>154</v>
      </c>
    </row>
    <row r="18" spans="1:8" x14ac:dyDescent="0.25">
      <c r="A18" s="16"/>
      <c r="B18" t="s">
        <v>155</v>
      </c>
    </row>
    <row r="20" spans="1:8" x14ac:dyDescent="0.25">
      <c r="A20" s="16" t="s">
        <v>67</v>
      </c>
    </row>
    <row r="21" spans="1:8" x14ac:dyDescent="0.25">
      <c r="A21" s="16"/>
      <c r="B21" t="s">
        <v>74</v>
      </c>
      <c r="C21" s="68">
        <v>0.5</v>
      </c>
    </row>
    <row r="22" spans="1:8" x14ac:dyDescent="0.25">
      <c r="A22" s="16"/>
    </row>
    <row r="23" spans="1:8" x14ac:dyDescent="0.25">
      <c r="B23" t="s">
        <v>168</v>
      </c>
      <c r="F23" t="s">
        <v>22</v>
      </c>
      <c r="H23" s="65">
        <v>500</v>
      </c>
    </row>
    <row r="24" spans="1:8" x14ac:dyDescent="0.25">
      <c r="B24" t="s">
        <v>169</v>
      </c>
      <c r="F24" t="s">
        <v>170</v>
      </c>
    </row>
    <row r="25" spans="1:8" x14ac:dyDescent="0.25">
      <c r="B25" t="s">
        <v>56</v>
      </c>
      <c r="C25" s="65">
        <v>100</v>
      </c>
      <c r="F25" t="s">
        <v>171</v>
      </c>
    </row>
    <row r="26" spans="1:8" x14ac:dyDescent="0.25">
      <c r="B26" t="s">
        <v>73</v>
      </c>
      <c r="F26" t="s">
        <v>72</v>
      </c>
    </row>
    <row r="28" spans="1:8" x14ac:dyDescent="0.25">
      <c r="A28" s="16" t="s">
        <v>33</v>
      </c>
    </row>
    <row r="29" spans="1:8" x14ac:dyDescent="0.25">
      <c r="B29" t="s">
        <v>168</v>
      </c>
    </row>
    <row r="30" spans="1:8" x14ac:dyDescent="0.25">
      <c r="B30" t="s">
        <v>75</v>
      </c>
    </row>
    <row r="31" spans="1:8" x14ac:dyDescent="0.25">
      <c r="B31" t="s">
        <v>172</v>
      </c>
    </row>
    <row r="33" spans="1:1" x14ac:dyDescent="0.25">
      <c r="A33" s="1" t="s">
        <v>65</v>
      </c>
    </row>
  </sheetData>
  <printOptions headings="1" gridLines="1"/>
  <pageMargins left="0.7" right="0.7" top="0.75" bottom="0.75" header="0.3" footer="0.3"/>
  <pageSetup paperSize="9" scale="62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66BA-2D31-4320-AAFD-78B206A078AC}">
  <sheetPr>
    <pageSetUpPr fitToPage="1"/>
  </sheetPr>
  <dimension ref="A1:L96"/>
  <sheetViews>
    <sheetView zoomScaleNormal="100" workbookViewId="0"/>
  </sheetViews>
  <sheetFormatPr defaultRowHeight="15.75" x14ac:dyDescent="0.25"/>
  <cols>
    <col min="1" max="1" width="2.140625" style="1" customWidth="1"/>
    <col min="2" max="2" width="45.7109375" customWidth="1"/>
    <col min="3" max="10" width="11.140625" customWidth="1"/>
  </cols>
  <sheetData>
    <row r="1" spans="1:12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35">
      <c r="A2" s="15" t="s">
        <v>130</v>
      </c>
      <c r="B2" s="8"/>
      <c r="C2" s="12"/>
      <c r="D2" s="12">
        <v>45657</v>
      </c>
      <c r="E2" s="12">
        <v>46022</v>
      </c>
      <c r="F2" s="12">
        <v>46387</v>
      </c>
      <c r="G2" s="12">
        <v>46752</v>
      </c>
      <c r="H2" s="12"/>
      <c r="I2" s="12"/>
      <c r="J2" s="12"/>
      <c r="L2" s="62"/>
    </row>
    <row r="3" spans="1:12" ht="15" customHeight="1" x14ac:dyDescent="0.25"/>
    <row r="4" spans="1:12" ht="15" customHeight="1" x14ac:dyDescent="0.25">
      <c r="B4" t="s">
        <v>4</v>
      </c>
      <c r="D4" t="s">
        <v>94</v>
      </c>
    </row>
    <row r="5" spans="1:12" ht="15" customHeight="1" x14ac:dyDescent="0.25"/>
    <row r="6" spans="1:12" x14ac:dyDescent="0.25">
      <c r="A6" s="16" t="s">
        <v>66</v>
      </c>
      <c r="E6" s="79"/>
      <c r="F6" s="79"/>
      <c r="G6" s="79"/>
    </row>
    <row r="8" spans="1:12" x14ac:dyDescent="0.25">
      <c r="B8" t="s">
        <v>38</v>
      </c>
      <c r="E8" s="64">
        <v>-5.0099999999999999E-2</v>
      </c>
      <c r="F8" s="64">
        <v>2.76E-2</v>
      </c>
      <c r="G8" s="64">
        <v>5.9299999999999999E-2</v>
      </c>
      <c r="I8" t="s">
        <v>143</v>
      </c>
    </row>
    <row r="9" spans="1:12" x14ac:dyDescent="0.25">
      <c r="B9" t="s">
        <v>26</v>
      </c>
      <c r="D9" s="73">
        <f>D26/D25</f>
        <v>0.23110895929525407</v>
      </c>
      <c r="E9" s="64">
        <v>0.20699999999999999</v>
      </c>
      <c r="F9" s="64">
        <v>0.21199999999999999</v>
      </c>
      <c r="G9" s="64">
        <v>0.22</v>
      </c>
      <c r="I9" t="s">
        <v>143</v>
      </c>
    </row>
    <row r="10" spans="1:12" x14ac:dyDescent="0.25">
      <c r="B10" t="s">
        <v>128</v>
      </c>
      <c r="E10" s="65">
        <v>0</v>
      </c>
      <c r="F10" s="65">
        <v>0</v>
      </c>
      <c r="G10" s="65">
        <v>0</v>
      </c>
    </row>
    <row r="11" spans="1:12" x14ac:dyDescent="0.25">
      <c r="B11" t="s">
        <v>39</v>
      </c>
      <c r="D11" s="73">
        <f>-D30/D29</f>
        <v>0.28468120342257797</v>
      </c>
      <c r="E11" s="64">
        <v>0.28499999999999998</v>
      </c>
      <c r="F11" s="64">
        <v>0.28499999999999998</v>
      </c>
      <c r="G11" s="64">
        <v>0.28499999999999998</v>
      </c>
    </row>
    <row r="12" spans="1:12" x14ac:dyDescent="0.25">
      <c r="B12" t="s">
        <v>40</v>
      </c>
      <c r="E12" s="64">
        <v>0.05</v>
      </c>
      <c r="F12" s="64">
        <v>0.05</v>
      </c>
      <c r="G12" s="64">
        <v>0.05</v>
      </c>
    </row>
    <row r="13" spans="1:12" x14ac:dyDescent="0.25">
      <c r="B13" t="s">
        <v>137</v>
      </c>
      <c r="D13" s="67">
        <f>D37/D25</f>
        <v>0.4468429318753469</v>
      </c>
      <c r="E13" s="64">
        <v>0.45</v>
      </c>
      <c r="F13" s="64">
        <v>0.45</v>
      </c>
      <c r="G13" s="64">
        <v>0.45</v>
      </c>
    </row>
    <row r="14" spans="1:12" x14ac:dyDescent="0.25">
      <c r="B14" t="s">
        <v>138</v>
      </c>
      <c r="D14" s="67">
        <f>D46/D25</f>
        <v>0.23467520045345583</v>
      </c>
      <c r="E14" s="64">
        <v>0.23</v>
      </c>
      <c r="F14" s="64">
        <v>0.23</v>
      </c>
      <c r="G14" s="64">
        <v>0.23</v>
      </c>
    </row>
    <row r="15" spans="1:12" x14ac:dyDescent="0.25">
      <c r="B15" t="s">
        <v>77</v>
      </c>
      <c r="D15" s="73">
        <f>D58/D25</f>
        <v>6.5314171675542904E-2</v>
      </c>
      <c r="E15" s="64">
        <v>6.5000000000000002E-2</v>
      </c>
      <c r="F15" s="64">
        <v>6.5000000000000002E-2</v>
      </c>
      <c r="G15" s="64">
        <v>6.5000000000000002E-2</v>
      </c>
    </row>
    <row r="16" spans="1:12" x14ac:dyDescent="0.25">
      <c r="B16" t="s">
        <v>41</v>
      </c>
      <c r="E16" s="64">
        <v>0.95</v>
      </c>
      <c r="F16" s="64">
        <v>0.95</v>
      </c>
      <c r="G16" s="64">
        <v>0.95</v>
      </c>
    </row>
    <row r="17" spans="1:7" x14ac:dyDescent="0.25">
      <c r="B17" t="s">
        <v>131</v>
      </c>
      <c r="E17" s="64">
        <v>0.1</v>
      </c>
      <c r="F17" s="64">
        <v>0.1</v>
      </c>
      <c r="G17" s="64">
        <v>0.1</v>
      </c>
    </row>
    <row r="18" spans="1:7" x14ac:dyDescent="0.25">
      <c r="B18" t="s">
        <v>141</v>
      </c>
      <c r="D18" s="73">
        <f>D42/D25</f>
        <v>6.6731221142378047E-2</v>
      </c>
      <c r="E18" s="64">
        <v>6.7000000000000004E-2</v>
      </c>
      <c r="F18" s="64">
        <v>6.7000000000000004E-2</v>
      </c>
      <c r="G18" s="64">
        <v>6.7000000000000004E-2</v>
      </c>
    </row>
    <row r="19" spans="1:7" x14ac:dyDescent="0.25">
      <c r="B19" t="s">
        <v>89</v>
      </c>
      <c r="D19" s="67">
        <f>D48/D25</f>
        <v>0.22738920444481184</v>
      </c>
      <c r="E19" s="64">
        <v>0.22700000000000001</v>
      </c>
      <c r="F19" s="64">
        <v>0.22700000000000001</v>
      </c>
      <c r="G19" s="64">
        <v>0.22700000000000001</v>
      </c>
    </row>
    <row r="20" spans="1:7" x14ac:dyDescent="0.25">
      <c r="B20" t="s">
        <v>99</v>
      </c>
      <c r="E20" s="65">
        <v>0</v>
      </c>
      <c r="F20" s="65">
        <v>0</v>
      </c>
      <c r="G20" s="65">
        <v>0</v>
      </c>
    </row>
    <row r="21" spans="1:7" x14ac:dyDescent="0.25">
      <c r="B21" t="s">
        <v>42</v>
      </c>
      <c r="E21" s="64">
        <v>0.55000000000000004</v>
      </c>
      <c r="F21" s="64">
        <v>0.55000000000000004</v>
      </c>
      <c r="G21" s="64">
        <v>0.55000000000000004</v>
      </c>
    </row>
    <row r="22" spans="1:7" x14ac:dyDescent="0.25">
      <c r="B22" t="s">
        <v>111</v>
      </c>
      <c r="D22">
        <f>D32</f>
        <v>499.41251499999998</v>
      </c>
      <c r="E22" s="65">
        <f>D22</f>
        <v>499.41251499999998</v>
      </c>
      <c r="F22" s="65">
        <f t="shared" ref="F22:G22" si="0">E22</f>
        <v>499.41251499999998</v>
      </c>
      <c r="G22" s="65">
        <f t="shared" si="0"/>
        <v>499.41251499999998</v>
      </c>
    </row>
    <row r="24" spans="1:7" x14ac:dyDescent="0.25">
      <c r="A24" s="16" t="s">
        <v>68</v>
      </c>
    </row>
    <row r="25" spans="1:7" x14ac:dyDescent="0.25">
      <c r="B25" t="s">
        <v>17</v>
      </c>
      <c r="D25" s="60">
        <v>84683</v>
      </c>
      <c r="E25" s="63">
        <f>(1+E8)*D25</f>
        <v>80440.381699999998</v>
      </c>
      <c r="F25" s="63">
        <f>(1+F8)*E25</f>
        <v>82660.53623492</v>
      </c>
      <c r="G25" s="63">
        <f>(1+G8)*F25</f>
        <v>87562.306033650748</v>
      </c>
    </row>
    <row r="26" spans="1:7" x14ac:dyDescent="0.25">
      <c r="B26" t="s">
        <v>19</v>
      </c>
      <c r="D26" s="60">
        <v>19571</v>
      </c>
      <c r="E26" s="63">
        <f>E9*E25</f>
        <v>16651.159011899999</v>
      </c>
      <c r="F26" s="63">
        <f>F9*F25</f>
        <v>17524.033681803041</v>
      </c>
      <c r="G26" s="63">
        <f>G9*G25</f>
        <v>19263.707327403165</v>
      </c>
    </row>
    <row r="27" spans="1:7" x14ac:dyDescent="0.25">
      <c r="B27" t="s">
        <v>128</v>
      </c>
      <c r="D27" s="60">
        <v>-664</v>
      </c>
      <c r="E27" s="63">
        <f>E10</f>
        <v>0</v>
      </c>
      <c r="F27" s="63">
        <f>F10</f>
        <v>0</v>
      </c>
      <c r="G27" s="63">
        <f>G10</f>
        <v>0</v>
      </c>
    </row>
    <row r="28" spans="1:7" x14ac:dyDescent="0.25">
      <c r="B28" t="s">
        <v>34</v>
      </c>
      <c r="D28" s="60">
        <v>-792</v>
      </c>
      <c r="E28" s="63">
        <f>-IF(switch=1,E73+E74,0)</f>
        <v>0</v>
      </c>
      <c r="F28" s="63">
        <f>-IF(switch=1,F73+F74,0)</f>
        <v>0</v>
      </c>
      <c r="G28" s="63">
        <f>-IF(switch=1,G73+G74,0)</f>
        <v>0</v>
      </c>
    </row>
    <row r="29" spans="1:7" x14ac:dyDescent="0.25">
      <c r="B29" t="s">
        <v>43</v>
      </c>
      <c r="D29" s="63">
        <f>SUM(D26:D28)</f>
        <v>18115</v>
      </c>
      <c r="E29" s="63">
        <f t="shared" ref="E29:G29" si="1">SUM(E26:E28)</f>
        <v>16651.159011899999</v>
      </c>
      <c r="F29" s="63">
        <f t="shared" si="1"/>
        <v>17524.033681803041</v>
      </c>
      <c r="G29" s="63">
        <f t="shared" si="1"/>
        <v>19263.707327403165</v>
      </c>
    </row>
    <row r="30" spans="1:7" x14ac:dyDescent="0.25">
      <c r="B30" t="s">
        <v>44</v>
      </c>
      <c r="D30" s="60">
        <v>-5157</v>
      </c>
      <c r="E30" s="63">
        <f>-E11*E29</f>
        <v>-4745.5803183914995</v>
      </c>
      <c r="F30" s="63">
        <f>-F11*F29</f>
        <v>-4994.3495993138658</v>
      </c>
      <c r="G30" s="63">
        <f>-G11*G29</f>
        <v>-5490.1565883099011</v>
      </c>
    </row>
    <row r="31" spans="1:7" x14ac:dyDescent="0.25">
      <c r="B31" t="s">
        <v>25</v>
      </c>
      <c r="D31" s="63">
        <f>D29+D30</f>
        <v>12958</v>
      </c>
      <c r="E31" s="63">
        <f>E29+E30</f>
        <v>11905.5786935085</v>
      </c>
      <c r="F31" s="63">
        <f>F29+F30</f>
        <v>12529.684082489175</v>
      </c>
      <c r="G31" s="63">
        <f>G29+G30</f>
        <v>13773.550739093263</v>
      </c>
    </row>
    <row r="32" spans="1:7" x14ac:dyDescent="0.25">
      <c r="B32" t="s">
        <v>111</v>
      </c>
      <c r="D32" s="60">
        <v>499.41251499999998</v>
      </c>
      <c r="E32">
        <f>E22</f>
        <v>499.41251499999998</v>
      </c>
      <c r="F32">
        <f>F22</f>
        <v>499.41251499999998</v>
      </c>
      <c r="G32">
        <f>G22</f>
        <v>499.41251499999998</v>
      </c>
    </row>
    <row r="33" spans="1:8" x14ac:dyDescent="0.25">
      <c r="B33" t="s">
        <v>112</v>
      </c>
      <c r="D33" s="74">
        <f>D31/D32</f>
        <v>25.946486343058503</v>
      </c>
      <c r="E33" s="74">
        <f>E31/E32</f>
        <v>23.839167693882281</v>
      </c>
      <c r="F33" s="74">
        <f>F31/F32</f>
        <v>25.088846807311537</v>
      </c>
      <c r="G33" s="74">
        <f>G31/G32</f>
        <v>27.579506571022282</v>
      </c>
    </row>
    <row r="35" spans="1:8" x14ac:dyDescent="0.25">
      <c r="A35" s="16" t="s">
        <v>69</v>
      </c>
    </row>
    <row r="36" spans="1:8" x14ac:dyDescent="0.25">
      <c r="A36" s="16"/>
      <c r="B36" t="s">
        <v>22</v>
      </c>
      <c r="D36" s="60">
        <v>9631</v>
      </c>
      <c r="E36" s="63">
        <f>MAX(E94,0)</f>
        <v>6039.6562695538223</v>
      </c>
      <c r="F36" s="63">
        <f>MAX(F94,0)</f>
        <v>13641.358091815262</v>
      </c>
      <c r="G36" s="63">
        <f>MAX(G94,0)</f>
        <v>21389.452241874013</v>
      </c>
    </row>
    <row r="37" spans="1:8" x14ac:dyDescent="0.25">
      <c r="A37" s="16"/>
      <c r="B37" t="s">
        <v>135</v>
      </c>
      <c r="D37" s="60">
        <f>47471-D36</f>
        <v>37840</v>
      </c>
      <c r="E37" s="63">
        <f>E13*E25</f>
        <v>36198.171764999999</v>
      </c>
      <c r="F37" s="63">
        <f>F13*F25</f>
        <v>37197.241305714</v>
      </c>
      <c r="G37" s="63">
        <f>G13*G25</f>
        <v>39403.03771514284</v>
      </c>
    </row>
    <row r="38" spans="1:8" x14ac:dyDescent="0.25">
      <c r="A38" s="16"/>
      <c r="B38" t="s">
        <v>47</v>
      </c>
      <c r="D38" s="60">
        <f>29886+16620</f>
        <v>46506</v>
      </c>
      <c r="E38" s="63">
        <f>E60</f>
        <v>46767.431240524995</v>
      </c>
      <c r="F38" s="63">
        <f>F60</f>
        <v>47036.077983288487</v>
      </c>
      <c r="G38" s="63">
        <f>G60</f>
        <v>47320.655477897853</v>
      </c>
    </row>
    <row r="39" spans="1:8" x14ac:dyDescent="0.25">
      <c r="A39" s="16"/>
      <c r="B39" t="s">
        <v>33</v>
      </c>
      <c r="D39" s="60">
        <v>20307</v>
      </c>
      <c r="E39" s="63">
        <f>D39</f>
        <v>20307</v>
      </c>
      <c r="F39" s="63">
        <f>E39</f>
        <v>20307</v>
      </c>
      <c r="G39" s="63">
        <f>F39</f>
        <v>20307</v>
      </c>
      <c r="H39" s="73"/>
    </row>
    <row r="40" spans="1:8" x14ac:dyDescent="0.25">
      <c r="A40" s="16"/>
      <c r="B40" t="s">
        <v>129</v>
      </c>
      <c r="D40" s="60">
        <f>26280</f>
        <v>26280</v>
      </c>
      <c r="E40" s="63">
        <f>E65</f>
        <v>23652</v>
      </c>
      <c r="F40" s="63">
        <f t="shared" ref="F40:G40" si="2">F65</f>
        <v>21286.799999999999</v>
      </c>
      <c r="G40" s="63">
        <f t="shared" si="2"/>
        <v>19158.12</v>
      </c>
    </row>
    <row r="41" spans="1:8" x14ac:dyDescent="0.25">
      <c r="A41" s="16"/>
      <c r="B41" t="s">
        <v>46</v>
      </c>
      <c r="D41" s="60">
        <f>1343+1632</f>
        <v>2975</v>
      </c>
      <c r="E41" s="63">
        <f>D41</f>
        <v>2975</v>
      </c>
      <c r="F41" s="63">
        <f>E41</f>
        <v>2975</v>
      </c>
      <c r="G41" s="63">
        <f>F41</f>
        <v>2975</v>
      </c>
    </row>
    <row r="42" spans="1:8" x14ac:dyDescent="0.25">
      <c r="A42" s="16"/>
      <c r="B42" t="s">
        <v>140</v>
      </c>
      <c r="D42" s="60">
        <f>1106+4545</f>
        <v>5651</v>
      </c>
      <c r="E42" s="63">
        <f>E18*E25</f>
        <v>5389.5055738999999</v>
      </c>
      <c r="F42" s="63">
        <f t="shared" ref="F42:G42" si="3">F18*F25</f>
        <v>5538.2559277396404</v>
      </c>
      <c r="G42" s="63">
        <f t="shared" si="3"/>
        <v>5866.6745042546008</v>
      </c>
    </row>
    <row r="43" spans="1:8" x14ac:dyDescent="0.25">
      <c r="A43" s="16"/>
      <c r="B43" t="s">
        <v>24</v>
      </c>
      <c r="D43" s="63">
        <f>SUM(D36:D42)</f>
        <v>149190</v>
      </c>
      <c r="E43" s="63">
        <f t="shared" ref="E43:G43" si="4">SUM(E36:E42)</f>
        <v>141328.76484897884</v>
      </c>
      <c r="F43" s="63">
        <f t="shared" si="4"/>
        <v>147981.73330855739</v>
      </c>
      <c r="G43" s="63">
        <f t="shared" si="4"/>
        <v>156419.9399391693</v>
      </c>
    </row>
    <row r="44" spans="1:8" x14ac:dyDescent="0.25">
      <c r="A44" s="16"/>
    </row>
    <row r="45" spans="1:8" x14ac:dyDescent="0.25">
      <c r="A45" s="16"/>
      <c r="B45" t="s">
        <v>79</v>
      </c>
      <c r="D45" s="60">
        <v>10851</v>
      </c>
      <c r="E45" s="63">
        <f>-MIN(E94,0)</f>
        <v>0</v>
      </c>
      <c r="F45" s="63">
        <f>-MIN(F94,0)</f>
        <v>0</v>
      </c>
      <c r="G45" s="63">
        <f>-MIN(G94,0)</f>
        <v>0</v>
      </c>
    </row>
    <row r="46" spans="1:8" x14ac:dyDescent="0.25">
      <c r="A46" s="16"/>
      <c r="B46" t="s">
        <v>136</v>
      </c>
      <c r="D46" s="60">
        <f>33696-D45-2972</f>
        <v>19873</v>
      </c>
      <c r="E46" s="63">
        <f>E14*E25</f>
        <v>18501.287790999999</v>
      </c>
      <c r="F46" s="63">
        <f>F14*F25</f>
        <v>19011.923334031602</v>
      </c>
      <c r="G46" s="63">
        <f>G14*G25</f>
        <v>20139.330387739672</v>
      </c>
    </row>
    <row r="47" spans="1:8" x14ac:dyDescent="0.25">
      <c r="A47" s="16"/>
      <c r="B47" t="s">
        <v>80</v>
      </c>
      <c r="D47" s="60">
        <f>12091+14860+2972</f>
        <v>29923</v>
      </c>
      <c r="E47" s="63">
        <f>D47+E20</f>
        <v>29923</v>
      </c>
      <c r="F47" s="63">
        <f>E47+F20</f>
        <v>29923</v>
      </c>
      <c r="G47" s="63">
        <f>F47+G20</f>
        <v>29923</v>
      </c>
    </row>
    <row r="48" spans="1:8" x14ac:dyDescent="0.25">
      <c r="A48" s="16"/>
      <c r="B48" t="s">
        <v>147</v>
      </c>
      <c r="D48" s="60">
        <f>46207-12091-14860</f>
        <v>19256</v>
      </c>
      <c r="E48" s="63">
        <f>E19*E25</f>
        <v>18259.9666459</v>
      </c>
      <c r="F48" s="63">
        <f>F19*F25</f>
        <v>18763.94172532684</v>
      </c>
      <c r="G48" s="63">
        <f>G19*G25</f>
        <v>19876.643469638719</v>
      </c>
    </row>
    <row r="49" spans="1:7" x14ac:dyDescent="0.25">
      <c r="A49" s="16"/>
      <c r="B49" t="s">
        <v>27</v>
      </c>
      <c r="D49" s="63">
        <f>SUM(D45:D48)</f>
        <v>79903</v>
      </c>
      <c r="E49" s="63">
        <f>SUM(E45:E48)</f>
        <v>66684.254436899995</v>
      </c>
      <c r="F49" s="63">
        <f>SUM(F45:F48)</f>
        <v>67698.865059358446</v>
      </c>
      <c r="G49" s="63">
        <f>SUM(G45:G48)</f>
        <v>69938.973857378383</v>
      </c>
    </row>
    <row r="50" spans="1:7" x14ac:dyDescent="0.25">
      <c r="A50" s="16"/>
      <c r="B50" t="s">
        <v>18</v>
      </c>
      <c r="D50" s="60">
        <v>69287</v>
      </c>
      <c r="E50" s="63">
        <f>E71</f>
        <v>74644.510412078831</v>
      </c>
      <c r="F50" s="63">
        <f>F71</f>
        <v>80282.86824919896</v>
      </c>
      <c r="G50" s="63">
        <f>G71</f>
        <v>86480.966081790932</v>
      </c>
    </row>
    <row r="51" spans="1:7" x14ac:dyDescent="0.25">
      <c r="A51" s="16"/>
      <c r="B51" t="s">
        <v>91</v>
      </c>
      <c r="D51" s="63">
        <f>SUM(D49:D50)</f>
        <v>149190</v>
      </c>
      <c r="E51" s="63">
        <f>SUM(E49:E50)</f>
        <v>141328.76484897884</v>
      </c>
      <c r="F51" s="63">
        <f>SUM(F49:F50)</f>
        <v>147981.73330855742</v>
      </c>
      <c r="G51" s="63">
        <f>SUM(G49:G50)</f>
        <v>156419.93993916933</v>
      </c>
    </row>
    <row r="52" spans="1:7" x14ac:dyDescent="0.25">
      <c r="A52" s="16"/>
    </row>
    <row r="53" spans="1:7" x14ac:dyDescent="0.25">
      <c r="A53" s="16"/>
      <c r="B53" t="s">
        <v>20</v>
      </c>
      <c r="D53" s="63">
        <f>D43-D51</f>
        <v>0</v>
      </c>
      <c r="E53" s="63">
        <f>E43-E51</f>
        <v>0</v>
      </c>
      <c r="F53" s="63">
        <f>F43-F51</f>
        <v>0</v>
      </c>
      <c r="G53" s="63">
        <f>G43-G51</f>
        <v>0</v>
      </c>
    </row>
    <row r="54" spans="1:7" x14ac:dyDescent="0.25">
      <c r="A54" s="16"/>
    </row>
    <row r="55" spans="1:7" x14ac:dyDescent="0.25">
      <c r="A55" s="16" t="s">
        <v>70</v>
      </c>
    </row>
    <row r="56" spans="1:7" x14ac:dyDescent="0.25">
      <c r="A56" s="16"/>
      <c r="B56" t="s">
        <v>47</v>
      </c>
    </row>
    <row r="57" spans="1:7" x14ac:dyDescent="0.25">
      <c r="A57" s="16"/>
      <c r="B57" t="s">
        <v>82</v>
      </c>
      <c r="E57" s="63">
        <f>D60</f>
        <v>46506</v>
      </c>
      <c r="F57" s="63">
        <f>E60</f>
        <v>46767.431240524995</v>
      </c>
      <c r="G57" s="63">
        <f>F60</f>
        <v>47036.077983288487</v>
      </c>
    </row>
    <row r="58" spans="1:7" x14ac:dyDescent="0.25">
      <c r="A58" s="16"/>
      <c r="B58" t="s">
        <v>83</v>
      </c>
      <c r="D58" s="60">
        <v>5531</v>
      </c>
      <c r="E58" s="63">
        <f>E15*E25</f>
        <v>5228.6248105000004</v>
      </c>
      <c r="F58" s="63">
        <f>F15*F25</f>
        <v>5372.9348552698002</v>
      </c>
      <c r="G58" s="63">
        <f>G15*G25</f>
        <v>5691.5498921872986</v>
      </c>
    </row>
    <row r="59" spans="1:7" x14ac:dyDescent="0.25">
      <c r="A59" s="16"/>
      <c r="B59" t="s">
        <v>84</v>
      </c>
      <c r="E59" s="63">
        <f>-E16*E58</f>
        <v>-4967.1935699750002</v>
      </c>
      <c r="F59" s="63">
        <f>-F16*F58</f>
        <v>-5104.2881125063095</v>
      </c>
      <c r="G59" s="63">
        <f>-G16*G58</f>
        <v>-5406.9723975779334</v>
      </c>
    </row>
    <row r="60" spans="1:7" x14ac:dyDescent="0.25">
      <c r="A60" s="16"/>
      <c r="B60" t="s">
        <v>48</v>
      </c>
      <c r="D60" s="63">
        <f>D38</f>
        <v>46506</v>
      </c>
      <c r="E60" s="63">
        <f>SUM(E57:E59)</f>
        <v>46767.431240524995</v>
      </c>
      <c r="F60" s="63">
        <f>SUM(F57:F59)</f>
        <v>47036.077983288487</v>
      </c>
      <c r="G60" s="63">
        <f>SUM(G57:G59)</f>
        <v>47320.655477897853</v>
      </c>
    </row>
    <row r="61" spans="1:7" x14ac:dyDescent="0.25">
      <c r="A61" s="16"/>
      <c r="D61" s="63"/>
      <c r="E61" s="63"/>
      <c r="F61" s="63"/>
      <c r="G61" s="63"/>
    </row>
    <row r="62" spans="1:7" x14ac:dyDescent="0.25">
      <c r="A62" s="16"/>
      <c r="B62" t="s">
        <v>132</v>
      </c>
      <c r="D62" s="63"/>
      <c r="E62" s="63"/>
      <c r="F62" s="63"/>
      <c r="G62" s="63"/>
    </row>
    <row r="63" spans="1:7" x14ac:dyDescent="0.25">
      <c r="A63" s="16"/>
      <c r="B63" t="s">
        <v>133</v>
      </c>
      <c r="D63" s="63"/>
      <c r="E63" s="63">
        <f>D65</f>
        <v>26280</v>
      </c>
      <c r="F63" s="63">
        <f t="shared" ref="F63:G63" si="5">E65</f>
        <v>23652</v>
      </c>
      <c r="G63" s="63">
        <f t="shared" si="5"/>
        <v>21286.799999999999</v>
      </c>
    </row>
    <row r="64" spans="1:7" x14ac:dyDescent="0.25">
      <c r="A64" s="16"/>
      <c r="B64" t="s">
        <v>134</v>
      </c>
      <c r="D64" s="63"/>
      <c r="E64" s="63">
        <f>E17*E63*-1</f>
        <v>-2628</v>
      </c>
      <c r="F64" s="63">
        <f t="shared" ref="F64:G64" si="6">F17*F63*-1</f>
        <v>-2365.2000000000003</v>
      </c>
      <c r="G64" s="63">
        <f t="shared" si="6"/>
        <v>-2128.6799999999998</v>
      </c>
    </row>
    <row r="65" spans="1:7" x14ac:dyDescent="0.25">
      <c r="A65" s="16"/>
      <c r="B65" t="s">
        <v>48</v>
      </c>
      <c r="D65" s="63">
        <f>D40</f>
        <v>26280</v>
      </c>
      <c r="E65" s="63">
        <f>SUM(E63:E64)</f>
        <v>23652</v>
      </c>
      <c r="F65" s="63">
        <f t="shared" ref="F65:G65" si="7">SUM(F63:F64)</f>
        <v>21286.799999999999</v>
      </c>
      <c r="G65" s="63">
        <f t="shared" si="7"/>
        <v>19158.12</v>
      </c>
    </row>
    <row r="66" spans="1:7" x14ac:dyDescent="0.25">
      <c r="A66" s="16"/>
    </row>
    <row r="67" spans="1:7" x14ac:dyDescent="0.25">
      <c r="A67" s="16"/>
      <c r="B67" t="s">
        <v>18</v>
      </c>
    </row>
    <row r="68" spans="1:7" x14ac:dyDescent="0.25">
      <c r="A68" s="16"/>
      <c r="B68" t="s">
        <v>82</v>
      </c>
      <c r="E68" s="63">
        <f>D71</f>
        <v>69287</v>
      </c>
      <c r="F68" s="63">
        <f>E71</f>
        <v>74644.510412078831</v>
      </c>
      <c r="G68" s="63">
        <f>F71</f>
        <v>80282.86824919896</v>
      </c>
    </row>
    <row r="69" spans="1:7" x14ac:dyDescent="0.25">
      <c r="A69" s="16"/>
      <c r="B69" t="s">
        <v>85</v>
      </c>
      <c r="E69" s="63">
        <f>E31</f>
        <v>11905.5786935085</v>
      </c>
      <c r="F69" s="63">
        <f>F31</f>
        <v>12529.684082489175</v>
      </c>
      <c r="G69" s="63">
        <f>G31</f>
        <v>13773.550739093263</v>
      </c>
    </row>
    <row r="70" spans="1:7" x14ac:dyDescent="0.25">
      <c r="A70" s="16"/>
      <c r="B70" t="s">
        <v>86</v>
      </c>
      <c r="E70" s="63">
        <f>-E21*E69</f>
        <v>-6548.0682814296752</v>
      </c>
      <c r="F70" s="63">
        <f>-F21*F69</f>
        <v>-6891.3262453690468</v>
      </c>
      <c r="G70" s="63">
        <f>-G21*G69</f>
        <v>-7575.4529065012957</v>
      </c>
    </row>
    <row r="71" spans="1:7" x14ac:dyDescent="0.25">
      <c r="A71" s="16"/>
      <c r="B71" t="s">
        <v>48</v>
      </c>
      <c r="D71" s="63">
        <f>D50</f>
        <v>69287</v>
      </c>
      <c r="E71" s="63">
        <f>SUM(E68:E70)</f>
        <v>74644.510412078831</v>
      </c>
      <c r="F71" s="63">
        <f>SUM(F68:F70)</f>
        <v>80282.86824919896</v>
      </c>
      <c r="G71" s="63">
        <f>SUM(G68:G70)</f>
        <v>86480.966081790932</v>
      </c>
    </row>
    <row r="72" spans="1:7" x14ac:dyDescent="0.25">
      <c r="A72" s="16"/>
    </row>
    <row r="73" spans="1:7" x14ac:dyDescent="0.25">
      <c r="A73" s="16"/>
      <c r="B73" t="s">
        <v>87</v>
      </c>
      <c r="E73" s="63">
        <f>E12*AVERAGE(D45:E45)</f>
        <v>271.27500000000003</v>
      </c>
      <c r="F73" s="63">
        <f>F12*AVERAGE(E45:F45)</f>
        <v>0</v>
      </c>
      <c r="G73" s="63">
        <f>G12*AVERAGE(F45:G45)</f>
        <v>0</v>
      </c>
    </row>
    <row r="74" spans="1:7" x14ac:dyDescent="0.25">
      <c r="A74" s="16"/>
      <c r="B74" t="s">
        <v>88</v>
      </c>
      <c r="E74" s="63">
        <f>E12*AVERAGE(D47:E47)</f>
        <v>1496.15</v>
      </c>
      <c r="F74" s="63">
        <f>F12*AVERAGE(E47:F47)</f>
        <v>1496.15</v>
      </c>
      <c r="G74" s="63">
        <f>G12*AVERAGE(F47:G47)</f>
        <v>1496.15</v>
      </c>
    </row>
    <row r="75" spans="1:7" x14ac:dyDescent="0.25">
      <c r="A75" s="16"/>
    </row>
    <row r="76" spans="1:7" x14ac:dyDescent="0.25">
      <c r="A76" s="16" t="s">
        <v>71</v>
      </c>
    </row>
    <row r="77" spans="1:7" x14ac:dyDescent="0.25">
      <c r="A77" s="16"/>
      <c r="B77" t="s">
        <v>25</v>
      </c>
      <c r="E77" s="63">
        <f>E31</f>
        <v>11905.5786935085</v>
      </c>
      <c r="F77" s="63">
        <f>F31</f>
        <v>12529.684082489175</v>
      </c>
      <c r="G77" s="63">
        <f>G31</f>
        <v>13773.550739093263</v>
      </c>
    </row>
    <row r="78" spans="1:7" x14ac:dyDescent="0.25">
      <c r="A78" s="16"/>
      <c r="B78" t="s">
        <v>97</v>
      </c>
      <c r="E78" s="63">
        <f>E59*-1</f>
        <v>4967.1935699750002</v>
      </c>
      <c r="F78" s="63">
        <f>F59*-1</f>
        <v>5104.2881125063095</v>
      </c>
      <c r="G78" s="63">
        <f>G59*-1</f>
        <v>5406.9723975779334</v>
      </c>
    </row>
    <row r="79" spans="1:7" x14ac:dyDescent="0.25">
      <c r="A79" s="16"/>
      <c r="B79" t="s">
        <v>32</v>
      </c>
      <c r="E79" s="63">
        <f>E64*-1</f>
        <v>2628</v>
      </c>
      <c r="F79" s="63">
        <f t="shared" ref="F79:G79" si="8">F64*-1</f>
        <v>2365.2000000000003</v>
      </c>
      <c r="G79" s="63">
        <f t="shared" si="8"/>
        <v>2128.6799999999998</v>
      </c>
    </row>
    <row r="80" spans="1:7" x14ac:dyDescent="0.25">
      <c r="A80" s="16"/>
      <c r="B80" t="s">
        <v>49</v>
      </c>
      <c r="E80" s="63">
        <f>D37-E37</f>
        <v>1641.8282350000009</v>
      </c>
      <c r="F80" s="63">
        <f>E37-F37</f>
        <v>-999.06954071400105</v>
      </c>
      <c r="G80" s="63">
        <f>F37-G37</f>
        <v>-2205.79640942884</v>
      </c>
    </row>
    <row r="81" spans="1:7" x14ac:dyDescent="0.25">
      <c r="A81" s="16"/>
      <c r="B81" t="s">
        <v>142</v>
      </c>
      <c r="E81" s="63">
        <f>D42-E42</f>
        <v>261.49442610000006</v>
      </c>
      <c r="F81" s="63">
        <f t="shared" ref="F81:G81" si="9">E42-F42</f>
        <v>-148.75035383964041</v>
      </c>
      <c r="G81" s="63">
        <f t="shared" si="9"/>
        <v>-328.41857651496048</v>
      </c>
    </row>
    <row r="82" spans="1:7" x14ac:dyDescent="0.25">
      <c r="A82" s="16"/>
      <c r="B82" t="s">
        <v>50</v>
      </c>
      <c r="E82" s="63">
        <f>E46-D46</f>
        <v>-1371.7122090000012</v>
      </c>
      <c r="F82" s="63">
        <f>F46-E46</f>
        <v>510.63554303160345</v>
      </c>
      <c r="G82" s="63">
        <f>G46-F46</f>
        <v>1127.4070537080697</v>
      </c>
    </row>
    <row r="83" spans="1:7" x14ac:dyDescent="0.25">
      <c r="A83" s="16"/>
      <c r="B83" t="s">
        <v>148</v>
      </c>
      <c r="E83" s="63">
        <f>E48-D48</f>
        <v>-996.0333541</v>
      </c>
      <c r="F83" s="63">
        <f>F48-E48</f>
        <v>503.97507942684024</v>
      </c>
      <c r="G83" s="63">
        <f>G48-F48</f>
        <v>1112.7017443118784</v>
      </c>
    </row>
    <row r="84" spans="1:7" x14ac:dyDescent="0.25">
      <c r="A84" s="16"/>
      <c r="B84" t="s">
        <v>23</v>
      </c>
      <c r="E84" s="63">
        <f>SUM(E77:E83)</f>
        <v>19036.349361483499</v>
      </c>
      <c r="F84" s="63">
        <f>SUM(F77:F83)</f>
        <v>19865.962922900286</v>
      </c>
      <c r="G84" s="63">
        <f>SUM(G77:G83)</f>
        <v>21015.096948747345</v>
      </c>
    </row>
    <row r="85" spans="1:7" x14ac:dyDescent="0.25">
      <c r="A85" s="16"/>
    </row>
    <row r="86" spans="1:7" x14ac:dyDescent="0.25">
      <c r="A86" s="16"/>
      <c r="B86" t="s">
        <v>21</v>
      </c>
      <c r="E86" s="63">
        <f>-E58</f>
        <v>-5228.6248105000004</v>
      </c>
      <c r="F86" s="63">
        <f>-F58</f>
        <v>-5372.9348552698002</v>
      </c>
      <c r="G86" s="63">
        <f>-G58</f>
        <v>-5691.5498921872986</v>
      </c>
    </row>
    <row r="87" spans="1:7" x14ac:dyDescent="0.25">
      <c r="A87" s="16"/>
      <c r="B87" t="s">
        <v>28</v>
      </c>
      <c r="E87" s="63">
        <f>SUM(E86)</f>
        <v>-5228.6248105000004</v>
      </c>
      <c r="F87" s="63">
        <f>SUM(F86)</f>
        <v>-5372.9348552698002</v>
      </c>
      <c r="G87" s="63">
        <f>SUM(G86)</f>
        <v>-5691.5498921872986</v>
      </c>
    </row>
    <row r="88" spans="1:7" x14ac:dyDescent="0.25">
      <c r="A88" s="16"/>
    </row>
    <row r="89" spans="1:7" x14ac:dyDescent="0.25">
      <c r="A89" s="16"/>
      <c r="B89" t="s">
        <v>29</v>
      </c>
      <c r="E89" s="63">
        <f>E70</f>
        <v>-6548.0682814296752</v>
      </c>
      <c r="F89" s="63">
        <f>F70</f>
        <v>-6891.3262453690468</v>
      </c>
      <c r="G89" s="63">
        <f>G70</f>
        <v>-7575.4529065012957</v>
      </c>
    </row>
    <row r="90" spans="1:7" x14ac:dyDescent="0.25">
      <c r="A90" s="16"/>
      <c r="B90" t="s">
        <v>78</v>
      </c>
      <c r="E90" s="63">
        <f>E47-D47</f>
        <v>0</v>
      </c>
      <c r="F90" s="63">
        <f>F47-E47</f>
        <v>0</v>
      </c>
      <c r="G90" s="63">
        <f>G47-F47</f>
        <v>0</v>
      </c>
    </row>
    <row r="91" spans="1:7" x14ac:dyDescent="0.25">
      <c r="A91" s="16"/>
      <c r="B91" t="s">
        <v>30</v>
      </c>
      <c r="E91" s="63">
        <f>SUM(E89:E90)</f>
        <v>-6548.0682814296752</v>
      </c>
      <c r="F91" s="63">
        <f>SUM(F89:F90)</f>
        <v>-6891.3262453690468</v>
      </c>
      <c r="G91" s="63">
        <f>SUM(G89:G90)</f>
        <v>-7575.4529065012957</v>
      </c>
    </row>
    <row r="92" spans="1:7" x14ac:dyDescent="0.25">
      <c r="A92" s="16"/>
    </row>
    <row r="93" spans="1:7" x14ac:dyDescent="0.25">
      <c r="A93" s="16"/>
      <c r="B93" t="s">
        <v>31</v>
      </c>
      <c r="E93" s="63">
        <f>SUM(E84,E87,E91)</f>
        <v>7259.6562695538223</v>
      </c>
      <c r="F93" s="63">
        <f>SUM(F84,F87,F91)</f>
        <v>7601.7018222614397</v>
      </c>
      <c r="G93" s="63">
        <f>SUM(G84,G87,G91)</f>
        <v>7748.0941500587505</v>
      </c>
    </row>
    <row r="94" spans="1:7" x14ac:dyDescent="0.25">
      <c r="A94" s="16"/>
      <c r="B94" t="s">
        <v>90</v>
      </c>
      <c r="D94" s="63">
        <f>D36-D45</f>
        <v>-1220</v>
      </c>
      <c r="E94" s="63">
        <f>D94+E93</f>
        <v>6039.6562695538223</v>
      </c>
      <c r="F94" s="63">
        <f>E94+F93</f>
        <v>13641.358091815262</v>
      </c>
      <c r="G94" s="63">
        <f>F94+G93</f>
        <v>21389.452241874013</v>
      </c>
    </row>
    <row r="96" spans="1:7" x14ac:dyDescent="0.25">
      <c r="A96" s="1" t="s">
        <v>65</v>
      </c>
    </row>
  </sheetData>
  <printOptions headings="1" gridLines="1"/>
  <pageMargins left="0.7" right="0.7" top="0.75" bottom="0.75" header="0.3" footer="0.3"/>
  <pageSetup paperSize="9" scale="80" fitToHeight="0" orientation="portrait" horizontalDpi="300" verticalDpi="300" r:id="rId1"/>
  <rowBreaks count="1" manualBreakCount="1">
    <brk id="5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102A-D229-4EE5-95BC-91E18BCF188B}">
  <sheetPr>
    <pageSetUpPr fitToPage="1"/>
  </sheetPr>
  <dimension ref="A1:P96"/>
  <sheetViews>
    <sheetView zoomScaleNormal="100" workbookViewId="0"/>
  </sheetViews>
  <sheetFormatPr defaultRowHeight="15.75" x14ac:dyDescent="0.25"/>
  <cols>
    <col min="1" max="1" width="2.140625" style="1" customWidth="1"/>
    <col min="2" max="2" width="45.7109375" customWidth="1"/>
    <col min="3" max="10" width="11.140625" customWidth="1"/>
  </cols>
  <sheetData>
    <row r="1" spans="1:16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6" s="35" customFormat="1" ht="30" customHeight="1" x14ac:dyDescent="0.35">
      <c r="A2" s="15" t="s">
        <v>144</v>
      </c>
      <c r="B2" s="8"/>
      <c r="C2" s="12">
        <v>45382</v>
      </c>
      <c r="D2" s="12">
        <v>45747</v>
      </c>
      <c r="E2" s="12">
        <v>46112</v>
      </c>
      <c r="F2" s="12">
        <v>46477</v>
      </c>
      <c r="G2" s="12">
        <v>46843</v>
      </c>
      <c r="H2" s="12"/>
      <c r="I2" s="12"/>
      <c r="J2" s="12"/>
      <c r="L2" s="62"/>
    </row>
    <row r="3" spans="1:16" ht="15" customHeight="1" x14ac:dyDescent="0.25"/>
    <row r="4" spans="1:16" ht="15" customHeight="1" x14ac:dyDescent="0.25">
      <c r="B4" t="s">
        <v>4</v>
      </c>
      <c r="D4" t="s">
        <v>145</v>
      </c>
    </row>
    <row r="5" spans="1:16" ht="15" customHeight="1" x14ac:dyDescent="0.25"/>
    <row r="6" spans="1:16" x14ac:dyDescent="0.25">
      <c r="A6" s="16" t="s">
        <v>66</v>
      </c>
      <c r="C6" s="84"/>
      <c r="E6" s="79"/>
      <c r="F6" s="79"/>
      <c r="G6" s="79"/>
    </row>
    <row r="8" spans="1:16" x14ac:dyDescent="0.25">
      <c r="B8" t="s">
        <v>38</v>
      </c>
      <c r="E8" s="64">
        <v>-1.7000000000000001E-2</v>
      </c>
      <c r="F8" s="64">
        <v>5.4399999999999997E-2</v>
      </c>
      <c r="G8" s="64">
        <v>5.7299999999999997E-2</v>
      </c>
      <c r="I8" t="s">
        <v>152</v>
      </c>
    </row>
    <row r="9" spans="1:16" x14ac:dyDescent="0.25">
      <c r="B9" t="s">
        <v>26</v>
      </c>
      <c r="D9" s="67">
        <f>D26/D25</f>
        <v>1.0564811052417716E-2</v>
      </c>
      <c r="E9" s="64">
        <v>5.8999999999999997E-2</v>
      </c>
      <c r="F9" s="64">
        <v>9.6000000000000002E-2</v>
      </c>
      <c r="G9" s="64">
        <v>0.12</v>
      </c>
      <c r="I9" t="s">
        <v>152</v>
      </c>
    </row>
    <row r="10" spans="1:16" x14ac:dyDescent="0.25">
      <c r="B10" t="s">
        <v>128</v>
      </c>
      <c r="D10" s="67"/>
      <c r="E10" s="65">
        <v>0</v>
      </c>
      <c r="F10" s="65">
        <v>0</v>
      </c>
      <c r="G10" s="65">
        <v>0</v>
      </c>
    </row>
    <row r="11" spans="1:16" x14ac:dyDescent="0.25">
      <c r="B11" t="s">
        <v>39</v>
      </c>
      <c r="D11" s="73">
        <f>D30/D29*-1</f>
        <v>-0.13636363636363635</v>
      </c>
      <c r="E11" s="64">
        <v>0.25</v>
      </c>
      <c r="F11" s="64">
        <v>0.25</v>
      </c>
      <c r="G11" s="64">
        <v>0.25</v>
      </c>
    </row>
    <row r="12" spans="1:16" x14ac:dyDescent="0.25">
      <c r="B12" t="s">
        <v>40</v>
      </c>
      <c r="E12" s="64">
        <v>0.04</v>
      </c>
      <c r="F12" s="64">
        <v>0.04</v>
      </c>
      <c r="G12" s="64">
        <v>0.04</v>
      </c>
    </row>
    <row r="13" spans="1:16" x14ac:dyDescent="0.25">
      <c r="B13" t="s">
        <v>137</v>
      </c>
      <c r="D13" s="67">
        <f>D37/D25</f>
        <v>0.34091832588378707</v>
      </c>
      <c r="E13" s="64">
        <v>0.34</v>
      </c>
      <c r="F13" s="64">
        <v>0.34</v>
      </c>
      <c r="G13" s="64">
        <v>0.34</v>
      </c>
    </row>
    <row r="14" spans="1:16" x14ac:dyDescent="0.25">
      <c r="B14" t="s">
        <v>138</v>
      </c>
      <c r="D14" s="67">
        <f>D46/D25</f>
        <v>0.19951239333604226</v>
      </c>
      <c r="E14" s="64">
        <v>0.2</v>
      </c>
      <c r="F14" s="64">
        <v>0.2</v>
      </c>
      <c r="G14" s="64">
        <v>0.2</v>
      </c>
    </row>
    <row r="15" spans="1:16" x14ac:dyDescent="0.25">
      <c r="B15" t="s">
        <v>77</v>
      </c>
      <c r="D15" s="73">
        <f>D58/D25</f>
        <v>4.9573344169036977E-2</v>
      </c>
      <c r="E15" s="64">
        <v>0.05</v>
      </c>
      <c r="F15" s="64">
        <v>0.05</v>
      </c>
      <c r="G15" s="64">
        <v>0.05</v>
      </c>
      <c r="N15" s="73"/>
      <c r="O15" s="73"/>
      <c r="P15" s="73"/>
    </row>
    <row r="16" spans="1:16" x14ac:dyDescent="0.25">
      <c r="B16" t="s">
        <v>41</v>
      </c>
      <c r="E16" s="64">
        <v>0.9</v>
      </c>
      <c r="F16" s="64">
        <v>0.9</v>
      </c>
      <c r="G16" s="64">
        <v>0.9</v>
      </c>
    </row>
    <row r="17" spans="1:16" x14ac:dyDescent="0.25">
      <c r="B17" t="s">
        <v>151</v>
      </c>
      <c r="E17" s="64">
        <v>0.1</v>
      </c>
      <c r="F17" s="64">
        <v>0.1</v>
      </c>
      <c r="G17" s="64">
        <v>0.1</v>
      </c>
    </row>
    <row r="18" spans="1:16" x14ac:dyDescent="0.25">
      <c r="B18" t="s">
        <v>139</v>
      </c>
      <c r="D18" s="73">
        <f>D42/D25</f>
        <v>0.11418122714343763</v>
      </c>
      <c r="E18" s="64">
        <v>0.114</v>
      </c>
      <c r="F18" s="64">
        <v>0.114</v>
      </c>
      <c r="G18" s="64">
        <v>0.114</v>
      </c>
    </row>
    <row r="19" spans="1:16" x14ac:dyDescent="0.25">
      <c r="B19" t="s">
        <v>89</v>
      </c>
      <c r="D19" s="67">
        <f>D48/D25</f>
        <v>3.6976838683462007E-2</v>
      </c>
      <c r="E19" s="64">
        <v>3.6999999999999998E-2</v>
      </c>
      <c r="F19" s="64">
        <v>3.6999999999999998E-2</v>
      </c>
      <c r="G19" s="64">
        <v>3.6999999999999998E-2</v>
      </c>
      <c r="N19" s="73"/>
      <c r="O19" s="73"/>
      <c r="P19" s="73"/>
    </row>
    <row r="20" spans="1:16" x14ac:dyDescent="0.25">
      <c r="B20" t="s">
        <v>99</v>
      </c>
      <c r="E20" s="65">
        <v>0</v>
      </c>
      <c r="F20" s="65">
        <v>0</v>
      </c>
      <c r="G20" s="65">
        <v>0</v>
      </c>
    </row>
    <row r="21" spans="1:16" x14ac:dyDescent="0.25">
      <c r="B21" t="s">
        <v>42</v>
      </c>
      <c r="E21" s="64">
        <v>0</v>
      </c>
      <c r="F21" s="64">
        <v>0.3</v>
      </c>
      <c r="G21" s="64">
        <v>0.3</v>
      </c>
    </row>
    <row r="22" spans="1:16" x14ac:dyDescent="0.25">
      <c r="B22" t="s">
        <v>111</v>
      </c>
      <c r="C22">
        <v>363.815743</v>
      </c>
      <c r="D22">
        <f>D32</f>
        <v>363.81631399999998</v>
      </c>
      <c r="E22" s="65">
        <v>363.81631399999998</v>
      </c>
      <c r="F22" s="65">
        <v>363.81631399999998</v>
      </c>
      <c r="G22" s="65">
        <v>363.81631399999998</v>
      </c>
    </row>
    <row r="24" spans="1:16" x14ac:dyDescent="0.25">
      <c r="A24" s="16" t="s">
        <v>68</v>
      </c>
    </row>
    <row r="25" spans="1:16" x14ac:dyDescent="0.25">
      <c r="B25" t="s">
        <v>17</v>
      </c>
      <c r="C25" s="60">
        <v>2968</v>
      </c>
      <c r="D25" s="60">
        <v>2461</v>
      </c>
      <c r="E25" s="63">
        <f>(1+E8)*D25</f>
        <v>2419.163</v>
      </c>
      <c r="F25" s="63">
        <f>(1+F8)*E25</f>
        <v>2550.7654671999999</v>
      </c>
      <c r="G25" s="63">
        <f>(1+G8)*F25</f>
        <v>2696.9243284705594</v>
      </c>
    </row>
    <row r="26" spans="1:16" x14ac:dyDescent="0.25">
      <c r="B26" t="s">
        <v>19</v>
      </c>
      <c r="C26" s="60">
        <v>418</v>
      </c>
      <c r="D26" s="60">
        <v>26</v>
      </c>
      <c r="E26" s="63">
        <f>E9*E25</f>
        <v>142.730617</v>
      </c>
      <c r="F26" s="63">
        <f>F9*F25</f>
        <v>244.8734848512</v>
      </c>
      <c r="G26" s="63">
        <f>G9*G25</f>
        <v>323.63091941646712</v>
      </c>
    </row>
    <row r="27" spans="1:16" x14ac:dyDescent="0.25">
      <c r="B27" t="s">
        <v>128</v>
      </c>
      <c r="C27" s="60">
        <v>0</v>
      </c>
      <c r="D27" s="60">
        <v>-29</v>
      </c>
      <c r="E27" s="63">
        <f>E10</f>
        <v>0</v>
      </c>
      <c r="F27" s="63">
        <f>F10</f>
        <v>0</v>
      </c>
      <c r="G27" s="63">
        <f>G10</f>
        <v>0</v>
      </c>
    </row>
    <row r="28" spans="1:16" x14ac:dyDescent="0.25">
      <c r="B28" t="s">
        <v>34</v>
      </c>
      <c r="C28" s="60">
        <v>-35</v>
      </c>
      <c r="D28" s="60">
        <v>-63</v>
      </c>
      <c r="E28" s="63">
        <f>-IF(switch=1,E73+E74,0)</f>
        <v>0</v>
      </c>
      <c r="F28" s="63">
        <f>-IF(switch=1,F73+F74,0)</f>
        <v>0</v>
      </c>
      <c r="G28" s="63">
        <f>-IF(switch=1,G73+G74,0)</f>
        <v>0</v>
      </c>
    </row>
    <row r="29" spans="1:16" x14ac:dyDescent="0.25">
      <c r="B29" t="s">
        <v>43</v>
      </c>
      <c r="C29">
        <f>SUM(C26:C28)</f>
        <v>383</v>
      </c>
      <c r="D29" s="63">
        <f>SUM(D26:D28)</f>
        <v>-66</v>
      </c>
      <c r="E29" s="63">
        <f>SUM(E26:E28)</f>
        <v>142.730617</v>
      </c>
      <c r="F29" s="63">
        <f>SUM(F26:F28)</f>
        <v>244.8734848512</v>
      </c>
      <c r="G29" s="63">
        <f>SUM(G26:G28)</f>
        <v>323.63091941646712</v>
      </c>
    </row>
    <row r="30" spans="1:16" x14ac:dyDescent="0.25">
      <c r="B30" t="s">
        <v>44</v>
      </c>
      <c r="C30" s="60">
        <v>-112</v>
      </c>
      <c r="D30" s="60">
        <v>-9</v>
      </c>
      <c r="E30" s="63">
        <f>-E11*E29</f>
        <v>-35.682654249999999</v>
      </c>
      <c r="F30" s="63">
        <f>-F11*F29</f>
        <v>-61.218371212800001</v>
      </c>
      <c r="G30" s="63">
        <f>-G11*G29</f>
        <v>-80.907729854116781</v>
      </c>
    </row>
    <row r="31" spans="1:16" x14ac:dyDescent="0.25">
      <c r="B31" t="s">
        <v>25</v>
      </c>
      <c r="C31" s="63">
        <f>C29+C30</f>
        <v>271</v>
      </c>
      <c r="D31" s="63">
        <f>D29+D30</f>
        <v>-75</v>
      </c>
      <c r="E31" s="63">
        <f>E29+E30</f>
        <v>107.04796275</v>
      </c>
      <c r="F31" s="63">
        <f>F29+F30</f>
        <v>183.6551136384</v>
      </c>
      <c r="G31" s="63">
        <f>G29+G30</f>
        <v>242.72318956235034</v>
      </c>
    </row>
    <row r="32" spans="1:16" x14ac:dyDescent="0.25">
      <c r="B32" t="s">
        <v>111</v>
      </c>
      <c r="C32">
        <f>C22</f>
        <v>363.815743</v>
      </c>
      <c r="D32" s="63">
        <v>363.81631399999998</v>
      </c>
      <c r="E32" s="63">
        <f>E22</f>
        <v>363.81631399999998</v>
      </c>
      <c r="F32" s="63">
        <f>F22</f>
        <v>363.81631399999998</v>
      </c>
      <c r="G32" s="63">
        <f>G22</f>
        <v>363.81631399999998</v>
      </c>
    </row>
    <row r="33" spans="1:7" x14ac:dyDescent="0.25">
      <c r="B33" t="s">
        <v>112</v>
      </c>
      <c r="C33" s="75">
        <f>C31/C32</f>
        <v>0.74488255446384022</v>
      </c>
      <c r="D33" s="75">
        <f>D31/D32</f>
        <v>-0.20614798488668104</v>
      </c>
      <c r="E33" s="75">
        <f t="shared" ref="E33:F33" si="0">E31/E32</f>
        <v>0.29423629076182661</v>
      </c>
      <c r="F33" s="75">
        <f t="shared" si="0"/>
        <v>0.50480175454254095</v>
      </c>
      <c r="G33" s="75">
        <f t="shared" ref="G33" si="1">G31/G32</f>
        <v>0.66715861884728556</v>
      </c>
    </row>
    <row r="35" spans="1:7" x14ac:dyDescent="0.25">
      <c r="A35" s="16" t="s">
        <v>69</v>
      </c>
    </row>
    <row r="36" spans="1:7" x14ac:dyDescent="0.25">
      <c r="A36" s="16"/>
      <c r="B36" t="s">
        <v>22</v>
      </c>
      <c r="C36" s="60">
        <v>441</v>
      </c>
      <c r="D36" s="60">
        <v>813</v>
      </c>
      <c r="E36" s="63">
        <f>MAX(E94,0)</f>
        <v>538.89377674999992</v>
      </c>
      <c r="F36" s="63">
        <f>MAX(F94,0)</f>
        <v>646.75079357847994</v>
      </c>
      <c r="G36" s="63">
        <f>MAX(G94,0)</f>
        <v>790.00493173406096</v>
      </c>
    </row>
    <row r="37" spans="1:7" x14ac:dyDescent="0.25">
      <c r="A37" s="16"/>
      <c r="B37" t="s">
        <v>135</v>
      </c>
      <c r="C37" s="60">
        <f>1424-441</f>
        <v>983</v>
      </c>
      <c r="D37" s="60">
        <f>1652-813</f>
        <v>839</v>
      </c>
      <c r="E37" s="63">
        <f>E13*E25</f>
        <v>822.51542000000006</v>
      </c>
      <c r="F37" s="63">
        <f>F13*F25</f>
        <v>867.26025884800003</v>
      </c>
      <c r="G37" s="63">
        <f>G13*G25</f>
        <v>916.95427167999026</v>
      </c>
    </row>
    <row r="38" spans="1:7" x14ac:dyDescent="0.25">
      <c r="A38" s="16"/>
      <c r="B38" t="s">
        <v>47</v>
      </c>
      <c r="C38" s="60">
        <f>1013+406</f>
        <v>1419</v>
      </c>
      <c r="D38" s="60">
        <f>398+867</f>
        <v>1265</v>
      </c>
      <c r="E38" s="63">
        <f>E60</f>
        <v>1277.0958149999999</v>
      </c>
      <c r="F38" s="63">
        <f>F60</f>
        <v>1289.8496423359998</v>
      </c>
      <c r="G38" s="63">
        <f>G60</f>
        <v>1303.3342639783525</v>
      </c>
    </row>
    <row r="39" spans="1:7" x14ac:dyDescent="0.25">
      <c r="A39" s="16"/>
      <c r="B39" t="s">
        <v>33</v>
      </c>
      <c r="C39" s="60">
        <v>0</v>
      </c>
      <c r="D39" s="60">
        <v>0</v>
      </c>
      <c r="E39" s="63">
        <f>D39</f>
        <v>0</v>
      </c>
      <c r="F39" s="63">
        <f>E39</f>
        <v>0</v>
      </c>
      <c r="G39" s="63">
        <f>F39</f>
        <v>0</v>
      </c>
    </row>
    <row r="40" spans="1:7" x14ac:dyDescent="0.25">
      <c r="A40" s="16"/>
      <c r="B40" t="s">
        <v>45</v>
      </c>
      <c r="C40" s="60">
        <v>267</v>
      </c>
      <c r="D40" s="60">
        <v>229</v>
      </c>
      <c r="E40" s="63">
        <f>E65</f>
        <v>206.1</v>
      </c>
      <c r="F40" s="63">
        <f t="shared" ref="F40:G40" si="2">F65</f>
        <v>185.49</v>
      </c>
      <c r="G40" s="63">
        <f t="shared" si="2"/>
        <v>166.941</v>
      </c>
    </row>
    <row r="41" spans="1:7" x14ac:dyDescent="0.25">
      <c r="A41" s="16"/>
      <c r="B41" t="s">
        <v>46</v>
      </c>
      <c r="C41" s="60">
        <v>0</v>
      </c>
      <c r="D41" s="60">
        <v>0</v>
      </c>
      <c r="E41" s="63">
        <f>D41</f>
        <v>0</v>
      </c>
      <c r="F41" s="63">
        <f>E41</f>
        <v>0</v>
      </c>
      <c r="G41" s="63">
        <f>F41</f>
        <v>0</v>
      </c>
    </row>
    <row r="42" spans="1:7" x14ac:dyDescent="0.25">
      <c r="A42" s="16"/>
      <c r="B42" t="s">
        <v>146</v>
      </c>
      <c r="C42" s="60">
        <f>208+52</f>
        <v>260</v>
      </c>
      <c r="D42" s="60">
        <f>233+48</f>
        <v>281</v>
      </c>
      <c r="E42" s="63">
        <f>E18*E25</f>
        <v>275.784582</v>
      </c>
      <c r="F42" s="63">
        <f t="shared" ref="F42:G42" si="3">F18*F25</f>
        <v>290.78726326079999</v>
      </c>
      <c r="G42" s="63">
        <f t="shared" si="3"/>
        <v>307.4493734456438</v>
      </c>
    </row>
    <row r="43" spans="1:7" x14ac:dyDescent="0.25">
      <c r="A43" s="16"/>
      <c r="B43" t="s">
        <v>24</v>
      </c>
      <c r="C43" s="63">
        <f>SUM(C36:C42)</f>
        <v>3370</v>
      </c>
      <c r="D43" s="63">
        <f>SUM(D36:D42)</f>
        <v>3427</v>
      </c>
      <c r="E43" s="63">
        <f>SUM(E36:E42)</f>
        <v>3120.3895937499992</v>
      </c>
      <c r="F43" s="63">
        <f>SUM(F36:F42)</f>
        <v>3280.1379580232801</v>
      </c>
      <c r="G43" s="63">
        <f>SUM(G36:G42)</f>
        <v>3484.6838408380472</v>
      </c>
    </row>
    <row r="44" spans="1:7" x14ac:dyDescent="0.25">
      <c r="A44" s="16"/>
    </row>
    <row r="45" spans="1:7" x14ac:dyDescent="0.25">
      <c r="A45" s="16"/>
      <c r="B45" t="s">
        <v>79</v>
      </c>
      <c r="C45" s="60">
        <v>79</v>
      </c>
      <c r="D45" s="60">
        <f>300+105</f>
        <v>405</v>
      </c>
      <c r="E45" s="63">
        <f>-MIN(E94,0)</f>
        <v>0</v>
      </c>
      <c r="F45" s="63">
        <f>-MIN(F94,0)</f>
        <v>0</v>
      </c>
      <c r="G45" s="63">
        <f>-MIN(G94,0)</f>
        <v>0</v>
      </c>
    </row>
    <row r="46" spans="1:7" x14ac:dyDescent="0.25">
      <c r="A46" s="16"/>
      <c r="B46" t="s">
        <v>136</v>
      </c>
      <c r="C46" s="60">
        <f>857-79-229</f>
        <v>549</v>
      </c>
      <c r="D46" s="60">
        <f>1111-105-215-300</f>
        <v>491</v>
      </c>
      <c r="E46" s="63">
        <f>E14*E25</f>
        <v>483.83260000000001</v>
      </c>
      <c r="F46" s="63">
        <f>F14*F25</f>
        <v>510.15309344000002</v>
      </c>
      <c r="G46" s="63">
        <f>G14*G25</f>
        <v>539.38486569411191</v>
      </c>
    </row>
    <row r="47" spans="1:7" x14ac:dyDescent="0.25">
      <c r="A47" s="16"/>
      <c r="B47" t="s">
        <v>80</v>
      </c>
      <c r="C47" s="60">
        <f>229+959+299</f>
        <v>1487</v>
      </c>
      <c r="D47" s="60">
        <f>438+866+215</f>
        <v>1519</v>
      </c>
      <c r="E47" s="63">
        <f>D47+E20</f>
        <v>1519</v>
      </c>
      <c r="F47" s="63">
        <f>E47+F20</f>
        <v>1519</v>
      </c>
      <c r="G47" s="63">
        <f>F47+G20</f>
        <v>1519</v>
      </c>
    </row>
    <row r="48" spans="1:7" x14ac:dyDescent="0.25">
      <c r="A48" s="16"/>
      <c r="B48" t="s">
        <v>147</v>
      </c>
      <c r="C48" s="60">
        <f>63+1+37</f>
        <v>101</v>
      </c>
      <c r="D48" s="60">
        <f>1395-866-438</f>
        <v>91</v>
      </c>
      <c r="E48" s="63">
        <f>E19*E25</f>
        <v>89.509030999999993</v>
      </c>
      <c r="F48" s="63">
        <f>F19*F25</f>
        <v>94.378322286399992</v>
      </c>
      <c r="G48" s="63">
        <f>G19*G25</f>
        <v>99.786200153410689</v>
      </c>
    </row>
    <row r="49" spans="1:7" x14ac:dyDescent="0.25">
      <c r="A49" s="16"/>
      <c r="B49" t="s">
        <v>27</v>
      </c>
      <c r="C49" s="63">
        <f>SUM(C45:C48)</f>
        <v>2216</v>
      </c>
      <c r="D49" s="63">
        <f>SUM(D45:D48)</f>
        <v>2506</v>
      </c>
      <c r="E49" s="63">
        <f>SUM(E45:E48)</f>
        <v>2092.3416309999998</v>
      </c>
      <c r="F49" s="63">
        <f>SUM(F45:F48)</f>
        <v>2123.5314157264002</v>
      </c>
      <c r="G49" s="63">
        <f>SUM(G45:G48)</f>
        <v>2158.1710658475226</v>
      </c>
    </row>
    <row r="50" spans="1:7" x14ac:dyDescent="0.25">
      <c r="A50" s="16"/>
      <c r="B50" t="s">
        <v>18</v>
      </c>
      <c r="C50" s="60">
        <v>1154</v>
      </c>
      <c r="D50" s="60">
        <v>921</v>
      </c>
      <c r="E50" s="63">
        <f>E71</f>
        <v>1028.0479627499999</v>
      </c>
      <c r="F50" s="63">
        <f>F71</f>
        <v>1156.60654229688</v>
      </c>
      <c r="G50" s="63">
        <f>G71</f>
        <v>1326.5127749905253</v>
      </c>
    </row>
    <row r="51" spans="1:7" x14ac:dyDescent="0.25">
      <c r="A51" s="16"/>
      <c r="B51" t="s">
        <v>91</v>
      </c>
      <c r="C51" s="63">
        <f>SUM(C49:C50)</f>
        <v>3370</v>
      </c>
      <c r="D51" s="63">
        <f>SUM(D49:D50)</f>
        <v>3427</v>
      </c>
      <c r="E51" s="63">
        <f>SUM(E49:E50)</f>
        <v>3120.3895937499997</v>
      </c>
      <c r="F51" s="63">
        <f>SUM(F49:F50)</f>
        <v>3280.1379580232801</v>
      </c>
      <c r="G51" s="63">
        <f>SUM(G49:G50)</f>
        <v>3484.6838408380481</v>
      </c>
    </row>
    <row r="52" spans="1:7" x14ac:dyDescent="0.25">
      <c r="A52" s="16"/>
    </row>
    <row r="53" spans="1:7" x14ac:dyDescent="0.25">
      <c r="A53" s="16"/>
      <c r="B53" t="s">
        <v>20</v>
      </c>
      <c r="C53" s="63">
        <f>C43-C51</f>
        <v>0</v>
      </c>
      <c r="D53" s="63">
        <f>D43-D51</f>
        <v>0</v>
      </c>
      <c r="E53" s="63">
        <f>E43-E51</f>
        <v>0</v>
      </c>
      <c r="F53" s="63">
        <f>F43-F51</f>
        <v>0</v>
      </c>
      <c r="G53" s="63">
        <f>G43-G51</f>
        <v>0</v>
      </c>
    </row>
    <row r="54" spans="1:7" x14ac:dyDescent="0.25">
      <c r="A54" s="16"/>
    </row>
    <row r="55" spans="1:7" x14ac:dyDescent="0.25">
      <c r="A55" s="16" t="s">
        <v>70</v>
      </c>
    </row>
    <row r="56" spans="1:7" x14ac:dyDescent="0.25">
      <c r="A56" s="16"/>
      <c r="B56" t="s">
        <v>47</v>
      </c>
    </row>
    <row r="57" spans="1:7" x14ac:dyDescent="0.25">
      <c r="A57" s="16"/>
      <c r="B57" t="s">
        <v>82</v>
      </c>
      <c r="E57" s="63">
        <f>D60</f>
        <v>1265</v>
      </c>
      <c r="F57" s="63">
        <f>E60</f>
        <v>1277.0958149999999</v>
      </c>
      <c r="G57" s="63">
        <f>F60</f>
        <v>1289.8496423359998</v>
      </c>
    </row>
    <row r="58" spans="1:7" x14ac:dyDescent="0.25">
      <c r="A58" s="16"/>
      <c r="B58" t="s">
        <v>83</v>
      </c>
      <c r="D58" s="60">
        <v>122</v>
      </c>
      <c r="E58" s="63">
        <f>E15*E25</f>
        <v>120.95815</v>
      </c>
      <c r="F58" s="63">
        <f>F15*F25</f>
        <v>127.53827336000001</v>
      </c>
      <c r="G58" s="63">
        <f>G15*G25</f>
        <v>134.84621642352798</v>
      </c>
    </row>
    <row r="59" spans="1:7" x14ac:dyDescent="0.25">
      <c r="A59" s="16"/>
      <c r="B59" t="s">
        <v>84</v>
      </c>
      <c r="E59" s="63">
        <f>-E16*E58</f>
        <v>-108.862335</v>
      </c>
      <c r="F59" s="63">
        <f>-F16*F58</f>
        <v>-114.784446024</v>
      </c>
      <c r="G59" s="63">
        <f>-G16*G58</f>
        <v>-121.36159478117519</v>
      </c>
    </row>
    <row r="60" spans="1:7" x14ac:dyDescent="0.25">
      <c r="A60" s="16"/>
      <c r="B60" t="s">
        <v>48</v>
      </c>
      <c r="D60" s="63">
        <f>D38</f>
        <v>1265</v>
      </c>
      <c r="E60" s="63">
        <f>SUM(E57:E59)</f>
        <v>1277.0958149999999</v>
      </c>
      <c r="F60" s="63">
        <f>SUM(F57:F59)</f>
        <v>1289.8496423359998</v>
      </c>
      <c r="G60" s="63">
        <f>SUM(G57:G59)</f>
        <v>1303.3342639783525</v>
      </c>
    </row>
    <row r="61" spans="1:7" x14ac:dyDescent="0.25">
      <c r="A61" s="16"/>
    </row>
    <row r="62" spans="1:7" x14ac:dyDescent="0.25">
      <c r="A62" s="16"/>
      <c r="B62" t="s">
        <v>150</v>
      </c>
    </row>
    <row r="63" spans="1:7" x14ac:dyDescent="0.25">
      <c r="A63" s="16"/>
      <c r="B63" t="s">
        <v>133</v>
      </c>
      <c r="E63">
        <f>D65</f>
        <v>229</v>
      </c>
      <c r="F63">
        <f t="shared" ref="F63:G63" si="4">E65</f>
        <v>206.1</v>
      </c>
      <c r="G63">
        <f t="shared" si="4"/>
        <v>185.49</v>
      </c>
    </row>
    <row r="64" spans="1:7" x14ac:dyDescent="0.25">
      <c r="A64" s="16"/>
      <c r="B64" t="s">
        <v>134</v>
      </c>
      <c r="E64">
        <f>E17*E63*-1</f>
        <v>-22.900000000000002</v>
      </c>
      <c r="F64">
        <f>F17*F63*-1</f>
        <v>-20.61</v>
      </c>
      <c r="G64">
        <f>G17*G63*-1</f>
        <v>-18.549000000000003</v>
      </c>
    </row>
    <row r="65" spans="1:7" x14ac:dyDescent="0.25">
      <c r="A65" s="16"/>
      <c r="B65" t="s">
        <v>48</v>
      </c>
      <c r="D65">
        <f>D40</f>
        <v>229</v>
      </c>
      <c r="E65">
        <f>SUM(E63:E64)</f>
        <v>206.1</v>
      </c>
      <c r="F65">
        <f t="shared" ref="F65:G65" si="5">SUM(F63:F64)</f>
        <v>185.49</v>
      </c>
      <c r="G65">
        <f t="shared" si="5"/>
        <v>166.941</v>
      </c>
    </row>
    <row r="66" spans="1:7" x14ac:dyDescent="0.25">
      <c r="A66" s="16"/>
    </row>
    <row r="67" spans="1:7" x14ac:dyDescent="0.25">
      <c r="A67" s="16"/>
      <c r="B67" t="s">
        <v>18</v>
      </c>
    </row>
    <row r="68" spans="1:7" x14ac:dyDescent="0.25">
      <c r="A68" s="16"/>
      <c r="B68" t="s">
        <v>82</v>
      </c>
      <c r="E68" s="63">
        <f>D71</f>
        <v>921</v>
      </c>
      <c r="F68" s="63">
        <f>E71</f>
        <v>1028.0479627499999</v>
      </c>
      <c r="G68" s="63">
        <f>F71</f>
        <v>1156.60654229688</v>
      </c>
    </row>
    <row r="69" spans="1:7" x14ac:dyDescent="0.25">
      <c r="A69" s="16"/>
      <c r="B69" t="s">
        <v>85</v>
      </c>
      <c r="E69" s="63">
        <f>E31</f>
        <v>107.04796275</v>
      </c>
      <c r="F69" s="63">
        <f>F31</f>
        <v>183.6551136384</v>
      </c>
      <c r="G69" s="63">
        <f>G31</f>
        <v>242.72318956235034</v>
      </c>
    </row>
    <row r="70" spans="1:7" x14ac:dyDescent="0.25">
      <c r="A70" s="16"/>
      <c r="B70" t="s">
        <v>86</v>
      </c>
      <c r="E70" s="63">
        <f>-E21*E69</f>
        <v>0</v>
      </c>
      <c r="F70" s="63">
        <f>-F21*F69</f>
        <v>-55.096534091519999</v>
      </c>
      <c r="G70" s="63">
        <f>-G21*G69</f>
        <v>-72.816956868705105</v>
      </c>
    </row>
    <row r="71" spans="1:7" x14ac:dyDescent="0.25">
      <c r="A71" s="16"/>
      <c r="B71" t="s">
        <v>48</v>
      </c>
      <c r="D71" s="63">
        <f>D50</f>
        <v>921</v>
      </c>
      <c r="E71" s="63">
        <f>SUM(E68:E70)</f>
        <v>1028.0479627499999</v>
      </c>
      <c r="F71" s="63">
        <f>SUM(F68:F70)</f>
        <v>1156.60654229688</v>
      </c>
      <c r="G71" s="63">
        <f>SUM(G68:G70)</f>
        <v>1326.5127749905253</v>
      </c>
    </row>
    <row r="72" spans="1:7" x14ac:dyDescent="0.25">
      <c r="A72" s="16"/>
    </row>
    <row r="73" spans="1:7" x14ac:dyDescent="0.25">
      <c r="A73" s="16"/>
      <c r="B73" t="s">
        <v>87</v>
      </c>
      <c r="E73" s="63">
        <f>E12*AVERAGE(D45:E45)</f>
        <v>8.1</v>
      </c>
      <c r="F73" s="63">
        <f>F12*AVERAGE(E45:F45)</f>
        <v>0</v>
      </c>
      <c r="G73" s="63">
        <f>G12*AVERAGE(F45:G45)</f>
        <v>0</v>
      </c>
    </row>
    <row r="74" spans="1:7" x14ac:dyDescent="0.25">
      <c r="A74" s="16"/>
      <c r="B74" t="s">
        <v>88</v>
      </c>
      <c r="E74" s="63">
        <f>E12*AVERAGE(D47:E47)</f>
        <v>60.76</v>
      </c>
      <c r="F74" s="63">
        <f>F12*AVERAGE(E47:F47)</f>
        <v>60.76</v>
      </c>
      <c r="G74" s="63">
        <f>G12*AVERAGE(F47:G47)</f>
        <v>60.76</v>
      </c>
    </row>
    <row r="75" spans="1:7" x14ac:dyDescent="0.25">
      <c r="A75" s="16"/>
    </row>
    <row r="76" spans="1:7" x14ac:dyDescent="0.25">
      <c r="A76" s="16" t="s">
        <v>71</v>
      </c>
    </row>
    <row r="77" spans="1:7" x14ac:dyDescent="0.25">
      <c r="A77" s="16"/>
      <c r="B77" t="s">
        <v>25</v>
      </c>
      <c r="E77" s="63">
        <f>E31</f>
        <v>107.04796275</v>
      </c>
      <c r="F77" s="63">
        <f>F31</f>
        <v>183.6551136384</v>
      </c>
      <c r="G77" s="63">
        <f>G31</f>
        <v>242.72318956235034</v>
      </c>
    </row>
    <row r="78" spans="1:7" x14ac:dyDescent="0.25">
      <c r="A78" s="16"/>
      <c r="B78" t="s">
        <v>97</v>
      </c>
      <c r="E78" s="63">
        <f>E59*-1</f>
        <v>108.862335</v>
      </c>
      <c r="F78" s="63">
        <f>F59*-1</f>
        <v>114.784446024</v>
      </c>
      <c r="G78" s="63">
        <f>G59*-1</f>
        <v>121.36159478117519</v>
      </c>
    </row>
    <row r="79" spans="1:7" x14ac:dyDescent="0.25">
      <c r="A79" s="16"/>
      <c r="B79" t="s">
        <v>32</v>
      </c>
      <c r="E79" s="63">
        <f>-E64</f>
        <v>22.900000000000002</v>
      </c>
      <c r="F79" s="63">
        <f t="shared" ref="F79:G79" si="6">-F64</f>
        <v>20.61</v>
      </c>
      <c r="G79" s="63">
        <f t="shared" si="6"/>
        <v>18.549000000000003</v>
      </c>
    </row>
    <row r="80" spans="1:7" x14ac:dyDescent="0.25">
      <c r="A80" s="16"/>
      <c r="B80" t="s">
        <v>49</v>
      </c>
      <c r="E80" s="63">
        <f>D37-E37</f>
        <v>16.484579999999937</v>
      </c>
      <c r="F80" s="63">
        <f>E37-F37</f>
        <v>-44.744838847999972</v>
      </c>
      <c r="G80" s="63">
        <f>F37-G37</f>
        <v>-49.694012831990221</v>
      </c>
    </row>
    <row r="81" spans="1:7" x14ac:dyDescent="0.25">
      <c r="A81" s="16"/>
      <c r="B81" t="s">
        <v>149</v>
      </c>
      <c r="E81" s="63">
        <f>D42-E42</f>
        <v>5.2154179999999997</v>
      </c>
      <c r="F81" s="63">
        <f>E42-F42</f>
        <v>-15.002681260799989</v>
      </c>
      <c r="G81" s="63">
        <f>F42-G42</f>
        <v>-16.662110184843812</v>
      </c>
    </row>
    <row r="82" spans="1:7" x14ac:dyDescent="0.25">
      <c r="A82" s="16"/>
      <c r="B82" t="s">
        <v>50</v>
      </c>
      <c r="E82" s="63">
        <f>E46-D46</f>
        <v>-7.1673999999999864</v>
      </c>
      <c r="F82" s="63">
        <f>F46-E46</f>
        <v>26.320493440000007</v>
      </c>
      <c r="G82" s="63">
        <f>G46-F46</f>
        <v>29.231772254111888</v>
      </c>
    </row>
    <row r="83" spans="1:7" x14ac:dyDescent="0.25">
      <c r="A83" s="16"/>
      <c r="B83" t="s">
        <v>148</v>
      </c>
      <c r="E83" s="63">
        <f>E48-D48</f>
        <v>-1.4909690000000069</v>
      </c>
      <c r="F83" s="63">
        <f>F48-E48</f>
        <v>4.8692912863999993</v>
      </c>
      <c r="G83" s="63">
        <f>G48-F48</f>
        <v>5.4078778670106971</v>
      </c>
    </row>
    <row r="84" spans="1:7" x14ac:dyDescent="0.25">
      <c r="A84" s="16"/>
      <c r="B84" t="s">
        <v>23</v>
      </c>
      <c r="E84" s="63">
        <f>SUM(E77:E83)</f>
        <v>251.85192674999996</v>
      </c>
      <c r="F84" s="63">
        <f>SUM(F77:F83)</f>
        <v>290.49182428000006</v>
      </c>
      <c r="G84" s="63">
        <f>SUM(G77:G83)</f>
        <v>350.91731144781409</v>
      </c>
    </row>
    <row r="85" spans="1:7" x14ac:dyDescent="0.25">
      <c r="A85" s="16"/>
    </row>
    <row r="86" spans="1:7" x14ac:dyDescent="0.25">
      <c r="A86" s="16"/>
      <c r="B86" t="s">
        <v>21</v>
      </c>
      <c r="E86" s="63">
        <f>-E58</f>
        <v>-120.95815</v>
      </c>
      <c r="F86" s="63">
        <f>-F58</f>
        <v>-127.53827336000001</v>
      </c>
      <c r="G86" s="63">
        <f>-G58</f>
        <v>-134.84621642352798</v>
      </c>
    </row>
    <row r="87" spans="1:7" x14ac:dyDescent="0.25">
      <c r="A87" s="16"/>
      <c r="B87" t="s">
        <v>28</v>
      </c>
      <c r="E87" s="63">
        <f>SUM(E86)</f>
        <v>-120.95815</v>
      </c>
      <c r="F87" s="63">
        <f>SUM(F86)</f>
        <v>-127.53827336000001</v>
      </c>
      <c r="G87" s="63">
        <f>SUM(G86)</f>
        <v>-134.84621642352798</v>
      </c>
    </row>
    <row r="88" spans="1:7" x14ac:dyDescent="0.25">
      <c r="A88" s="16"/>
    </row>
    <row r="89" spans="1:7" x14ac:dyDescent="0.25">
      <c r="A89" s="16"/>
      <c r="B89" t="s">
        <v>29</v>
      </c>
      <c r="E89" s="63">
        <f>E70</f>
        <v>0</v>
      </c>
      <c r="F89" s="63">
        <f>F70</f>
        <v>-55.096534091519999</v>
      </c>
      <c r="G89" s="63">
        <f>G70</f>
        <v>-72.816956868705105</v>
      </c>
    </row>
    <row r="90" spans="1:7" x14ac:dyDescent="0.25">
      <c r="A90" s="16"/>
      <c r="B90" t="s">
        <v>78</v>
      </c>
      <c r="E90" s="63">
        <f>E47-D47</f>
        <v>0</v>
      </c>
      <c r="F90" s="63">
        <f>F47-E47</f>
        <v>0</v>
      </c>
      <c r="G90" s="63">
        <f>G47-F47</f>
        <v>0</v>
      </c>
    </row>
    <row r="91" spans="1:7" x14ac:dyDescent="0.25">
      <c r="A91" s="16"/>
      <c r="B91" t="s">
        <v>30</v>
      </c>
      <c r="E91" s="63">
        <f>SUM(E89:E90)</f>
        <v>0</v>
      </c>
      <c r="F91" s="63">
        <f>SUM(F89:F90)</f>
        <v>-55.096534091519999</v>
      </c>
      <c r="G91" s="63">
        <f>SUM(G89:G90)</f>
        <v>-72.816956868705105</v>
      </c>
    </row>
    <row r="92" spans="1:7" x14ac:dyDescent="0.25">
      <c r="A92" s="16"/>
    </row>
    <row r="93" spans="1:7" x14ac:dyDescent="0.25">
      <c r="A93" s="16"/>
      <c r="B93" t="s">
        <v>31</v>
      </c>
      <c r="E93" s="63">
        <f>SUM(E84,E87,E91)</f>
        <v>130.89377674999997</v>
      </c>
      <c r="F93" s="63">
        <f>SUM(F84,F87,F91)</f>
        <v>107.85701682848006</v>
      </c>
      <c r="G93" s="63">
        <f>SUM(G84,G87,G91)</f>
        <v>143.25413815558102</v>
      </c>
    </row>
    <row r="94" spans="1:7" x14ac:dyDescent="0.25">
      <c r="A94" s="16"/>
      <c r="B94" t="s">
        <v>90</v>
      </c>
      <c r="D94" s="63">
        <f>D36-D45</f>
        <v>408</v>
      </c>
      <c r="E94" s="63">
        <f>D94+E93</f>
        <v>538.89377674999992</v>
      </c>
      <c r="F94" s="63">
        <f>E94+F93</f>
        <v>646.75079357847994</v>
      </c>
      <c r="G94" s="63">
        <f>F94+G93</f>
        <v>790.00493173406096</v>
      </c>
    </row>
    <row r="96" spans="1:7" x14ac:dyDescent="0.25">
      <c r="A96" s="1" t="s">
        <v>65</v>
      </c>
    </row>
  </sheetData>
  <printOptions headings="1" gridLines="1"/>
  <pageMargins left="0.7" right="0.7" top="0.75" bottom="0.75" header="0.3" footer="0.3"/>
  <pageSetup paperSize="9" scale="82" fitToHeight="0" orientation="portrait" horizontalDpi="300" verticalDpi="300" r:id="rId1"/>
  <rowBreaks count="1" manualBreakCount="1">
    <brk id="5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7538-241C-436A-9D8E-A871FE957E7B}">
  <sheetPr>
    <pageSetUpPr fitToPage="1"/>
  </sheetPr>
  <dimension ref="A1:L98"/>
  <sheetViews>
    <sheetView zoomScaleNormal="100" workbookViewId="0"/>
  </sheetViews>
  <sheetFormatPr defaultRowHeight="15.75" x14ac:dyDescent="0.25"/>
  <cols>
    <col min="1" max="1" width="2.140625" style="1" customWidth="1"/>
    <col min="2" max="2" width="45.7109375" customWidth="1"/>
    <col min="3" max="7" width="11.140625" customWidth="1"/>
    <col min="8" max="8" width="12.5703125" customWidth="1"/>
    <col min="9" max="10" width="11.140625" customWidth="1"/>
  </cols>
  <sheetData>
    <row r="1" spans="1:12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35">
      <c r="A2" s="15" t="s">
        <v>93</v>
      </c>
      <c r="B2" s="8"/>
      <c r="C2" s="12"/>
      <c r="D2" s="12">
        <v>45657</v>
      </c>
      <c r="E2" s="12">
        <v>46022</v>
      </c>
      <c r="F2" s="12">
        <v>46387</v>
      </c>
      <c r="G2" s="12">
        <v>46752</v>
      </c>
      <c r="H2" s="12"/>
      <c r="I2" s="12"/>
      <c r="J2" s="12"/>
      <c r="L2" s="62"/>
    </row>
    <row r="3" spans="1:12" ht="15" customHeight="1" x14ac:dyDescent="0.25"/>
    <row r="4" spans="1:12" ht="15" customHeight="1" x14ac:dyDescent="0.25">
      <c r="B4" t="s">
        <v>4</v>
      </c>
      <c r="D4" t="s">
        <v>94</v>
      </c>
      <c r="F4" s="78" t="s">
        <v>163</v>
      </c>
      <c r="G4" s="73">
        <f>(AcquirerLFY-TargetLFY)/365</f>
        <v>-0.24657534246575341</v>
      </c>
    </row>
    <row r="5" spans="1:12" ht="15" customHeight="1" x14ac:dyDescent="0.25"/>
    <row r="6" spans="1:12" x14ac:dyDescent="0.25">
      <c r="A6" s="16" t="s">
        <v>98</v>
      </c>
      <c r="D6" s="79"/>
      <c r="E6" s="79"/>
      <c r="F6" s="79"/>
      <c r="G6" s="79"/>
    </row>
    <row r="8" spans="1:12" x14ac:dyDescent="0.25">
      <c r="B8" t="str">
        <f>'Target (Local FX)'!B8</f>
        <v>Sales growth</v>
      </c>
      <c r="E8" s="73" t="e">
        <f>E25/D25-1</f>
        <v>#DIV/0!</v>
      </c>
      <c r="F8" s="73" t="e">
        <f>F25/E25-1</f>
        <v>#DIV/0!</v>
      </c>
      <c r="G8" s="73" t="e">
        <f>G25/F25-1</f>
        <v>#DIV/0!</v>
      </c>
    </row>
    <row r="9" spans="1:12" x14ac:dyDescent="0.25">
      <c r="B9" t="str">
        <f>'Target (Local FX)'!B9</f>
        <v>EBIT margin</v>
      </c>
      <c r="D9" s="72" t="e">
        <f>D26/D25</f>
        <v>#DIV/0!</v>
      </c>
      <c r="E9" s="72" t="e">
        <f>E26/E25</f>
        <v>#DIV/0!</v>
      </c>
      <c r="F9" s="72" t="e">
        <f t="shared" ref="F9:G9" si="0">F26/F25</f>
        <v>#DIV/0!</v>
      </c>
      <c r="G9" s="72" t="e">
        <f t="shared" si="0"/>
        <v>#DIV/0!</v>
      </c>
    </row>
    <row r="10" spans="1:12" x14ac:dyDescent="0.25">
      <c r="B10" t="str">
        <f>'Target (Local FX)'!B10</f>
        <v>Non-recurring expenses</v>
      </c>
      <c r="E10">
        <f>E27</f>
        <v>0</v>
      </c>
      <c r="F10">
        <f t="shared" ref="F10:G10" si="1">F27</f>
        <v>0</v>
      </c>
      <c r="G10">
        <f t="shared" si="1"/>
        <v>0</v>
      </c>
    </row>
    <row r="11" spans="1:12" x14ac:dyDescent="0.25">
      <c r="B11" t="str">
        <f>'Target (Local FX)'!B11</f>
        <v>Tax rate</v>
      </c>
      <c r="E11" s="73" t="e">
        <f>E30/E29*-1</f>
        <v>#DIV/0!</v>
      </c>
      <c r="F11" s="73" t="e">
        <f t="shared" ref="F11:G11" si="2">F30/F29*-1</f>
        <v>#DIV/0!</v>
      </c>
      <c r="G11" s="73" t="e">
        <f t="shared" si="2"/>
        <v>#DIV/0!</v>
      </c>
    </row>
    <row r="12" spans="1:12" x14ac:dyDescent="0.25">
      <c r="B12" t="str">
        <f>'Target (Local FX)'!B12</f>
        <v>Interest rate on all debt</v>
      </c>
      <c r="D12" s="72"/>
      <c r="E12" s="72"/>
      <c r="F12" s="72"/>
    </row>
    <row r="13" spans="1:12" x14ac:dyDescent="0.25">
      <c r="B13" t="str">
        <f>'Target (Local FX)'!B13</f>
        <v>Operating current assets / sales</v>
      </c>
      <c r="D13" s="72" t="e">
        <f>D37/D25</f>
        <v>#DIV/0!</v>
      </c>
      <c r="E13" s="72" t="e">
        <f>E37/E25</f>
        <v>#DIV/0!</v>
      </c>
      <c r="F13" s="72" t="e">
        <f t="shared" ref="F13:G13" si="3">F37/F25</f>
        <v>#DIV/0!</v>
      </c>
      <c r="G13" s="72" t="e">
        <f t="shared" si="3"/>
        <v>#DIV/0!</v>
      </c>
    </row>
    <row r="14" spans="1:12" x14ac:dyDescent="0.25">
      <c r="B14" t="str">
        <f>'Target (Local FX)'!B14</f>
        <v>Operating current liabilities / sales</v>
      </c>
      <c r="E14" s="73" t="e">
        <f>E46/E25</f>
        <v>#DIV/0!</v>
      </c>
      <c r="F14" s="73" t="e">
        <f>F46/F25</f>
        <v>#DIV/0!</v>
      </c>
      <c r="G14" s="73" t="e">
        <f>G46/G25</f>
        <v>#DIV/0!</v>
      </c>
    </row>
    <row r="15" spans="1:12" x14ac:dyDescent="0.25">
      <c r="B15" t="str">
        <f>'Target (Local FX)'!B15</f>
        <v>Capex / sales</v>
      </c>
      <c r="E15" s="73" t="e">
        <f>E58/E25</f>
        <v>#DIV/0!</v>
      </c>
      <c r="F15" s="73" t="e">
        <f>F58/F25</f>
        <v>#DIV/0!</v>
      </c>
      <c r="G15" s="73" t="e">
        <f>G58/G25</f>
        <v>#DIV/0!</v>
      </c>
    </row>
    <row r="16" spans="1:12" x14ac:dyDescent="0.25">
      <c r="B16" t="str">
        <f>'Target (Local FX)'!B16</f>
        <v>Depreciation as % of capex</v>
      </c>
      <c r="E16" s="73" t="e">
        <f>E59/E58*-1</f>
        <v>#DIV/0!</v>
      </c>
      <c r="F16" s="73" t="e">
        <f t="shared" ref="F16:G16" si="4">F59/F58*-1</f>
        <v>#DIV/0!</v>
      </c>
      <c r="G16" s="73" t="e">
        <f t="shared" si="4"/>
        <v>#DIV/0!</v>
      </c>
    </row>
    <row r="17" spans="1:7" x14ac:dyDescent="0.25">
      <c r="B17" t="str">
        <f>'Target (Local FX)'!B17</f>
        <v xml:space="preserve">Amortization % beginning intangibles  </v>
      </c>
      <c r="D17" s="72"/>
      <c r="E17" s="72" t="e">
        <f>E64/D40*-1</f>
        <v>#DIV/0!</v>
      </c>
      <c r="F17" s="72" t="e">
        <f>F64/E40*-1</f>
        <v>#DIV/0!</v>
      </c>
      <c r="G17" s="72" t="e">
        <f>G64/F40*-1</f>
        <v>#DIV/0!</v>
      </c>
    </row>
    <row r="18" spans="1:7" x14ac:dyDescent="0.25">
      <c r="B18" t="str">
        <f>'Target (Local FX)'!B18</f>
        <v>Operating non current assets / sales</v>
      </c>
      <c r="E18" s="73" t="e">
        <f>E42/E25</f>
        <v>#DIV/0!</v>
      </c>
      <c r="F18" s="73" t="e">
        <f t="shared" ref="F18:G18" si="5">F42/F25</f>
        <v>#DIV/0!</v>
      </c>
      <c r="G18" s="73" t="e">
        <f t="shared" si="5"/>
        <v>#DIV/0!</v>
      </c>
    </row>
    <row r="19" spans="1:7" x14ac:dyDescent="0.25">
      <c r="B19" t="str">
        <f>'Target (Local FX)'!B19</f>
        <v>Operating long term liabilities / sales</v>
      </c>
      <c r="E19" s="73" t="e">
        <f>E48/E25</f>
        <v>#DIV/0!</v>
      </c>
      <c r="F19" s="73" t="e">
        <f>F48/F25</f>
        <v>#DIV/0!</v>
      </c>
      <c r="G19" s="73" t="e">
        <f>G48/G25</f>
        <v>#DIV/0!</v>
      </c>
    </row>
    <row r="20" spans="1:7" x14ac:dyDescent="0.25">
      <c r="B20" t="str">
        <f>'Target (Local FX)'!B20</f>
        <v xml:space="preserve">Long term debt issuance / (repayment) </v>
      </c>
      <c r="E20" s="73"/>
      <c r="F20" s="73"/>
      <c r="G20" s="73"/>
    </row>
    <row r="21" spans="1:7" x14ac:dyDescent="0.25">
      <c r="B21" t="str">
        <f>'Target (Local FX)'!B21</f>
        <v>Dividend payout ratio</v>
      </c>
      <c r="E21" s="73" t="e">
        <f>E70/E31*-1</f>
        <v>#DIV/0!</v>
      </c>
      <c r="F21" s="73" t="e">
        <f>F70/F31*-1</f>
        <v>#DIV/0!</v>
      </c>
      <c r="G21" s="73" t="e">
        <f>G70/G31*-1</f>
        <v>#DIV/0!</v>
      </c>
    </row>
    <row r="22" spans="1:7" x14ac:dyDescent="0.25">
      <c r="E22" s="73"/>
      <c r="F22" s="73"/>
      <c r="G22" s="73"/>
    </row>
    <row r="23" spans="1:7" x14ac:dyDescent="0.25">
      <c r="A23" s="16"/>
    </row>
    <row r="24" spans="1:7" x14ac:dyDescent="0.25">
      <c r="A24" s="16" t="s">
        <v>68</v>
      </c>
    </row>
    <row r="25" spans="1:7" x14ac:dyDescent="0.25">
      <c r="B25" t="s">
        <v>17</v>
      </c>
    </row>
    <row r="26" spans="1:7" x14ac:dyDescent="0.25">
      <c r="B26" t="s">
        <v>19</v>
      </c>
    </row>
    <row r="27" spans="1:7" x14ac:dyDescent="0.25">
      <c r="B27" t="s">
        <v>128</v>
      </c>
    </row>
    <row r="28" spans="1:7" x14ac:dyDescent="0.25">
      <c r="B28" t="s">
        <v>34</v>
      </c>
    </row>
    <row r="29" spans="1:7" x14ac:dyDescent="0.25">
      <c r="B29" t="s">
        <v>43</v>
      </c>
    </row>
    <row r="30" spans="1:7" x14ac:dyDescent="0.25">
      <c r="B30" t="s">
        <v>44</v>
      </c>
    </row>
    <row r="31" spans="1:7" x14ac:dyDescent="0.25">
      <c r="B31" t="s">
        <v>25</v>
      </c>
    </row>
    <row r="32" spans="1:7" x14ac:dyDescent="0.25">
      <c r="B32" t="s">
        <v>111</v>
      </c>
    </row>
    <row r="33" spans="1:7" x14ac:dyDescent="0.25">
      <c r="B33" t="s">
        <v>112</v>
      </c>
      <c r="D33" s="74"/>
      <c r="E33" s="74"/>
      <c r="F33" s="74"/>
      <c r="G33" s="74"/>
    </row>
    <row r="35" spans="1:7" x14ac:dyDescent="0.25">
      <c r="A35" s="16" t="s">
        <v>69</v>
      </c>
    </row>
    <row r="36" spans="1:7" x14ac:dyDescent="0.25">
      <c r="A36" s="16"/>
      <c r="B36" t="s">
        <v>22</v>
      </c>
    </row>
    <row r="37" spans="1:7" x14ac:dyDescent="0.25">
      <c r="A37" s="16"/>
      <c r="B37" t="s">
        <v>135</v>
      </c>
    </row>
    <row r="38" spans="1:7" x14ac:dyDescent="0.25">
      <c r="A38" s="16"/>
      <c r="B38" t="s">
        <v>47</v>
      </c>
    </row>
    <row r="39" spans="1:7" x14ac:dyDescent="0.25">
      <c r="A39" s="16"/>
      <c r="B39" t="s">
        <v>33</v>
      </c>
    </row>
    <row r="40" spans="1:7" x14ac:dyDescent="0.25">
      <c r="A40" s="16"/>
      <c r="B40" t="s">
        <v>45</v>
      </c>
    </row>
    <row r="41" spans="1:7" x14ac:dyDescent="0.25">
      <c r="A41" s="16"/>
      <c r="B41" t="s">
        <v>46</v>
      </c>
    </row>
    <row r="42" spans="1:7" x14ac:dyDescent="0.25">
      <c r="A42" s="16"/>
      <c r="B42" t="s">
        <v>146</v>
      </c>
    </row>
    <row r="43" spans="1:7" x14ac:dyDescent="0.25">
      <c r="A43" s="16"/>
      <c r="B43" t="s">
        <v>24</v>
      </c>
    </row>
    <row r="44" spans="1:7" x14ac:dyDescent="0.25">
      <c r="A44" s="16"/>
    </row>
    <row r="45" spans="1:7" x14ac:dyDescent="0.25">
      <c r="A45" s="16"/>
      <c r="B45" t="s">
        <v>79</v>
      </c>
    </row>
    <row r="46" spans="1:7" x14ac:dyDescent="0.25">
      <c r="A46" s="16"/>
      <c r="B46" t="s">
        <v>136</v>
      </c>
    </row>
    <row r="47" spans="1:7" x14ac:dyDescent="0.25">
      <c r="A47" s="16"/>
      <c r="B47" t="s">
        <v>80</v>
      </c>
    </row>
    <row r="48" spans="1:7" x14ac:dyDescent="0.25">
      <c r="A48" s="16"/>
      <c r="B48" t="s">
        <v>147</v>
      </c>
    </row>
    <row r="49" spans="1:2" x14ac:dyDescent="0.25">
      <c r="A49" s="16"/>
      <c r="B49" t="s">
        <v>27</v>
      </c>
    </row>
    <row r="50" spans="1:2" x14ac:dyDescent="0.25">
      <c r="A50" s="16"/>
      <c r="B50" t="s">
        <v>18</v>
      </c>
    </row>
    <row r="51" spans="1:2" x14ac:dyDescent="0.25">
      <c r="A51" s="16"/>
      <c r="B51" t="s">
        <v>91</v>
      </c>
    </row>
    <row r="52" spans="1:2" x14ac:dyDescent="0.25">
      <c r="A52" s="16"/>
    </row>
    <row r="53" spans="1:2" x14ac:dyDescent="0.25">
      <c r="A53" s="16"/>
      <c r="B53" t="s">
        <v>20</v>
      </c>
    </row>
    <row r="54" spans="1:2" x14ac:dyDescent="0.25">
      <c r="A54" s="16"/>
    </row>
    <row r="55" spans="1:2" x14ac:dyDescent="0.25">
      <c r="A55" s="16" t="s">
        <v>70</v>
      </c>
    </row>
    <row r="56" spans="1:2" x14ac:dyDescent="0.25">
      <c r="A56" s="16"/>
      <c r="B56" t="s">
        <v>47</v>
      </c>
    </row>
    <row r="57" spans="1:2" x14ac:dyDescent="0.25">
      <c r="A57" s="16"/>
      <c r="B57" t="s">
        <v>82</v>
      </c>
    </row>
    <row r="58" spans="1:2" x14ac:dyDescent="0.25">
      <c r="A58" s="16"/>
      <c r="B58" t="s">
        <v>83</v>
      </c>
    </row>
    <row r="59" spans="1:2" x14ac:dyDescent="0.25">
      <c r="A59" s="16"/>
      <c r="B59" t="s">
        <v>84</v>
      </c>
    </row>
    <row r="60" spans="1:2" x14ac:dyDescent="0.25">
      <c r="A60" s="16"/>
      <c r="B60" t="s">
        <v>48</v>
      </c>
    </row>
    <row r="61" spans="1:2" x14ac:dyDescent="0.25">
      <c r="A61" s="16"/>
    </row>
    <row r="62" spans="1:2" x14ac:dyDescent="0.25">
      <c r="A62" s="16"/>
      <c r="B62" t="s">
        <v>150</v>
      </c>
    </row>
    <row r="63" spans="1:2" x14ac:dyDescent="0.25">
      <c r="A63" s="16"/>
      <c r="B63" t="s">
        <v>133</v>
      </c>
    </row>
    <row r="64" spans="1:2" x14ac:dyDescent="0.25">
      <c r="A64" s="16"/>
      <c r="B64" t="s">
        <v>134</v>
      </c>
    </row>
    <row r="65" spans="1:2" x14ac:dyDescent="0.25">
      <c r="A65" s="16"/>
      <c r="B65" t="s">
        <v>48</v>
      </c>
    </row>
    <row r="66" spans="1:2" x14ac:dyDescent="0.25">
      <c r="A66" s="16"/>
    </row>
    <row r="67" spans="1:2" x14ac:dyDescent="0.25">
      <c r="A67" s="16"/>
      <c r="B67" t="s">
        <v>18</v>
      </c>
    </row>
    <row r="68" spans="1:2" x14ac:dyDescent="0.25">
      <c r="A68" s="16"/>
      <c r="B68" t="s">
        <v>82</v>
      </c>
    </row>
    <row r="69" spans="1:2" x14ac:dyDescent="0.25">
      <c r="A69" s="16"/>
      <c r="B69" t="s">
        <v>85</v>
      </c>
    </row>
    <row r="70" spans="1:2" x14ac:dyDescent="0.25">
      <c r="A70" s="16"/>
      <c r="B70" t="s">
        <v>86</v>
      </c>
    </row>
    <row r="71" spans="1:2" x14ac:dyDescent="0.25">
      <c r="A71" s="16"/>
      <c r="B71" t="s">
        <v>48</v>
      </c>
    </row>
    <row r="72" spans="1:2" x14ac:dyDescent="0.25">
      <c r="A72" s="16"/>
    </row>
    <row r="73" spans="1:2" x14ac:dyDescent="0.25">
      <c r="A73" s="16"/>
      <c r="B73" t="s">
        <v>87</v>
      </c>
    </row>
    <row r="74" spans="1:2" x14ac:dyDescent="0.25">
      <c r="A74" s="16"/>
      <c r="B74" t="s">
        <v>88</v>
      </c>
    </row>
    <row r="75" spans="1:2" x14ac:dyDescent="0.25">
      <c r="A75" s="16"/>
    </row>
    <row r="76" spans="1:2" x14ac:dyDescent="0.25">
      <c r="A76" s="16" t="s">
        <v>71</v>
      </c>
    </row>
    <row r="77" spans="1:2" x14ac:dyDescent="0.25">
      <c r="A77" s="16"/>
      <c r="B77" t="s">
        <v>25</v>
      </c>
    </row>
    <row r="78" spans="1:2" x14ac:dyDescent="0.25">
      <c r="A78" s="16"/>
      <c r="B78" t="s">
        <v>97</v>
      </c>
    </row>
    <row r="79" spans="1:2" x14ac:dyDescent="0.25">
      <c r="A79" s="16"/>
      <c r="B79" t="s">
        <v>32</v>
      </c>
    </row>
    <row r="80" spans="1:2" x14ac:dyDescent="0.25">
      <c r="A80" s="16"/>
      <c r="B80" t="s">
        <v>49</v>
      </c>
    </row>
    <row r="81" spans="1:2" x14ac:dyDescent="0.25">
      <c r="A81" s="16"/>
      <c r="B81" t="s">
        <v>149</v>
      </c>
    </row>
    <row r="82" spans="1:2" x14ac:dyDescent="0.25">
      <c r="A82" s="16"/>
      <c r="B82" t="s">
        <v>50</v>
      </c>
    </row>
    <row r="83" spans="1:2" x14ac:dyDescent="0.25">
      <c r="A83" s="16"/>
      <c r="B83" t="s">
        <v>148</v>
      </c>
    </row>
    <row r="84" spans="1:2" x14ac:dyDescent="0.25">
      <c r="A84" s="16"/>
      <c r="B84" t="s">
        <v>23</v>
      </c>
    </row>
    <row r="85" spans="1:2" x14ac:dyDescent="0.25">
      <c r="A85" s="16"/>
    </row>
    <row r="86" spans="1:2" x14ac:dyDescent="0.25">
      <c r="A86" s="16"/>
      <c r="B86" t="s">
        <v>21</v>
      </c>
    </row>
    <row r="87" spans="1:2" x14ac:dyDescent="0.25">
      <c r="A87" s="16"/>
      <c r="B87" t="s">
        <v>28</v>
      </c>
    </row>
    <row r="88" spans="1:2" x14ac:dyDescent="0.25">
      <c r="A88" s="16"/>
    </row>
    <row r="89" spans="1:2" x14ac:dyDescent="0.25">
      <c r="A89" s="16"/>
      <c r="B89" t="s">
        <v>29</v>
      </c>
    </row>
    <row r="90" spans="1:2" x14ac:dyDescent="0.25">
      <c r="A90" s="16"/>
      <c r="B90" t="s">
        <v>78</v>
      </c>
    </row>
    <row r="91" spans="1:2" x14ac:dyDescent="0.25">
      <c r="A91" s="16"/>
      <c r="B91" t="s">
        <v>30</v>
      </c>
    </row>
    <row r="92" spans="1:2" x14ac:dyDescent="0.25">
      <c r="A92" s="16"/>
    </row>
    <row r="93" spans="1:2" x14ac:dyDescent="0.25">
      <c r="A93" s="16"/>
      <c r="B93" t="s">
        <v>31</v>
      </c>
    </row>
    <row r="94" spans="1:2" x14ac:dyDescent="0.25">
      <c r="A94" s="16"/>
      <c r="B94" t="s">
        <v>90</v>
      </c>
    </row>
    <row r="96" spans="1:2" x14ac:dyDescent="0.25">
      <c r="A96" s="1" t="s">
        <v>65</v>
      </c>
    </row>
    <row r="98" spans="1:1" x14ac:dyDescent="0.25">
      <c r="A98" s="1" t="s">
        <v>65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1" fitToHeight="0" orientation="portrait" horizontalDpi="300" verticalDpi="300" r:id="rId1"/>
  <rowBreaks count="1" manualBreakCount="1">
    <brk id="5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0DB0-B9CF-4282-AD8F-D54F784B6B87}">
  <sheetPr>
    <pageSetUpPr fitToPage="1"/>
  </sheetPr>
  <dimension ref="A1:M26"/>
  <sheetViews>
    <sheetView zoomScaleNormal="100" workbookViewId="0"/>
  </sheetViews>
  <sheetFormatPr defaultRowHeight="15.75" x14ac:dyDescent="0.25"/>
  <cols>
    <col min="1" max="1" width="2.140625" style="1" customWidth="1"/>
    <col min="2" max="2" width="33.140625" customWidth="1"/>
    <col min="3" max="3" width="11.140625" customWidth="1"/>
    <col min="4" max="4" width="19.7109375" bestFit="1" customWidth="1"/>
    <col min="5" max="5" width="13.140625" bestFit="1" customWidth="1"/>
    <col min="6" max="6" width="16.7109375" bestFit="1" customWidth="1"/>
    <col min="7" max="8" width="13.140625" bestFit="1" customWidth="1"/>
    <col min="9" max="11" width="11.140625" customWidth="1"/>
  </cols>
  <sheetData>
    <row r="1" spans="1:13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K1" s="13"/>
      <c r="M1" s="61"/>
    </row>
    <row r="2" spans="1:13" s="35" customFormat="1" ht="30" customHeight="1" x14ac:dyDescent="0.35">
      <c r="A2" s="15" t="s">
        <v>64</v>
      </c>
      <c r="B2" s="8"/>
      <c r="C2" s="12" t="s">
        <v>35</v>
      </c>
      <c r="D2" s="12"/>
      <c r="E2" s="12"/>
      <c r="F2" s="12"/>
      <c r="G2" s="12"/>
      <c r="H2" s="12"/>
      <c r="I2" s="12" t="s">
        <v>35</v>
      </c>
      <c r="J2" s="12"/>
      <c r="K2" s="12"/>
      <c r="M2" s="62"/>
    </row>
    <row r="3" spans="1:13" ht="15" customHeight="1" x14ac:dyDescent="0.25"/>
    <row r="4" spans="1:13" x14ac:dyDescent="0.25">
      <c r="A4" s="16" t="s">
        <v>69</v>
      </c>
    </row>
    <row r="5" spans="1:13" x14ac:dyDescent="0.25">
      <c r="A5" s="16"/>
      <c r="E5" s="66"/>
      <c r="F5" s="66"/>
      <c r="G5" s="66"/>
      <c r="H5" s="66"/>
    </row>
    <row r="6" spans="1:13" x14ac:dyDescent="0.25">
      <c r="A6" s="16"/>
      <c r="C6" s="66" t="s">
        <v>54</v>
      </c>
      <c r="D6" s="66" t="s">
        <v>95</v>
      </c>
      <c r="E6" s="66"/>
      <c r="F6" s="66"/>
      <c r="G6" s="66"/>
      <c r="H6" s="66"/>
      <c r="I6" s="66"/>
    </row>
    <row r="7" spans="1:13" x14ac:dyDescent="0.25">
      <c r="A7" s="16"/>
      <c r="B7" t="s">
        <v>22</v>
      </c>
      <c r="C7" s="60">
        <f>Acquirer!D36</f>
        <v>9631</v>
      </c>
      <c r="D7" s="63"/>
      <c r="F7" s="63"/>
    </row>
    <row r="8" spans="1:13" x14ac:dyDescent="0.25">
      <c r="A8" s="16"/>
      <c r="B8" t="s">
        <v>135</v>
      </c>
      <c r="C8" s="60">
        <f>Acquirer!D37</f>
        <v>37840</v>
      </c>
      <c r="D8" s="63"/>
    </row>
    <row r="9" spans="1:13" x14ac:dyDescent="0.25">
      <c r="A9" s="16"/>
      <c r="B9" t="s">
        <v>47</v>
      </c>
      <c r="C9" s="60">
        <f>Acquirer!D38</f>
        <v>46506</v>
      </c>
      <c r="D9" s="63"/>
    </row>
    <row r="10" spans="1:13" x14ac:dyDescent="0.25">
      <c r="A10" s="16"/>
      <c r="B10" t="s">
        <v>33</v>
      </c>
      <c r="C10" s="60">
        <f>Acquirer!D39</f>
        <v>20307</v>
      </c>
      <c r="D10" s="63"/>
    </row>
    <row r="11" spans="1:13" x14ac:dyDescent="0.25">
      <c r="A11" s="16"/>
      <c r="B11" t="s">
        <v>129</v>
      </c>
      <c r="C11" s="60">
        <f>Acquirer!D40</f>
        <v>26280</v>
      </c>
      <c r="D11" s="63"/>
    </row>
    <row r="12" spans="1:13" x14ac:dyDescent="0.25">
      <c r="A12" s="16"/>
      <c r="B12" t="s">
        <v>46</v>
      </c>
      <c r="C12" s="60">
        <f>Acquirer!D41</f>
        <v>2975</v>
      </c>
      <c r="D12" s="63"/>
    </row>
    <row r="13" spans="1:13" x14ac:dyDescent="0.25">
      <c r="A13" s="16"/>
      <c r="B13" t="s">
        <v>140</v>
      </c>
      <c r="C13" s="60">
        <f>Acquirer!D42</f>
        <v>5651</v>
      </c>
      <c r="D13" s="63"/>
    </row>
    <row r="14" spans="1:13" x14ac:dyDescent="0.25">
      <c r="A14" s="16"/>
      <c r="B14" t="s">
        <v>24</v>
      </c>
      <c r="C14">
        <f>SUM(C7:C13)</f>
        <v>149190</v>
      </c>
    </row>
    <row r="15" spans="1:13" x14ac:dyDescent="0.25">
      <c r="A15" s="16"/>
    </row>
    <row r="16" spans="1:13" x14ac:dyDescent="0.25">
      <c r="A16" s="16"/>
      <c r="B16" t="s">
        <v>79</v>
      </c>
      <c r="C16" s="60">
        <f>Acquirer!D45</f>
        <v>10851</v>
      </c>
      <c r="D16" s="63"/>
    </row>
    <row r="17" spans="1:9" x14ac:dyDescent="0.25">
      <c r="A17" s="16"/>
      <c r="B17" t="s">
        <v>136</v>
      </c>
      <c r="C17" s="60">
        <f>Acquirer!D46</f>
        <v>19873</v>
      </c>
      <c r="D17" s="63"/>
    </row>
    <row r="18" spans="1:9" x14ac:dyDescent="0.25">
      <c r="A18" s="16"/>
      <c r="B18" t="s">
        <v>80</v>
      </c>
      <c r="C18" s="60">
        <f>Acquirer!D47</f>
        <v>29923</v>
      </c>
      <c r="D18" s="63"/>
      <c r="F18" s="63"/>
    </row>
    <row r="19" spans="1:9" x14ac:dyDescent="0.25">
      <c r="A19" s="16"/>
      <c r="B19" t="s">
        <v>147</v>
      </c>
      <c r="C19" s="60">
        <f>Acquirer!D48</f>
        <v>19256</v>
      </c>
      <c r="D19" s="63"/>
    </row>
    <row r="20" spans="1:9" x14ac:dyDescent="0.25">
      <c r="A20" s="16"/>
      <c r="B20" t="s">
        <v>27</v>
      </c>
      <c r="C20" s="63">
        <f>SUM(C16:C19)</f>
        <v>79903</v>
      </c>
      <c r="D20" s="63"/>
    </row>
    <row r="21" spans="1:9" x14ac:dyDescent="0.25">
      <c r="A21" s="16"/>
      <c r="B21" t="s">
        <v>18</v>
      </c>
      <c r="C21" s="60">
        <f>Acquirer!D50</f>
        <v>69287</v>
      </c>
      <c r="D21" s="63"/>
      <c r="F21" s="63"/>
    </row>
    <row r="22" spans="1:9" x14ac:dyDescent="0.25">
      <c r="A22" s="16"/>
      <c r="B22" t="s">
        <v>91</v>
      </c>
      <c r="C22" s="63">
        <f>C20+C21</f>
        <v>149190</v>
      </c>
      <c r="D22" s="63"/>
      <c r="I22" s="63"/>
    </row>
    <row r="23" spans="1:9" x14ac:dyDescent="0.25">
      <c r="A23" s="16"/>
    </row>
    <row r="24" spans="1:9" x14ac:dyDescent="0.25">
      <c r="A24" s="16"/>
      <c r="B24" t="s">
        <v>20</v>
      </c>
      <c r="C24" s="63">
        <f>C14-C22</f>
        <v>0</v>
      </c>
      <c r="D24" s="63"/>
      <c r="I24" s="63"/>
    </row>
    <row r="25" spans="1:9" x14ac:dyDescent="0.25">
      <c r="A25" s="16"/>
    </row>
    <row r="26" spans="1:9" x14ac:dyDescent="0.25">
      <c r="A26" s="1" t="s">
        <v>65</v>
      </c>
    </row>
  </sheetData>
  <printOptions headings="1" gridLines="1"/>
  <pageMargins left="0.7" right="0.7" top="0.75" bottom="0.75" header="0.3" footer="0.3"/>
  <pageSetup paperSize="9" scale="57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F6A0-CD66-41C3-923E-B4BF5D816934}">
  <sheetPr>
    <pageSetUpPr fitToPage="1"/>
  </sheetPr>
  <dimension ref="A1:W96"/>
  <sheetViews>
    <sheetView zoomScaleNormal="100" workbookViewId="0"/>
  </sheetViews>
  <sheetFormatPr defaultRowHeight="15.75" x14ac:dyDescent="0.25"/>
  <cols>
    <col min="1" max="1" width="2.140625" style="1" customWidth="1"/>
    <col min="2" max="2" width="33.140625" customWidth="1"/>
    <col min="3" max="3" width="16.140625" bestFit="1" customWidth="1"/>
    <col min="4" max="10" width="11.140625" customWidth="1"/>
  </cols>
  <sheetData>
    <row r="1" spans="1:12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35">
      <c r="A2" s="15" t="s">
        <v>62</v>
      </c>
      <c r="B2" s="8"/>
      <c r="C2" s="12"/>
      <c r="D2" s="12" t="s">
        <v>35</v>
      </c>
      <c r="E2" s="12" t="s">
        <v>36</v>
      </c>
      <c r="F2" s="12" t="s">
        <v>37</v>
      </c>
      <c r="G2" s="12"/>
      <c r="H2" s="12"/>
      <c r="I2" s="12"/>
      <c r="J2" s="12"/>
      <c r="L2" s="62"/>
    </row>
    <row r="3" spans="1:12" ht="15" customHeight="1" x14ac:dyDescent="0.25"/>
    <row r="4" spans="1:12" ht="15" customHeight="1" x14ac:dyDescent="0.25">
      <c r="B4" t="s">
        <v>4</v>
      </c>
      <c r="D4" t="s">
        <v>94</v>
      </c>
    </row>
    <row r="5" spans="1:12" ht="15" customHeight="1" x14ac:dyDescent="0.25"/>
    <row r="6" spans="1:12" x14ac:dyDescent="0.25">
      <c r="A6" s="16" t="s">
        <v>66</v>
      </c>
      <c r="D6" s="66"/>
      <c r="E6" s="66"/>
      <c r="F6" s="66"/>
    </row>
    <row r="7" spans="1:12" x14ac:dyDescent="0.25">
      <c r="A7" s="16"/>
      <c r="B7" t="s">
        <v>59</v>
      </c>
      <c r="E7" s="68">
        <v>0.28000000000000003</v>
      </c>
      <c r="F7" s="68">
        <v>0.28000000000000003</v>
      </c>
      <c r="G7" s="81"/>
    </row>
    <row r="8" spans="1:12" x14ac:dyDescent="0.25">
      <c r="A8" s="16"/>
      <c r="B8" t="s">
        <v>76</v>
      </c>
      <c r="E8" s="68">
        <v>0.05</v>
      </c>
      <c r="F8" s="68">
        <v>0.05</v>
      </c>
      <c r="G8" s="81"/>
    </row>
    <row r="9" spans="1:12" x14ac:dyDescent="0.25">
      <c r="A9" s="16"/>
      <c r="B9" t="s">
        <v>116</v>
      </c>
      <c r="E9" s="68">
        <v>0.5</v>
      </c>
      <c r="F9" s="68">
        <v>1</v>
      </c>
      <c r="G9" s="81"/>
    </row>
    <row r="10" spans="1:12" x14ac:dyDescent="0.25">
      <c r="A10" s="16"/>
      <c r="B10" t="s">
        <v>57</v>
      </c>
      <c r="G10" s="81"/>
    </row>
    <row r="11" spans="1:12" x14ac:dyDescent="0.25">
      <c r="A11" s="16"/>
      <c r="B11" t="s">
        <v>58</v>
      </c>
      <c r="E11" s="65">
        <v>-10</v>
      </c>
      <c r="F11" s="65">
        <v>-5</v>
      </c>
    </row>
    <row r="12" spans="1:12" x14ac:dyDescent="0.25">
      <c r="A12" s="16"/>
      <c r="B12" t="s">
        <v>156</v>
      </c>
      <c r="E12" s="65">
        <v>0</v>
      </c>
      <c r="F12" s="65">
        <v>0</v>
      </c>
    </row>
    <row r="13" spans="1:12" x14ac:dyDescent="0.25">
      <c r="A13" s="16"/>
    </row>
    <row r="14" spans="1:12" x14ac:dyDescent="0.25">
      <c r="A14" s="16" t="s">
        <v>68</v>
      </c>
    </row>
    <row r="15" spans="1:12" x14ac:dyDescent="0.25">
      <c r="B15" t="s">
        <v>17</v>
      </c>
      <c r="E15" s="63"/>
      <c r="F15" s="63"/>
    </row>
    <row r="16" spans="1:12" x14ac:dyDescent="0.25">
      <c r="B16" t="s">
        <v>165</v>
      </c>
      <c r="E16" s="63"/>
      <c r="F16" s="63"/>
    </row>
    <row r="17" spans="1:22" x14ac:dyDescent="0.25">
      <c r="B17" t="s">
        <v>58</v>
      </c>
      <c r="E17" s="63"/>
      <c r="F17" s="63"/>
    </row>
    <row r="18" spans="1:22" x14ac:dyDescent="0.25">
      <c r="B18" t="s">
        <v>34</v>
      </c>
      <c r="E18" s="63"/>
      <c r="F18" s="63"/>
    </row>
    <row r="19" spans="1:22" x14ac:dyDescent="0.25">
      <c r="B19" t="s">
        <v>102</v>
      </c>
      <c r="E19" s="63"/>
      <c r="F19" s="63"/>
    </row>
    <row r="20" spans="1:22" x14ac:dyDescent="0.25">
      <c r="B20" t="s">
        <v>43</v>
      </c>
      <c r="E20" s="63"/>
      <c r="F20" s="63"/>
    </row>
    <row r="21" spans="1:22" x14ac:dyDescent="0.25">
      <c r="B21" t="s">
        <v>44</v>
      </c>
      <c r="E21" s="63"/>
      <c r="F21" s="63"/>
    </row>
    <row r="22" spans="1:22" x14ac:dyDescent="0.25">
      <c r="B22" t="s">
        <v>25</v>
      </c>
      <c r="E22" s="63"/>
      <c r="F22" s="63"/>
    </row>
    <row r="24" spans="1:22" x14ac:dyDescent="0.25">
      <c r="A24" s="16" t="s">
        <v>69</v>
      </c>
    </row>
    <row r="25" spans="1:22" x14ac:dyDescent="0.25">
      <c r="A25" s="16"/>
      <c r="B25" t="s">
        <v>22</v>
      </c>
      <c r="C25" s="78"/>
      <c r="D25" s="69"/>
      <c r="E25" s="63"/>
      <c r="F25" s="63"/>
    </row>
    <row r="26" spans="1:22" x14ac:dyDescent="0.25">
      <c r="A26" s="16"/>
      <c r="B26" t="s">
        <v>135</v>
      </c>
      <c r="C26" s="78"/>
      <c r="D26" s="69"/>
      <c r="E26" s="63"/>
      <c r="F26" s="63"/>
    </row>
    <row r="27" spans="1:22" x14ac:dyDescent="0.25">
      <c r="A27" s="16"/>
      <c r="B27" t="s">
        <v>47</v>
      </c>
      <c r="C27" s="78"/>
      <c r="D27" s="69"/>
      <c r="E27" s="63"/>
      <c r="F27" s="63"/>
    </row>
    <row r="28" spans="1:22" x14ac:dyDescent="0.25">
      <c r="A28" s="16"/>
      <c r="B28" t="s">
        <v>33</v>
      </c>
      <c r="C28" s="78"/>
      <c r="D28" s="69"/>
      <c r="E28" s="63"/>
      <c r="F28" s="63"/>
    </row>
    <row r="29" spans="1:22" x14ac:dyDescent="0.25">
      <c r="A29" s="16"/>
      <c r="B29" t="s">
        <v>129</v>
      </c>
      <c r="C29" s="78"/>
      <c r="D29" s="69"/>
      <c r="E29" s="63"/>
      <c r="F29" s="63"/>
    </row>
    <row r="30" spans="1:22" x14ac:dyDescent="0.25">
      <c r="A30" s="16"/>
      <c r="B30" t="s">
        <v>46</v>
      </c>
      <c r="C30" s="78"/>
      <c r="D30" s="69"/>
      <c r="E30" s="63"/>
      <c r="F30" s="63"/>
    </row>
    <row r="31" spans="1:22" x14ac:dyDescent="0.25">
      <c r="A31" s="16"/>
      <c r="B31" t="s">
        <v>140</v>
      </c>
      <c r="C31" s="78"/>
      <c r="D31" s="69"/>
      <c r="E31" s="63"/>
      <c r="F31" s="63"/>
    </row>
    <row r="32" spans="1:22" s="70" customFormat="1" x14ac:dyDescent="0.25">
      <c r="A32" s="16"/>
      <c r="B32" t="s">
        <v>24</v>
      </c>
      <c r="C32" s="78"/>
      <c r="D32" s="69"/>
      <c r="E32" s="69"/>
      <c r="F32" s="69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x14ac:dyDescent="0.25">
      <c r="A33" s="16"/>
      <c r="C33" s="78"/>
      <c r="D33" s="69"/>
    </row>
    <row r="34" spans="1:22" x14ac:dyDescent="0.25">
      <c r="A34" s="16"/>
      <c r="B34" t="s">
        <v>79</v>
      </c>
      <c r="C34" s="78"/>
      <c r="D34" s="69"/>
      <c r="E34" s="63"/>
      <c r="F34" s="63"/>
    </row>
    <row r="35" spans="1:22" x14ac:dyDescent="0.25">
      <c r="A35" s="16"/>
      <c r="B35" t="s">
        <v>136</v>
      </c>
      <c r="C35" s="78"/>
      <c r="D35" s="69"/>
      <c r="E35" s="63"/>
      <c r="F35" s="63"/>
    </row>
    <row r="36" spans="1:22" x14ac:dyDescent="0.25">
      <c r="A36" s="16"/>
      <c r="B36" t="s">
        <v>80</v>
      </c>
      <c r="C36" s="78"/>
      <c r="D36" s="69"/>
      <c r="E36" s="63"/>
      <c r="F36" s="63"/>
    </row>
    <row r="37" spans="1:22" x14ac:dyDescent="0.25">
      <c r="A37" s="16"/>
      <c r="B37" t="s">
        <v>81</v>
      </c>
      <c r="C37" s="78"/>
      <c r="D37" s="69"/>
      <c r="E37" s="63"/>
      <c r="F37" s="63"/>
    </row>
    <row r="38" spans="1:22" s="70" customFormat="1" x14ac:dyDescent="0.25">
      <c r="A38" s="16"/>
      <c r="B38" t="s">
        <v>27</v>
      </c>
      <c r="C38" s="78"/>
      <c r="D38" s="69"/>
      <c r="E38" s="69"/>
      <c r="F38" s="69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x14ac:dyDescent="0.25">
      <c r="A39" s="16"/>
      <c r="B39" t="s">
        <v>18</v>
      </c>
      <c r="C39" s="78"/>
      <c r="D39" s="69"/>
    </row>
    <row r="40" spans="1:22" s="70" customFormat="1" x14ac:dyDescent="0.25">
      <c r="A40" s="16"/>
      <c r="B40" t="s">
        <v>91</v>
      </c>
      <c r="C40" s="78"/>
      <c r="D40" s="69"/>
      <c r="E40" s="69"/>
      <c r="F40" s="69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x14ac:dyDescent="0.25">
      <c r="A41" s="16"/>
      <c r="C41" s="78"/>
      <c r="D41" s="69"/>
    </row>
    <row r="42" spans="1:22" x14ac:dyDescent="0.25">
      <c r="A42" s="16"/>
      <c r="B42" t="s">
        <v>20</v>
      </c>
      <c r="C42" s="78"/>
      <c r="D42" s="69"/>
      <c r="E42" s="69"/>
      <c r="F42" s="69"/>
    </row>
    <row r="43" spans="1:22" x14ac:dyDescent="0.25">
      <c r="A43" s="16"/>
    </row>
    <row r="44" spans="1:22" x14ac:dyDescent="0.25">
      <c r="A44" s="16"/>
      <c r="B44" t="s">
        <v>87</v>
      </c>
      <c r="E44" s="63"/>
      <c r="F44" s="63"/>
    </row>
    <row r="45" spans="1:22" x14ac:dyDescent="0.25">
      <c r="A45" s="16"/>
      <c r="B45" t="s">
        <v>88</v>
      </c>
      <c r="E45" s="63"/>
      <c r="F45" s="63"/>
      <c r="R45" s="82"/>
    </row>
    <row r="46" spans="1:22" x14ac:dyDescent="0.25">
      <c r="A46" s="16"/>
      <c r="R46" s="82"/>
    </row>
    <row r="47" spans="1:22" x14ac:dyDescent="0.25">
      <c r="A47" s="16" t="s">
        <v>55</v>
      </c>
    </row>
    <row r="48" spans="1:22" x14ac:dyDescent="0.25">
      <c r="A48" s="16"/>
      <c r="B48" t="s">
        <v>157</v>
      </c>
    </row>
    <row r="49" spans="1:23" x14ac:dyDescent="0.25">
      <c r="A49" s="16"/>
      <c r="B49" t="s">
        <v>158</v>
      </c>
    </row>
    <row r="50" spans="1:23" x14ac:dyDescent="0.25">
      <c r="A50" s="16"/>
      <c r="B50" t="s">
        <v>159</v>
      </c>
      <c r="C50" s="78"/>
    </row>
    <row r="51" spans="1:23" x14ac:dyDescent="0.25">
      <c r="A51" s="16"/>
      <c r="B51" t="s">
        <v>160</v>
      </c>
      <c r="C51" s="78"/>
      <c r="D51" s="74"/>
      <c r="E51" s="71">
        <v>1.1850000000000001</v>
      </c>
      <c r="F51" s="71">
        <v>1.167</v>
      </c>
      <c r="T51" s="82"/>
      <c r="U51" s="82"/>
      <c r="W51" s="82"/>
    </row>
    <row r="52" spans="1:23" x14ac:dyDescent="0.25">
      <c r="A52" s="16"/>
      <c r="T52" s="83"/>
      <c r="U52" s="82"/>
      <c r="W52" s="82"/>
    </row>
    <row r="53" spans="1:23" x14ac:dyDescent="0.25">
      <c r="A53" s="16"/>
      <c r="B53" t="s">
        <v>114</v>
      </c>
      <c r="T53" s="83"/>
      <c r="U53" s="82"/>
      <c r="W53" s="82"/>
    </row>
    <row r="54" spans="1:23" x14ac:dyDescent="0.25">
      <c r="A54" s="16"/>
      <c r="B54" t="s">
        <v>117</v>
      </c>
    </row>
    <row r="55" spans="1:23" x14ac:dyDescent="0.25">
      <c r="A55" s="16"/>
      <c r="B55" t="s">
        <v>101</v>
      </c>
    </row>
    <row r="56" spans="1:23" x14ac:dyDescent="0.25">
      <c r="A56" s="16"/>
      <c r="B56" t="s">
        <v>115</v>
      </c>
      <c r="C56" s="78"/>
    </row>
    <row r="57" spans="1:23" x14ac:dyDescent="0.25">
      <c r="A57" s="16"/>
    </row>
    <row r="58" spans="1:23" x14ac:dyDescent="0.25">
      <c r="A58" s="16" t="s">
        <v>71</v>
      </c>
    </row>
    <row r="59" spans="1:23" x14ac:dyDescent="0.25">
      <c r="A59" s="16"/>
      <c r="B59" t="s">
        <v>25</v>
      </c>
      <c r="E59" s="63"/>
      <c r="F59" s="63"/>
    </row>
    <row r="60" spans="1:23" x14ac:dyDescent="0.25">
      <c r="A60" s="16"/>
      <c r="B60" s="77" t="s">
        <v>119</v>
      </c>
      <c r="E60" s="63"/>
      <c r="F60" s="63"/>
    </row>
    <row r="61" spans="1:23" x14ac:dyDescent="0.25">
      <c r="A61" s="16"/>
      <c r="B61" s="77" t="s">
        <v>120</v>
      </c>
      <c r="E61" s="63"/>
      <c r="F61" s="63"/>
    </row>
    <row r="62" spans="1:23" x14ac:dyDescent="0.25">
      <c r="A62" s="16"/>
      <c r="B62" s="77" t="s">
        <v>121</v>
      </c>
      <c r="E62" s="63"/>
      <c r="F62" s="63"/>
    </row>
    <row r="63" spans="1:23" x14ac:dyDescent="0.25">
      <c r="A63" s="16"/>
      <c r="B63" t="s">
        <v>49</v>
      </c>
      <c r="E63" s="63"/>
      <c r="F63" s="63"/>
    </row>
    <row r="64" spans="1:23" x14ac:dyDescent="0.25">
      <c r="A64" s="16"/>
      <c r="B64" t="s">
        <v>164</v>
      </c>
      <c r="E64" s="63"/>
      <c r="F64" s="63"/>
    </row>
    <row r="65" spans="1:6" x14ac:dyDescent="0.25">
      <c r="A65" s="80"/>
      <c r="B65" t="s">
        <v>50</v>
      </c>
      <c r="E65" s="63"/>
      <c r="F65" s="63"/>
    </row>
    <row r="66" spans="1:6" x14ac:dyDescent="0.25">
      <c r="A66" s="16"/>
      <c r="B66" t="s">
        <v>51</v>
      </c>
      <c r="E66" s="63"/>
      <c r="F66" s="63"/>
    </row>
    <row r="67" spans="1:6" x14ac:dyDescent="0.25">
      <c r="A67" s="16"/>
      <c r="B67" t="s">
        <v>23</v>
      </c>
      <c r="E67" s="63"/>
      <c r="F67" s="63"/>
    </row>
    <row r="68" spans="1:6" x14ac:dyDescent="0.25">
      <c r="A68" s="16"/>
    </row>
    <row r="69" spans="1:6" x14ac:dyDescent="0.25">
      <c r="A69" s="16"/>
      <c r="B69" t="s">
        <v>21</v>
      </c>
      <c r="E69" s="63"/>
      <c r="F69" s="63"/>
    </row>
    <row r="70" spans="1:6" x14ac:dyDescent="0.25">
      <c r="A70" s="16"/>
      <c r="B70" t="s">
        <v>28</v>
      </c>
      <c r="E70" s="63"/>
      <c r="F70" s="63"/>
    </row>
    <row r="71" spans="1:6" x14ac:dyDescent="0.25">
      <c r="A71" s="16"/>
    </row>
    <row r="72" spans="1:6" x14ac:dyDescent="0.25">
      <c r="A72" s="16"/>
      <c r="B72" t="s">
        <v>118</v>
      </c>
      <c r="E72" s="63"/>
      <c r="F72" s="63"/>
    </row>
    <row r="73" spans="1:6" x14ac:dyDescent="0.25">
      <c r="A73" s="16"/>
      <c r="B73" t="s">
        <v>30</v>
      </c>
      <c r="E73" s="63"/>
      <c r="F73" s="63"/>
    </row>
    <row r="74" spans="1:6" x14ac:dyDescent="0.25">
      <c r="A74" s="16"/>
    </row>
    <row r="75" spans="1:6" x14ac:dyDescent="0.25">
      <c r="A75" s="16"/>
      <c r="B75" t="s">
        <v>31</v>
      </c>
      <c r="E75" s="63"/>
      <c r="F75" s="63"/>
    </row>
    <row r="76" spans="1:6" x14ac:dyDescent="0.25">
      <c r="A76" s="16"/>
      <c r="B76" t="s">
        <v>90</v>
      </c>
      <c r="D76" s="63"/>
      <c r="E76" s="63"/>
      <c r="F76" s="63"/>
    </row>
    <row r="78" spans="1:6" x14ac:dyDescent="0.25">
      <c r="A78" s="1" t="s">
        <v>108</v>
      </c>
    </row>
    <row r="79" spans="1:6" x14ac:dyDescent="0.25">
      <c r="B79" t="s">
        <v>105</v>
      </c>
      <c r="D79" s="71">
        <v>656.7</v>
      </c>
    </row>
    <row r="80" spans="1:6" x14ac:dyDescent="0.25">
      <c r="B80" t="s">
        <v>106</v>
      </c>
    </row>
    <row r="81" spans="1:6" x14ac:dyDescent="0.25">
      <c r="B81" t="s">
        <v>107</v>
      </c>
    </row>
    <row r="82" spans="1:6" x14ac:dyDescent="0.25">
      <c r="B82" t="s">
        <v>104</v>
      </c>
    </row>
    <row r="84" spans="1:6" x14ac:dyDescent="0.25">
      <c r="A84" s="1" t="s">
        <v>113</v>
      </c>
    </row>
    <row r="85" spans="1:6" x14ac:dyDescent="0.25">
      <c r="B85" t="s">
        <v>103</v>
      </c>
    </row>
    <row r="86" spans="1:6" x14ac:dyDescent="0.25">
      <c r="B86" t="s">
        <v>104</v>
      </c>
    </row>
    <row r="87" spans="1:6" x14ac:dyDescent="0.25">
      <c r="B87" t="s">
        <v>109</v>
      </c>
      <c r="E87" s="74"/>
      <c r="F87" s="74"/>
    </row>
    <row r="88" spans="1:6" x14ac:dyDescent="0.25">
      <c r="B88" t="s">
        <v>110</v>
      </c>
      <c r="E88" s="74"/>
      <c r="F88" s="74"/>
    </row>
    <row r="89" spans="1:6" x14ac:dyDescent="0.25">
      <c r="B89" t="s">
        <v>113</v>
      </c>
      <c r="E89" s="73"/>
      <c r="F89" s="73"/>
    </row>
    <row r="91" spans="1:6" x14ac:dyDescent="0.25">
      <c r="A91" s="1" t="s">
        <v>161</v>
      </c>
    </row>
    <row r="92" spans="1:6" x14ac:dyDescent="0.25">
      <c r="B92" t="s">
        <v>162</v>
      </c>
    </row>
    <row r="93" spans="1:6" x14ac:dyDescent="0.25">
      <c r="B93" t="s">
        <v>173</v>
      </c>
    </row>
    <row r="94" spans="1:6" x14ac:dyDescent="0.25">
      <c r="B94" t="s">
        <v>174</v>
      </c>
      <c r="E94" s="76"/>
      <c r="F94" s="76"/>
    </row>
    <row r="95" spans="1:6" x14ac:dyDescent="0.25">
      <c r="B95" t="s">
        <v>175</v>
      </c>
      <c r="E95" s="76"/>
      <c r="F95" s="76"/>
    </row>
    <row r="96" spans="1:6" x14ac:dyDescent="0.25">
      <c r="A96" s="1" t="s">
        <v>65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00" verticalDpi="300" r:id="rId1"/>
  <rowBreaks count="3" manualBreakCount="3">
    <brk id="33" max="12" man="1"/>
    <brk id="57" max="12" man="1"/>
    <brk id="77" max="12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2b6fef63d679249b4bcc623f0c88418b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d0df55920a0e65a40b303784eca8fcfc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73AA30-C43F-44D5-836E-2FD58D4DF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D2C86-8BBF-4F0F-8C69-A7D8BB70F01D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E24B6C73-365B-440C-B3EA-C297ABD4D5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Welcome</vt:lpstr>
      <vt:lpstr>Info</vt:lpstr>
      <vt:lpstr>Deal Terms</vt:lpstr>
      <vt:lpstr>Acquirer</vt:lpstr>
      <vt:lpstr>Target (Local FX)</vt:lpstr>
      <vt:lpstr>Target Calendarized (Acqr FX)</vt:lpstr>
      <vt:lpstr>Opening BS</vt:lpstr>
      <vt:lpstr>Proforma</vt:lpstr>
      <vt:lpstr>AcquirerLFY</vt:lpstr>
      <vt:lpstr>Calendar</vt:lpstr>
      <vt:lpstr>FX</vt:lpstr>
      <vt:lpstr>Acquirer!Print_Area</vt:lpstr>
      <vt:lpstr>Proforma!Print_Area</vt:lpstr>
      <vt:lpstr>'Target (Local FX)'!Print_Area</vt:lpstr>
      <vt:lpstr>'Target Calendarized (Acqr FX)'!Print_Area</vt:lpstr>
      <vt:lpstr>switch</vt:lpstr>
      <vt:lpstr>TargetLFY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Edge</dc:creator>
  <cp:lastModifiedBy>Andrew Jones</cp:lastModifiedBy>
  <cp:lastPrinted>2025-11-05T21:31:28Z</cp:lastPrinted>
  <dcterms:created xsi:type="dcterms:W3CDTF">2016-02-03T14:06:14Z</dcterms:created>
  <dcterms:modified xsi:type="dcterms:W3CDTF">2025-11-06T09:47:39Z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