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4786E8A9-1785-4059-AFBA-1054904E26B8}" xr6:coauthVersionLast="47" xr6:coauthVersionMax="47" xr10:uidLastSave="{00000000-0000-0000-0000-000000000000}"/>
  <bookViews>
    <workbookView xWindow="-98" yWindow="-98" windowWidth="21795" windowHeight="13875" tabRatio="716" xr2:uid="{00000000-000D-0000-FFFF-FFFF00000000}"/>
  </bookViews>
  <sheets>
    <sheet name="Welcome" sheetId="1" r:id="rId1"/>
    <sheet name="Info" sheetId="6" r:id="rId2"/>
    <sheet name="Deal Terms" sheetId="39" r:id="rId3"/>
    <sheet name="Acquirer" sheetId="33" r:id="rId4"/>
    <sheet name="Target (Local FX)" sheetId="42" r:id="rId5"/>
    <sheet name="Target Calendarized (Acqr FX)" sheetId="38" r:id="rId6"/>
    <sheet name="Opening BS" sheetId="40" r:id="rId7"/>
    <sheet name="Proforma" sheetId="41" r:id="rId8"/>
  </sheets>
  <definedNames>
    <definedName name="AcquirerLFY">Acquirer!$D$2</definedName>
    <definedName name="Calendar">'Target Calendarized (Acqr FX)'!$G$4</definedName>
    <definedName name="FX">'Deal Terms'!$C$7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3">Acquirer!$A$1:$H$96</definedName>
    <definedName name="_xlnm.Print_Area" localSheetId="7">Proforma!$A$1:$M$96</definedName>
    <definedName name="_xlnm.Print_Area" localSheetId="4">'Target (Local FX)'!$A$1:$H$96</definedName>
    <definedName name="_xlnm.Print_Area" localSheetId="5">'Target Calendarized (Acqr FX)'!$A$1:$H$88</definedName>
    <definedName name="switch">Info!$N$10</definedName>
    <definedName name="TargetLFY">'Target (Local FX)'!$D$2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41" l="1"/>
  <c r="E72" i="41"/>
  <c r="F92" i="41"/>
  <c r="E92" i="41"/>
  <c r="F86" i="41"/>
  <c r="E86" i="41"/>
  <c r="D82" i="41"/>
  <c r="D81" i="41"/>
  <c r="D80" i="41"/>
  <c r="F17" i="41"/>
  <c r="E17" i="41"/>
  <c r="F49" i="41" l="1"/>
  <c r="F54" i="41" s="1"/>
  <c r="F73" i="41" s="1"/>
  <c r="E49" i="41"/>
  <c r="E54" i="41" s="1"/>
  <c r="E73" i="41" s="1"/>
  <c r="H21" i="40"/>
  <c r="F21" i="40"/>
  <c r="F7" i="40"/>
  <c r="C29" i="39"/>
  <c r="H25" i="39"/>
  <c r="C23" i="39"/>
  <c r="C16" i="39" l="1"/>
  <c r="C14" i="39"/>
  <c r="C12" i="39"/>
  <c r="E32" i="38"/>
  <c r="F32" i="38"/>
  <c r="G32" i="38"/>
  <c r="D32" i="38"/>
  <c r="D29" i="42" l="1"/>
  <c r="C29" i="42"/>
  <c r="G4" i="38"/>
  <c r="C48" i="42"/>
  <c r="C47" i="42"/>
  <c r="C46" i="42"/>
  <c r="C49" i="42" s="1"/>
  <c r="C51" i="42" s="1"/>
  <c r="C42" i="42"/>
  <c r="C43" i="42" s="1"/>
  <c r="C38" i="42"/>
  <c r="C37" i="42"/>
  <c r="C33" i="42"/>
  <c r="C32" i="42"/>
  <c r="C31" i="42"/>
  <c r="E58" i="38" l="1"/>
  <c r="E86" i="38" s="1"/>
  <c r="E69" i="41" s="1"/>
  <c r="E70" i="41" s="1"/>
  <c r="F58" i="38"/>
  <c r="E46" i="38"/>
  <c r="E35" i="41" s="1"/>
  <c r="F46" i="38"/>
  <c r="F35" i="41" s="1"/>
  <c r="G46" i="38"/>
  <c r="E47" i="38"/>
  <c r="D48" i="38"/>
  <c r="F38" i="38"/>
  <c r="F40" i="38"/>
  <c r="F42" i="38"/>
  <c r="F31" i="41" s="1"/>
  <c r="E25" i="38"/>
  <c r="E15" i="41" s="1"/>
  <c r="G27" i="38"/>
  <c r="D45" i="38"/>
  <c r="G38" i="38"/>
  <c r="G40" i="38"/>
  <c r="G42" i="38"/>
  <c r="F25" i="38"/>
  <c r="D26" i="38"/>
  <c r="G47" i="38"/>
  <c r="D37" i="38"/>
  <c r="D39" i="38"/>
  <c r="D41" i="38"/>
  <c r="D36" i="38"/>
  <c r="G25" i="38"/>
  <c r="D27" i="38"/>
  <c r="E48" i="38"/>
  <c r="E37" i="41" s="1"/>
  <c r="E37" i="38"/>
  <c r="E26" i="41" s="1"/>
  <c r="E39" i="38"/>
  <c r="E41" i="38"/>
  <c r="E30" i="41" s="1"/>
  <c r="E26" i="38"/>
  <c r="D28" i="38"/>
  <c r="D50" i="38"/>
  <c r="C30" i="39" s="1"/>
  <c r="C31" i="39" s="1"/>
  <c r="G10" i="40" s="1"/>
  <c r="F48" i="38"/>
  <c r="F37" i="41" s="1"/>
  <c r="F37" i="38"/>
  <c r="F26" i="41" s="1"/>
  <c r="F39" i="38"/>
  <c r="F41" i="38"/>
  <c r="F30" i="41" s="1"/>
  <c r="G48" i="38"/>
  <c r="G39" i="38"/>
  <c r="G41" i="38"/>
  <c r="D25" i="38"/>
  <c r="D38" i="38"/>
  <c r="D60" i="38" s="1"/>
  <c r="E57" i="38" s="1"/>
  <c r="D42" i="38"/>
  <c r="D47" i="38"/>
  <c r="E40" i="38"/>
  <c r="D30" i="38"/>
  <c r="F47" i="38"/>
  <c r="F78" i="38"/>
  <c r="F26" i="38"/>
  <c r="G37" i="38"/>
  <c r="G26" i="38"/>
  <c r="D46" i="38"/>
  <c r="D40" i="38"/>
  <c r="D65" i="38" s="1"/>
  <c r="E63" i="38" s="1"/>
  <c r="E27" i="38"/>
  <c r="E38" i="38"/>
  <c r="E42" i="38"/>
  <c r="E31" i="41" s="1"/>
  <c r="F27" i="38"/>
  <c r="C53" i="42"/>
  <c r="G15" i="38" l="1"/>
  <c r="F64" i="41"/>
  <c r="F66" i="41"/>
  <c r="F65" i="41"/>
  <c r="F10" i="41"/>
  <c r="F16" i="41" s="1"/>
  <c r="E10" i="41"/>
  <c r="E16" i="41" s="1"/>
  <c r="G8" i="38"/>
  <c r="F27" i="41"/>
  <c r="F60" i="38"/>
  <c r="F60" i="41"/>
  <c r="D43" i="38"/>
  <c r="C17" i="39"/>
  <c r="D49" i="38"/>
  <c r="D51" i="38" s="1"/>
  <c r="E29" i="41"/>
  <c r="E65" i="38"/>
  <c r="F63" i="41"/>
  <c r="D29" i="38"/>
  <c r="D31" i="38" s="1"/>
  <c r="D33" i="38" s="1"/>
  <c r="F86" i="38"/>
  <c r="F69" i="41" s="1"/>
  <c r="F70" i="41" s="1"/>
  <c r="E27" i="41"/>
  <c r="E60" i="38"/>
  <c r="F15" i="41"/>
  <c r="F8" i="38"/>
  <c r="F29" i="41"/>
  <c r="F65" i="38"/>
  <c r="D13" i="40"/>
  <c r="D12" i="40"/>
  <c r="F57" i="38" l="1"/>
  <c r="F59" i="38" s="1"/>
  <c r="E59" i="38"/>
  <c r="E78" i="38" s="1"/>
  <c r="E60" i="41" s="1"/>
  <c r="F63" i="38"/>
  <c r="E64" i="38"/>
  <c r="E79" i="38" s="1"/>
  <c r="E61" i="41" s="1"/>
  <c r="C24" i="39"/>
  <c r="C26" i="39" s="1"/>
  <c r="H24" i="39" s="1"/>
  <c r="C18" i="39"/>
  <c r="D10" i="40"/>
  <c r="E39" i="42"/>
  <c r="F39" i="42" s="1"/>
  <c r="C13" i="40"/>
  <c r="C8" i="40"/>
  <c r="C9" i="40"/>
  <c r="C10" i="40"/>
  <c r="C11" i="40"/>
  <c r="C12" i="40"/>
  <c r="D11" i="40"/>
  <c r="D21" i="40"/>
  <c r="E21" i="40" s="1"/>
  <c r="D7" i="40"/>
  <c r="E7" i="40" s="1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D15" i="42"/>
  <c r="D65" i="42"/>
  <c r="E63" i="42" s="1"/>
  <c r="D45" i="42"/>
  <c r="D48" i="42"/>
  <c r="D19" i="40" s="1"/>
  <c r="D47" i="42"/>
  <c r="D18" i="40" s="1"/>
  <c r="E18" i="40" s="1"/>
  <c r="D46" i="42"/>
  <c r="D17" i="40" s="1"/>
  <c r="D42" i="42"/>
  <c r="D18" i="42" s="1"/>
  <c r="D38" i="42"/>
  <c r="D9" i="40" s="1"/>
  <c r="D37" i="42"/>
  <c r="D13" i="42" s="1"/>
  <c r="G27" i="42"/>
  <c r="G10" i="38" s="1"/>
  <c r="G32" i="42"/>
  <c r="F27" i="42"/>
  <c r="F10" i="38" s="1"/>
  <c r="E27" i="42"/>
  <c r="E10" i="38" s="1"/>
  <c r="D11" i="42"/>
  <c r="D15" i="33"/>
  <c r="E39" i="33"/>
  <c r="F39" i="33" s="1"/>
  <c r="G39" i="33" s="1"/>
  <c r="E27" i="33"/>
  <c r="E25" i="33"/>
  <c r="E46" i="33" s="1"/>
  <c r="G27" i="33"/>
  <c r="D48" i="33"/>
  <c r="D47" i="33"/>
  <c r="D46" i="33"/>
  <c r="D42" i="33"/>
  <c r="D18" i="33" s="1"/>
  <c r="D41" i="33"/>
  <c r="E41" i="33" s="1"/>
  <c r="D40" i="33"/>
  <c r="D65" i="33" s="1"/>
  <c r="E63" i="33" s="1"/>
  <c r="D38" i="33"/>
  <c r="D37" i="33"/>
  <c r="D9" i="33"/>
  <c r="D29" i="33"/>
  <c r="D11" i="33" s="1"/>
  <c r="F27" i="33"/>
  <c r="D56" i="41" l="1"/>
  <c r="E53" i="41" s="1"/>
  <c r="F18" i="40"/>
  <c r="H26" i="39"/>
  <c r="F64" i="38"/>
  <c r="E64" i="42"/>
  <c r="G39" i="42"/>
  <c r="D8" i="40"/>
  <c r="I8" i="40" s="1"/>
  <c r="D26" i="41" s="1"/>
  <c r="E63" i="41" s="1"/>
  <c r="I12" i="40"/>
  <c r="D30" i="41" s="1"/>
  <c r="I11" i="40"/>
  <c r="D29" i="41" s="1"/>
  <c r="I9" i="40"/>
  <c r="D27" i="41" s="1"/>
  <c r="I13" i="40"/>
  <c r="D31" i="41" s="1"/>
  <c r="E64" i="41" s="1"/>
  <c r="D9" i="38"/>
  <c r="D16" i="40"/>
  <c r="E64" i="33"/>
  <c r="E79" i="33" s="1"/>
  <c r="E37" i="33"/>
  <c r="E42" i="33"/>
  <c r="E26" i="33"/>
  <c r="D43" i="33"/>
  <c r="F79" i="38" l="1"/>
  <c r="D20" i="40"/>
  <c r="E16" i="40"/>
  <c r="D13" i="38"/>
  <c r="E65" i="42"/>
  <c r="E17" i="38"/>
  <c r="E79" i="42"/>
  <c r="D14" i="40"/>
  <c r="E81" i="33"/>
  <c r="E65" i="33"/>
  <c r="F61" i="41" l="1"/>
  <c r="F63" i="42"/>
  <c r="E40" i="42"/>
  <c r="E40" i="33"/>
  <c r="F63" i="33"/>
  <c r="F64" i="42" l="1"/>
  <c r="F65" i="42"/>
  <c r="F64" i="33"/>
  <c r="F79" i="33" s="1"/>
  <c r="G63" i="42" l="1"/>
  <c r="F40" i="42"/>
  <c r="F79" i="42"/>
  <c r="F17" i="38"/>
  <c r="F65" i="33"/>
  <c r="G64" i="42" l="1"/>
  <c r="G63" i="33"/>
  <c r="F40" i="33"/>
  <c r="G65" i="42" l="1"/>
  <c r="G79" i="42"/>
  <c r="G17" i="38"/>
  <c r="G64" i="33"/>
  <c r="G79" i="33" s="1"/>
  <c r="G40" i="42" l="1"/>
  <c r="G65" i="33"/>
  <c r="G40" i="33" s="1"/>
  <c r="F32" i="42" l="1"/>
  <c r="E32" i="42"/>
  <c r="D22" i="42"/>
  <c r="D22" i="33"/>
  <c r="E22" i="33" l="1"/>
  <c r="D51" i="41"/>
  <c r="D50" i="41" s="1"/>
  <c r="E48" i="41" s="1"/>
  <c r="E50" i="41" s="1"/>
  <c r="F48" i="41" l="1"/>
  <c r="F50" i="41" s="1"/>
  <c r="F56" i="41" s="1"/>
  <c r="F36" i="41" s="1"/>
  <c r="E56" i="41"/>
  <c r="E36" i="41" s="1"/>
  <c r="E32" i="33"/>
  <c r="F22" i="33"/>
  <c r="F45" i="41" l="1"/>
  <c r="F53" i="41"/>
  <c r="F55" i="41" s="1"/>
  <c r="E55" i="41"/>
  <c r="G22" i="33"/>
  <c r="G32" i="33" s="1"/>
  <c r="F32" i="33"/>
  <c r="E19" i="41" l="1"/>
  <c r="E62" i="41"/>
  <c r="F19" i="41"/>
  <c r="F62" i="41"/>
  <c r="D94" i="42"/>
  <c r="D71" i="42"/>
  <c r="E68" i="42" s="1"/>
  <c r="D60" i="42"/>
  <c r="E57" i="42" s="1"/>
  <c r="D49" i="42"/>
  <c r="E47" i="42"/>
  <c r="D43" i="42"/>
  <c r="E41" i="42"/>
  <c r="D31" i="42"/>
  <c r="E25" i="42"/>
  <c r="E8" i="38" s="1"/>
  <c r="D19" i="42"/>
  <c r="D14" i="42"/>
  <c r="D9" i="42"/>
  <c r="A1" i="42"/>
  <c r="F41" i="42" l="1"/>
  <c r="D33" i="42"/>
  <c r="E90" i="42"/>
  <c r="D51" i="42"/>
  <c r="D53" i="38" s="1"/>
  <c r="E26" i="42"/>
  <c r="E9" i="38" s="1"/>
  <c r="E42" i="42"/>
  <c r="D53" i="42"/>
  <c r="E37" i="42"/>
  <c r="F47" i="42"/>
  <c r="E58" i="42"/>
  <c r="E15" i="38" s="1"/>
  <c r="E46" i="42"/>
  <c r="E14" i="38" s="1"/>
  <c r="E48" i="42"/>
  <c r="E19" i="38" s="1"/>
  <c r="F25" i="42"/>
  <c r="E74" i="42"/>
  <c r="E13" i="38" l="1"/>
  <c r="E18" i="38"/>
  <c r="G41" i="42"/>
  <c r="F42" i="42"/>
  <c r="E81" i="42"/>
  <c r="F74" i="42"/>
  <c r="G47" i="42"/>
  <c r="G25" i="42"/>
  <c r="F90" i="42"/>
  <c r="E83" i="42"/>
  <c r="E82" i="42"/>
  <c r="E59" i="42"/>
  <c r="E86" i="42"/>
  <c r="E80" i="42"/>
  <c r="F48" i="42"/>
  <c r="F46" i="42"/>
  <c r="F58" i="42"/>
  <c r="F37" i="42"/>
  <c r="F26" i="42"/>
  <c r="F15" i="38" l="1"/>
  <c r="F14" i="38"/>
  <c r="E87" i="42"/>
  <c r="F18" i="38"/>
  <c r="F19" i="38"/>
  <c r="E78" i="42"/>
  <c r="E16" i="38"/>
  <c r="G42" i="42"/>
  <c r="G90" i="42"/>
  <c r="F9" i="38"/>
  <c r="F13" i="38"/>
  <c r="F81" i="42"/>
  <c r="G74" i="42"/>
  <c r="G26" i="42"/>
  <c r="G58" i="42"/>
  <c r="G37" i="42"/>
  <c r="G48" i="42"/>
  <c r="G46" i="42"/>
  <c r="E60" i="42"/>
  <c r="F82" i="42"/>
  <c r="F83" i="42"/>
  <c r="F80" i="42"/>
  <c r="F86" i="42"/>
  <c r="F59" i="42"/>
  <c r="F87" i="42" l="1"/>
  <c r="G81" i="42"/>
  <c r="G18" i="38"/>
  <c r="G82" i="42"/>
  <c r="G14" i="38"/>
  <c r="F78" i="42"/>
  <c r="F16" i="38"/>
  <c r="E38" i="42"/>
  <c r="G83" i="42"/>
  <c r="G19" i="38"/>
  <c r="G80" i="42"/>
  <c r="G13" i="38"/>
  <c r="G9" i="38"/>
  <c r="G86" i="42"/>
  <c r="G59" i="42"/>
  <c r="F57" i="42"/>
  <c r="G78" i="42" l="1"/>
  <c r="G87" i="42"/>
  <c r="F60" i="42"/>
  <c r="F38" i="42"/>
  <c r="G57" i="42"/>
  <c r="G60" i="42" l="1"/>
  <c r="G38" i="42" l="1"/>
  <c r="A1" i="41"/>
  <c r="C21" i="40"/>
  <c r="C19" i="40"/>
  <c r="I19" i="40" s="1"/>
  <c r="D37" i="41" s="1"/>
  <c r="E66" i="41" s="1"/>
  <c r="C18" i="40"/>
  <c r="C17" i="40"/>
  <c r="I17" i="40" s="1"/>
  <c r="D35" i="41" s="1"/>
  <c r="E65" i="41" s="1"/>
  <c r="C16" i="40"/>
  <c r="I16" i="40" s="1"/>
  <c r="D34" i="41" s="1"/>
  <c r="C7" i="40"/>
  <c r="C14" i="40" s="1"/>
  <c r="A1" i="40"/>
  <c r="A1" i="39"/>
  <c r="A1" i="38"/>
  <c r="D94" i="33"/>
  <c r="D71" i="33"/>
  <c r="E68" i="33" s="1"/>
  <c r="D60" i="33"/>
  <c r="E57" i="33" s="1"/>
  <c r="D49" i="33"/>
  <c r="D51" i="33" s="1"/>
  <c r="E47" i="33"/>
  <c r="D19" i="33"/>
  <c r="D14" i="33"/>
  <c r="D13" i="33"/>
  <c r="I7" i="40" l="1"/>
  <c r="D25" i="41" s="1"/>
  <c r="E90" i="33"/>
  <c r="E74" i="33"/>
  <c r="E48" i="33"/>
  <c r="F41" i="33"/>
  <c r="G41" i="33" s="1"/>
  <c r="D53" i="33"/>
  <c r="C20" i="40"/>
  <c r="C22" i="40" s="1"/>
  <c r="C24" i="40" s="1"/>
  <c r="D22" i="40"/>
  <c r="D24" i="40" s="1"/>
  <c r="F25" i="33"/>
  <c r="F42" i="33" s="1"/>
  <c r="D31" i="33"/>
  <c r="D33" i="33" s="1"/>
  <c r="F47" i="33"/>
  <c r="E58" i="33"/>
  <c r="D76" i="41" l="1"/>
  <c r="I10" i="40"/>
  <c r="F81" i="33"/>
  <c r="F58" i="33"/>
  <c r="F86" i="33" s="1"/>
  <c r="G25" i="33"/>
  <c r="G42" i="33" s="1"/>
  <c r="G81" i="33" s="1"/>
  <c r="G47" i="33"/>
  <c r="G90" i="33" s="1"/>
  <c r="E80" i="33"/>
  <c r="F37" i="33"/>
  <c r="F80" i="33" s="1"/>
  <c r="F26" i="33"/>
  <c r="F48" i="33"/>
  <c r="E82" i="33"/>
  <c r="E83" i="33"/>
  <c r="F46" i="33"/>
  <c r="F90" i="33"/>
  <c r="F74" i="33"/>
  <c r="E59" i="33"/>
  <c r="E78" i="33" s="1"/>
  <c r="E86" i="33"/>
  <c r="I14" i="40" l="1"/>
  <c r="D28" i="41"/>
  <c r="F59" i="33"/>
  <c r="F78" i="33" s="1"/>
  <c r="G74" i="33"/>
  <c r="G26" i="33"/>
  <c r="G46" i="33"/>
  <c r="G82" i="33" s="1"/>
  <c r="G48" i="33"/>
  <c r="G83" i="33" s="1"/>
  <c r="G58" i="33"/>
  <c r="G37" i="33"/>
  <c r="G80" i="33" s="1"/>
  <c r="F82" i="33"/>
  <c r="F83" i="33"/>
  <c r="F87" i="33"/>
  <c r="E87" i="33"/>
  <c r="E60" i="33"/>
  <c r="E38" i="33" s="1"/>
  <c r="E28" i="41" l="1"/>
  <c r="F28" i="41" s="1"/>
  <c r="D32" i="41"/>
  <c r="I21" i="40"/>
  <c r="D39" i="41" s="1"/>
  <c r="G59" i="33"/>
  <c r="G78" i="33" s="1"/>
  <c r="G86" i="33"/>
  <c r="G87" i="33" s="1"/>
  <c r="I18" i="40"/>
  <c r="F57" i="33"/>
  <c r="F60" i="33" s="1"/>
  <c r="I20" i="40" l="1"/>
  <c r="I22" i="40" s="1"/>
  <c r="I24" i="40" s="1"/>
  <c r="D36" i="41"/>
  <c r="F38" i="33"/>
  <c r="G57" i="33"/>
  <c r="G60" i="33" s="1"/>
  <c r="G38" i="33" s="1"/>
  <c r="A1" i="33"/>
  <c r="E45" i="41" l="1"/>
  <c r="D38" i="41"/>
  <c r="D40" i="41" s="1"/>
  <c r="D42" i="41" s="1"/>
  <c r="A7" i="1"/>
  <c r="F18" i="41" l="1"/>
  <c r="F20" i="41" s="1"/>
  <c r="F28" i="33"/>
  <c r="F29" i="33"/>
  <c r="F30" i="33" s="1"/>
  <c r="E18" i="41"/>
  <c r="E20" i="41" s="1"/>
  <c r="E21" i="41" s="1"/>
  <c r="E69" i="33"/>
  <c r="E70" i="33" s="1"/>
  <c r="G28" i="33"/>
  <c r="G29" i="33"/>
  <c r="G30" i="33" s="1"/>
  <c r="G31" i="33" s="1"/>
  <c r="E28" i="33"/>
  <c r="E29" i="33"/>
  <c r="E30" i="33" s="1"/>
  <c r="E31" i="33"/>
  <c r="E33" i="33" s="1"/>
  <c r="E88" i="41" s="1"/>
  <c r="F28" i="42"/>
  <c r="F29" i="42"/>
  <c r="F30" i="42" s="1"/>
  <c r="F21" i="41" l="1"/>
  <c r="F22" i="41"/>
  <c r="F85" i="41" s="1"/>
  <c r="F87" i="41" s="1"/>
  <c r="G69" i="33"/>
  <c r="G70" i="33" s="1"/>
  <c r="G89" i="33" s="1"/>
  <c r="G91" i="33" s="1"/>
  <c r="G77" i="33"/>
  <c r="G84" i="33" s="1"/>
  <c r="G93" i="33" s="1"/>
  <c r="G33" i="33"/>
  <c r="E89" i="33"/>
  <c r="E91" i="33" s="1"/>
  <c r="E71" i="33"/>
  <c r="F31" i="33"/>
  <c r="F31" i="42"/>
  <c r="E77" i="33"/>
  <c r="E84" i="33" s="1"/>
  <c r="E93" i="33" s="1"/>
  <c r="E94" i="33" s="1"/>
  <c r="E22" i="41"/>
  <c r="G28" i="42"/>
  <c r="G29" i="42" s="1"/>
  <c r="G28" i="38"/>
  <c r="G29" i="38" s="1"/>
  <c r="F59" i="41" l="1"/>
  <c r="F67" i="41" s="1"/>
  <c r="F75" i="41" s="1"/>
  <c r="F69" i="33"/>
  <c r="F70" i="33" s="1"/>
  <c r="F89" i="33" s="1"/>
  <c r="F91" i="33" s="1"/>
  <c r="F77" i="33"/>
  <c r="F84" i="33" s="1"/>
  <c r="F93" i="33" s="1"/>
  <c r="F94" i="33" s="1"/>
  <c r="F33" i="33"/>
  <c r="F88" i="41" s="1"/>
  <c r="F89" i="41" s="1"/>
  <c r="E50" i="33"/>
  <c r="F68" i="33"/>
  <c r="F71" i="33" s="1"/>
  <c r="E36" i="33"/>
  <c r="E43" i="33" s="1"/>
  <c r="E45" i="33"/>
  <c r="F77" i="42"/>
  <c r="F84" i="42" s="1"/>
  <c r="F69" i="42"/>
  <c r="F70" i="42" s="1"/>
  <c r="F33" i="42"/>
  <c r="E85" i="41"/>
  <c r="E87" i="41" s="1"/>
  <c r="E89" i="41" s="1"/>
  <c r="E59" i="41"/>
  <c r="E67" i="41" s="1"/>
  <c r="E75" i="41" s="1"/>
  <c r="E76" i="41" s="1"/>
  <c r="E39" i="41"/>
  <c r="F39" i="41" s="1"/>
  <c r="G30" i="42"/>
  <c r="G30" i="38" s="1"/>
  <c r="G31" i="42"/>
  <c r="G94" i="33" l="1"/>
  <c r="F45" i="33"/>
  <c r="F36" i="33"/>
  <c r="F43" i="33" s="1"/>
  <c r="F89" i="42"/>
  <c r="F91" i="42" s="1"/>
  <c r="F93" i="42" s="1"/>
  <c r="E73" i="33"/>
  <c r="F73" i="33"/>
  <c r="E95" i="41"/>
  <c r="E49" i="33"/>
  <c r="E51" i="33" s="1"/>
  <c r="E53" i="33" s="1"/>
  <c r="E25" i="41"/>
  <c r="E32" i="41" s="1"/>
  <c r="E34" i="41"/>
  <c r="F76" i="41"/>
  <c r="G68" i="33"/>
  <c r="G71" i="33" s="1"/>
  <c r="G50" i="33" s="1"/>
  <c r="F50" i="33"/>
  <c r="G77" i="42"/>
  <c r="G84" i="42" s="1"/>
  <c r="G93" i="42" s="1"/>
  <c r="G69" i="42"/>
  <c r="G70" i="42" s="1"/>
  <c r="G89" i="42" s="1"/>
  <c r="G91" i="42" s="1"/>
  <c r="G33" i="42"/>
  <c r="G11" i="38"/>
  <c r="G31" i="38"/>
  <c r="E38" i="41" l="1"/>
  <c r="E40" i="41" s="1"/>
  <c r="E42" i="41" s="1"/>
  <c r="E93" i="41"/>
  <c r="E94" i="41" s="1"/>
  <c r="E44" i="41"/>
  <c r="F25" i="41"/>
  <c r="F32" i="41" s="1"/>
  <c r="F34" i="41"/>
  <c r="G33" i="38"/>
  <c r="F49" i="33"/>
  <c r="F51" i="33" s="1"/>
  <c r="F53" i="33" s="1"/>
  <c r="F95" i="41"/>
  <c r="G45" i="33"/>
  <c r="G49" i="33" s="1"/>
  <c r="G51" i="33" s="1"/>
  <c r="G36" i="33"/>
  <c r="G43" i="33" s="1"/>
  <c r="G53" i="33" s="1"/>
  <c r="G73" i="33" l="1"/>
  <c r="F38" i="41"/>
  <c r="F40" i="41" s="1"/>
  <c r="F42" i="41" s="1"/>
  <c r="F93" i="41"/>
  <c r="F94" i="41" s="1"/>
  <c r="F44" i="41"/>
  <c r="E28" i="42"/>
  <c r="E29" i="42"/>
  <c r="E30" i="42" s="1"/>
  <c r="E30" i="38" l="1"/>
  <c r="E11" i="38" s="1"/>
  <c r="F30" i="38"/>
  <c r="E28" i="38"/>
  <c r="E29" i="38" s="1"/>
  <c r="E31" i="38" s="1"/>
  <c r="E33" i="38" s="1"/>
  <c r="F28" i="38"/>
  <c r="F29" i="38" s="1"/>
  <c r="F31" i="38" s="1"/>
  <c r="F33" i="38" s="1"/>
  <c r="E31" i="42"/>
  <c r="E33" i="42" l="1"/>
  <c r="E69" i="42"/>
  <c r="E77" i="42"/>
  <c r="E84" i="42" s="1"/>
  <c r="F11" i="38"/>
  <c r="E70" i="42" l="1"/>
  <c r="E71" i="42" s="1"/>
  <c r="E50" i="42" l="1"/>
  <c r="E50" i="38" s="1"/>
  <c r="F68" i="42"/>
  <c r="F71" i="42" s="1"/>
  <c r="E89" i="42"/>
  <c r="E91" i="42" s="1"/>
  <c r="E93" i="42" s="1"/>
  <c r="E94" i="42" s="1"/>
  <c r="E70" i="38"/>
  <c r="E21" i="38" s="1"/>
  <c r="F70" i="38"/>
  <c r="G21" i="38" l="1"/>
  <c r="F21" i="38"/>
  <c r="F50" i="42"/>
  <c r="F50" i="38" s="1"/>
  <c r="G68" i="42"/>
  <c r="G71" i="42" s="1"/>
  <c r="G50" i="42" s="1"/>
  <c r="G50" i="38" s="1"/>
  <c r="E36" i="42"/>
  <c r="E45" i="42"/>
  <c r="F94" i="42"/>
  <c r="E43" i="42" l="1"/>
  <c r="E36" i="38"/>
  <c r="E43" i="38" s="1"/>
  <c r="F45" i="42"/>
  <c r="G94" i="42"/>
  <c r="F36" i="42"/>
  <c r="E49" i="42"/>
  <c r="E51" i="42" s="1"/>
  <c r="F73" i="42"/>
  <c r="E45" i="38"/>
  <c r="E49" i="38" s="1"/>
  <c r="E51" i="38" s="1"/>
  <c r="E73" i="42"/>
  <c r="F43" i="42" l="1"/>
  <c r="F36" i="38"/>
  <c r="F43" i="38" s="1"/>
  <c r="G36" i="42"/>
  <c r="G45" i="42"/>
  <c r="F49" i="42"/>
  <c r="F51" i="42" s="1"/>
  <c r="G73" i="42"/>
  <c r="F45" i="38"/>
  <c r="F49" i="38" s="1"/>
  <c r="F51" i="38" s="1"/>
  <c r="E53" i="38"/>
  <c r="E53" i="42"/>
  <c r="G49" i="42" l="1"/>
  <c r="G51" i="42" s="1"/>
  <c r="G45" i="38"/>
  <c r="G43" i="42"/>
  <c r="G53" i="42" s="1"/>
  <c r="G36" i="38"/>
  <c r="F53" i="38"/>
  <c r="F53" i="42"/>
  <c r="G49" i="38" l="1"/>
  <c r="G43" i="38"/>
  <c r="G51" i="38" l="1"/>
  <c r="G53" i="38"/>
</calcChain>
</file>

<file path=xl/sharedStrings.xml><?xml version="1.0" encoding="utf-8"?>
<sst xmlns="http://schemas.openxmlformats.org/spreadsheetml/2006/main" count="403" uniqueCount="181">
  <si>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</si>
  <si>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</si>
  <si>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</si>
  <si>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</si>
  <si>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</si>
  <si>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</si>
  <si>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</si>
  <si>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</si>
  <si>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</si>
  <si>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</si>
  <si>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</si>
  <si>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</si>
  <si>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</si>
  <si>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</si>
  <si>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</si>
  <si>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</si>
  <si>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</si>
  <si>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Sales</t>
  </si>
  <si>
    <t>Equity</t>
  </si>
  <si>
    <t>EBIT</t>
  </si>
  <si>
    <t>Check</t>
  </si>
  <si>
    <t>Capex</t>
  </si>
  <si>
    <t>Cash</t>
  </si>
  <si>
    <t>Operating cash flow</t>
  </si>
  <si>
    <t>Total assets</t>
  </si>
  <si>
    <t>Net income</t>
  </si>
  <si>
    <t>EBIT margin</t>
  </si>
  <si>
    <t>Total liabilities</t>
  </si>
  <si>
    <t>Investing cash flow</t>
  </si>
  <si>
    <t>Dividends</t>
  </si>
  <si>
    <t>Financing cash flow</t>
  </si>
  <si>
    <t>Net cash flow</t>
  </si>
  <si>
    <t>Amortization</t>
  </si>
  <si>
    <t>Goodwill</t>
  </si>
  <si>
    <t>Interest expense</t>
  </si>
  <si>
    <t>Year 0</t>
  </si>
  <si>
    <t>Year 1</t>
  </si>
  <si>
    <t>Year 2</t>
  </si>
  <si>
    <t>Sales growth</t>
  </si>
  <si>
    <t>Tax rate</t>
  </si>
  <si>
    <t>Interest rate on all debt</t>
  </si>
  <si>
    <t>Depreciation as % of capex</t>
  </si>
  <si>
    <t>Dividend payout ratio</t>
  </si>
  <si>
    <t>Pre tax income</t>
  </si>
  <si>
    <t>Tax</t>
  </si>
  <si>
    <t>Intangibles</t>
  </si>
  <si>
    <t>Financial investments</t>
  </si>
  <si>
    <t>PP&amp;E</t>
  </si>
  <si>
    <t>Ending</t>
  </si>
  <si>
    <t>Change in operating current assets</t>
  </si>
  <si>
    <t>Change in operating current liabilities</t>
  </si>
  <si>
    <t>Change in long term operating liabilities</t>
  </si>
  <si>
    <t>Target</t>
  </si>
  <si>
    <t>Valuation</t>
  </si>
  <si>
    <t>Acquirer</t>
  </si>
  <si>
    <t>Adjustments</t>
  </si>
  <si>
    <t>Newco</t>
  </si>
  <si>
    <t>Debt</t>
  </si>
  <si>
    <t>Fees</t>
  </si>
  <si>
    <t>Synergies achieved</t>
  </si>
  <si>
    <t>Restructuring costs</t>
  </si>
  <si>
    <t>Tax rate NewCo</t>
  </si>
  <si>
    <t>Deal Terms</t>
  </si>
  <si>
    <t>Opening BS</t>
  </si>
  <si>
    <t>Proforma Financials</t>
  </si>
  <si>
    <t>M&amp;A Modeling</t>
  </si>
  <si>
    <t>Opening Balance Sheet</t>
  </si>
  <si>
    <t>Zero Out</t>
  </si>
  <si>
    <t>Financing</t>
  </si>
  <si>
    <t>End</t>
  </si>
  <si>
    <t>Assumptions</t>
  </si>
  <si>
    <t>Sources and Uses of Funds</t>
  </si>
  <si>
    <t>Income Statement</t>
  </si>
  <si>
    <t>Balance Sheet</t>
  </si>
  <si>
    <t>Calculations</t>
  </si>
  <si>
    <t>Cash Flow Statement</t>
  </si>
  <si>
    <t>Total sources of funds</t>
  </si>
  <si>
    <t>Total uses of funds</t>
  </si>
  <si>
    <t>% equity financing</t>
  </si>
  <si>
    <t>Book value of target equity</t>
  </si>
  <si>
    <t>Cost synergies % of LTM sales</t>
  </si>
  <si>
    <t>Capex / sales</t>
  </si>
  <si>
    <t xml:space="preserve">Debt issuance / (repayment) </t>
  </si>
  <si>
    <t>Short term debt</t>
  </si>
  <si>
    <t>Long term debt</t>
  </si>
  <si>
    <t>Long term operating liabilities</t>
  </si>
  <si>
    <t>Beginning</t>
  </si>
  <si>
    <t>Add capex</t>
  </si>
  <si>
    <t>Subtract depreciation</t>
  </si>
  <si>
    <t>Add net income</t>
  </si>
  <si>
    <t>Subtract dividends</t>
  </si>
  <si>
    <t>Interest expense on short term debt</t>
  </si>
  <si>
    <t>Interest expense on long term debt</t>
  </si>
  <si>
    <t>Operating long term liabilities / sales</t>
  </si>
  <si>
    <t>Ending cash net of short term debt</t>
  </si>
  <si>
    <t>Total liabilities and equity</t>
  </si>
  <si>
    <t>Foreign currency</t>
  </si>
  <si>
    <t>Target Financials (Acquirer FX)</t>
  </si>
  <si>
    <t>Euro</t>
  </si>
  <si>
    <t>Target (Acqr FX)</t>
  </si>
  <si>
    <t>All figures in Euro millions unless specified</t>
  </si>
  <si>
    <t>Depreciation</t>
  </si>
  <si>
    <t>Ratios</t>
  </si>
  <si>
    <t xml:space="preserve">Long term debt issuance / (repayment) </t>
  </si>
  <si>
    <t>EUR</t>
  </si>
  <si>
    <t>Foreign exchange (gain) / loss</t>
  </si>
  <si>
    <t>Foreign exchange gain / (loss) on debt</t>
  </si>
  <si>
    <t>Proforma net income</t>
  </si>
  <si>
    <t>Proforma shares outstanding</t>
  </si>
  <si>
    <t>Acquirer share price</t>
  </si>
  <si>
    <t>Acquirer shares outstanding</t>
  </si>
  <si>
    <t>New shares issued</t>
  </si>
  <si>
    <t>Share issuance and ownership dilution</t>
  </si>
  <si>
    <t>Proforma EPS</t>
  </si>
  <si>
    <t>Acquirer EPS</t>
  </si>
  <si>
    <t>Shares outstanding</t>
  </si>
  <si>
    <t>EPS</t>
  </si>
  <si>
    <t>EPS accretion / (dilution)</t>
  </si>
  <si>
    <t>Beginning acquisition debt in EUR</t>
  </si>
  <si>
    <t>Ending acquisition debt in EUR</t>
  </si>
  <si>
    <t>Synergies run rate</t>
  </si>
  <si>
    <t>Issuance / (repayment) in EUR</t>
  </si>
  <si>
    <t>Issuance / (repayment) of long term debt</t>
  </si>
  <si>
    <t>+ Depreciation</t>
  </si>
  <si>
    <t>+ Amortization</t>
  </si>
  <si>
    <t>+ Foreign exchange (gain) / loss on debt</t>
  </si>
  <si>
    <t>Acquirer and target combined</t>
  </si>
  <si>
    <t>LVMH and Burberry</t>
  </si>
  <si>
    <t>Burberry share price (GBP)</t>
  </si>
  <si>
    <t>Control premium</t>
  </si>
  <si>
    <t>Diluted shares outstanding</t>
  </si>
  <si>
    <t>Deal analysis as at 31 / 12 / 2024</t>
  </si>
  <si>
    <t>Non-recurring expenses</t>
  </si>
  <si>
    <t>Other intangibles</t>
  </si>
  <si>
    <t>LVMH (Acquirer) Financials</t>
  </si>
  <si>
    <t xml:space="preserve">Amortization % beginning other intangibles  </t>
  </si>
  <si>
    <t>Other intangible assets</t>
  </si>
  <si>
    <t xml:space="preserve">Beginning </t>
  </si>
  <si>
    <t>Subtract amortization</t>
  </si>
  <si>
    <t>Operating current assets</t>
  </si>
  <si>
    <t>Operating current liabilities</t>
  </si>
  <si>
    <t>Operating current assets / sales</t>
  </si>
  <si>
    <t>Operating current liabilities / sales</t>
  </si>
  <si>
    <t>Operating non current assets / sales</t>
  </si>
  <si>
    <t>Other non current operating assets</t>
  </si>
  <si>
    <t>Other non current operating assets / sales</t>
  </si>
  <si>
    <t>Change in other non current operating assets</t>
  </si>
  <si>
    <t>From Factset</t>
  </si>
  <si>
    <t>Burberry (Target) Financials (Local FX)</t>
  </si>
  <si>
    <t>GBP</t>
  </si>
  <si>
    <t>Operating non-current assets</t>
  </si>
  <si>
    <t>Operating long term liabilities</t>
  </si>
  <si>
    <t>Change in operating long term liabilities</t>
  </si>
  <si>
    <t>Change in operating non- current assets</t>
  </si>
  <si>
    <t>Intangible assets</t>
  </si>
  <si>
    <t xml:space="preserve">Amortization % beginning intangibles  </t>
  </si>
  <si>
    <t>From FactSet</t>
  </si>
  <si>
    <t>Spot exchange rate (1 GBP/ X EUR)</t>
  </si>
  <si>
    <t>Net debt (EUR m)</t>
  </si>
  <si>
    <t>Implied enterprise value (EUR m)</t>
  </si>
  <si>
    <t>GBP debt issuance / (repayment)</t>
  </si>
  <si>
    <t>Beginning acquisition debt in GBP</t>
  </si>
  <si>
    <t>Issuance / (repayment) in GBP</t>
  </si>
  <si>
    <t>Ending acquisition debt in GBP</t>
  </si>
  <si>
    <t>Forward exchange rate (1 GBP / X EUR)</t>
  </si>
  <si>
    <t>Debt ratings</t>
  </si>
  <si>
    <t>Proforma EBITDA</t>
  </si>
  <si>
    <t>Calendarization</t>
  </si>
  <si>
    <t>Change in operating non-current assets</t>
  </si>
  <si>
    <t>Adjusted EBIT</t>
  </si>
  <si>
    <t>Offer price (GBP)</t>
  </si>
  <si>
    <t>Equity purchase price (GBP m)</t>
  </si>
  <si>
    <t>Equity purchase price (EUR m)</t>
  </si>
  <si>
    <t>Refinance net debt (EUR m)</t>
  </si>
  <si>
    <t>Debt issuance</t>
  </si>
  <si>
    <t>Equity issuance</t>
  </si>
  <si>
    <t>Deal goodwill</t>
  </si>
  <si>
    <t>Proforma total debt</t>
  </si>
  <si>
    <t>Proforma total debt / EBITDA</t>
  </si>
  <si>
    <t>Standalone total debt/EBITDA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</si>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</sst>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;\(0.00%\)"/>
    <numFmt numFmtId="176" formatCode="0.0%_);\(0.0%\);0.0%_);@_)"/>
    <numFmt numFmtId="177" formatCode="#,##0.00_);\(#,##0.00\);0.00_);@_)"/>
    <numFmt numFmtId="178" formatCode="#,##0.0000_);\(#,##0.0000\);0.0000_);@_)"/>
    <numFmt numFmtId="179" formatCode="#,##0.00000_);\(#,##0.00000\);0.00000_);@_)"/>
  </numFmts>
  <fonts count="39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indexed="12"/>
      <name val="Arial"/>
      <family val="2"/>
    </font>
    <font>
      <b/>
      <sz val="11"/>
      <color theme="1" tint="0.24994659260841701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7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0" fontId="34" fillId="0" borderId="0" applyNumberFormat="0" applyFill="0" applyBorder="0" applyAlignment="0" applyProtection="0"/>
    <xf numFmtId="175" fontId="36" fillId="0" borderId="0" applyNumberFormat="0" applyFill="0" applyBorder="0" applyAlignment="0" applyProtection="0"/>
  </cellStyleXfs>
  <cellXfs count="97">
    <xf numFmtId="174" fontId="0" fillId="0" borderId="0" xfId="0"/>
    <xf numFmtId="174" fontId="4" fillId="0" borderId="0" xfId="50" applyNumberFormat="1">
      <alignment horizontal="left" vertical="center"/>
    </xf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30" fillId="0" borderId="0" xfId="57" applyNumberFormat="1" applyFill="1"/>
    <xf numFmtId="174" fontId="22" fillId="0" borderId="0" xfId="0" applyFont="1" applyAlignment="1">
      <alignment vertical="center"/>
    </xf>
    <xf numFmtId="174" fontId="35" fillId="0" borderId="0" xfId="0" applyFont="1"/>
    <xf numFmtId="174" fontId="29" fillId="0" borderId="0" xfId="0" applyFont="1"/>
    <xf numFmtId="172" fontId="30" fillId="37" borderId="11" xfId="56" applyFont="1" applyFill="1" applyBorder="1" applyProtection="1">
      <protection locked="0"/>
    </xf>
    <xf numFmtId="174" fontId="30" fillId="37" borderId="11" xfId="60" applyNumberFormat="1">
      <protection locked="0"/>
    </xf>
    <xf numFmtId="174" fontId="29" fillId="0" borderId="0" xfId="0" applyFont="1" applyAlignment="1">
      <alignment horizontal="center"/>
    </xf>
    <xf numFmtId="172" fontId="29" fillId="0" borderId="0" xfId="56" applyFont="1" applyFill="1"/>
    <xf numFmtId="176" fontId="30" fillId="37" borderId="11" xfId="60" applyNumberFormat="1">
      <protection locked="0"/>
    </xf>
    <xf numFmtId="174" fontId="29" fillId="0" borderId="0" xfId="57" applyNumberFormat="1" applyFont="1" applyFill="1"/>
    <xf numFmtId="174" fontId="37" fillId="0" borderId="0" xfId="0" applyFont="1"/>
    <xf numFmtId="177" fontId="30" fillId="37" borderId="11" xfId="60" applyNumberFormat="1">
      <protection locked="0"/>
    </xf>
    <xf numFmtId="172" fontId="29" fillId="0" borderId="0" xfId="56" applyFont="1" applyFill="1" applyBorder="1"/>
    <xf numFmtId="172" fontId="0" fillId="0" borderId="0" xfId="56" applyFont="1" applyFill="1"/>
    <xf numFmtId="177" fontId="0" fillId="0" borderId="0" xfId="0" applyNumberFormat="1"/>
    <xf numFmtId="177" fontId="29" fillId="0" borderId="0" xfId="0" applyNumberFormat="1" applyFont="1"/>
    <xf numFmtId="171" fontId="0" fillId="0" borderId="0" xfId="55" applyFont="1"/>
    <xf numFmtId="174" fontId="0" fillId="0" borderId="0" xfId="0" quotePrefix="1"/>
    <xf numFmtId="174" fontId="0" fillId="0" borderId="0" xfId="0" applyAlignment="1">
      <alignment horizontal="right"/>
    </xf>
    <xf numFmtId="168" fontId="29" fillId="0" borderId="0" xfId="54" applyFont="1" applyAlignment="1">
      <alignment horizontal="center"/>
    </xf>
    <xf numFmtId="170" fontId="4" fillId="0" borderId="0" xfId="50" applyNumberFormat="1" applyBorder="1">
      <alignment horizontal="left" vertical="center"/>
    </xf>
    <xf numFmtId="174" fontId="38" fillId="0" borderId="0" xfId="0" applyFont="1"/>
    <xf numFmtId="178" fontId="0" fillId="0" borderId="0" xfId="0" applyNumberFormat="1"/>
    <xf numFmtId="179" fontId="0" fillId="0" borderId="0" xfId="0" applyNumberFormat="1"/>
    <xf numFmtId="168" fontId="0" fillId="0" borderId="0" xfId="54" applyFont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9" fillId="5" borderId="0" xfId="51" applyNumberFormat="1" applyFont="1" applyAlignment="1">
      <alignment horizontal="left"/>
    </xf>
    <xf numFmtId="168" fontId="29" fillId="5" borderId="0" xfId="51" applyNumberFormat="1" applyFont="1" applyAlignment="1">
      <alignment horizontal="left"/>
    </xf>
    <xf numFmtId="0" fontId="29" fillId="5" borderId="0" xfId="51" applyNumberFormat="1" applyFont="1" applyAlignment="1">
      <alignment horizontal="left"/>
    </xf>
  </cellXfs>
  <cellStyles count="67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Blue" xfId="66" xr:uid="{BC91D148-26E0-4633-A1B5-7457313F9886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Hyperlink" xfId="65" builtinId="8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rmal 2" xfId="64" xr:uid="{00000000-0005-0000-0000-000042000000}"/>
    <cellStyle name="Note" xfId="21" builtinId="10" hidden="1"/>
    <cellStyle name="Notes and Comments" xfId="58" xr:uid="{00000000-0005-0000-0000-000036000000}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163260"/>
      <color rgb="FF085393"/>
      <color rgb="FFBBDEFB"/>
      <color rgb="FFF0F8FE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2057399</xdr:colOff>
      <xdr:row>0</xdr:row>
      <xdr:rowOff>123826</xdr:rowOff>
    </xdr:from>
    <xdr:to>
      <xdr:col>16</xdr:col>
      <xdr:colOff>165658</xdr:colOff>
      <xdr:row>0</xdr:row>
      <xdr:rowOff>467679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6337" y="123826"/>
          <a:ext cx="432359" cy="3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22" customFormat="1" ht="75" customHeight="1" x14ac:dyDescent="0.45">
      <c r="A2" s="88" t="s">
        <v>65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87"/>
      <c r="D4" s="8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9" t="s">
        <v>10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23" customFormat="1" ht="15" customHeight="1" x14ac:dyDescent="0.4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s="23" customFormat="1" ht="15" customHeight="1" x14ac:dyDescent="0.45">
      <c r="A7" s="89" t="str">
        <f ca="1">"© "&amp;YEAR(TODAY())&amp;" Financial Edge Training"</f>
        <v>© 2025 Financial Edge Training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90"/>
      <c r="H9" s="90"/>
      <c r="I9" s="90"/>
      <c r="J9" s="90"/>
      <c r="K9" s="28"/>
    </row>
    <row r="10" spans="1:14" s="23" customFormat="1" ht="15" customHeight="1" x14ac:dyDescent="0.45">
      <c r="B10" s="24"/>
      <c r="C10" s="24"/>
      <c r="F10" s="28"/>
      <c r="G10" s="90"/>
      <c r="H10" s="90"/>
      <c r="I10" s="90"/>
      <c r="J10" s="90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86"/>
      <c r="H12" s="86"/>
      <c r="I12" s="86"/>
      <c r="J12" s="86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86"/>
      <c r="H13" s="86"/>
      <c r="I13" s="86"/>
      <c r="J13" s="86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86"/>
      <c r="H14" s="86"/>
      <c r="I14" s="86"/>
      <c r="J14" s="86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86"/>
      <c r="H16" s="86"/>
      <c r="I16" s="86"/>
      <c r="J16" s="86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scale="66" orientation="portrait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597656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59765625" bestFit="1" customWidth="1"/>
  </cols>
  <sheetData>
    <row r="1" spans="1:18" s="34" customFormat="1" ht="45" customHeight="1" x14ac:dyDescent="0.85">
      <c r="A1" s="14" t="s">
        <v>180</v>
      </c>
      <c r="B1" s="14"/>
      <c r="C1" s="14"/>
      <c r="D1" s="14"/>
      <c r="E1" s="14"/>
      <c r="F1" s="14"/>
      <c r="G1" s="14"/>
      <c r="H1" s="14"/>
      <c r="I1" s="14"/>
      <c r="J1" s="7"/>
      <c r="K1" s="7"/>
      <c r="L1" s="7"/>
      <c r="M1" s="7"/>
      <c r="N1" s="7"/>
      <c r="O1" s="7"/>
      <c r="P1" s="7"/>
      <c r="Q1" s="7"/>
      <c r="R1" s="7"/>
    </row>
    <row r="2" spans="1:18" s="35" customFormat="1" ht="30" customHeight="1" x14ac:dyDescent="0.6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8"/>
      <c r="K2" s="8"/>
      <c r="L2" s="8"/>
      <c r="M2" s="8"/>
      <c r="N2" s="8"/>
      <c r="O2" s="8"/>
      <c r="P2" s="8"/>
      <c r="Q2" s="8"/>
      <c r="R2" s="8"/>
    </row>
    <row r="3" spans="1:18" s="3" customFormat="1" ht="7.5" customHeight="1" x14ac:dyDescent="0.45"/>
    <row r="4" spans="1:18" s="3" customFormat="1" ht="22.5" customHeight="1" x14ac:dyDescent="0.45">
      <c r="A4" s="2"/>
      <c r="B4" s="92" t="s">
        <v>0</v>
      </c>
      <c r="C4" s="92"/>
      <c r="D4" s="92"/>
      <c r="E4" s="92"/>
      <c r="F4" s="92"/>
      <c r="G4" s="92"/>
      <c r="H4" s="92"/>
      <c r="I4" s="92"/>
      <c r="K4" s="2"/>
      <c r="L4" s="92" t="s">
        <v>1</v>
      </c>
      <c r="M4" s="92"/>
      <c r="N4" s="92"/>
      <c r="O4" s="92"/>
      <c r="P4" s="92"/>
      <c r="Q4" s="40"/>
      <c r="R4" s="40"/>
    </row>
    <row r="5" spans="1:18" s="3" customFormat="1" ht="15" customHeight="1" x14ac:dyDescent="0.45">
      <c r="A5" s="17"/>
      <c r="B5" s="9"/>
      <c r="C5" s="55" t="s">
        <v>126</v>
      </c>
      <c r="D5" s="18"/>
      <c r="E5" s="18"/>
      <c r="F5" s="18"/>
      <c r="G5" s="18"/>
      <c r="H5" s="18"/>
      <c r="I5" s="18"/>
      <c r="K5" s="2"/>
      <c r="L5" s="10" t="s">
        <v>2</v>
      </c>
      <c r="M5" s="10"/>
      <c r="N5" s="94" t="s">
        <v>127</v>
      </c>
      <c r="O5" s="94"/>
      <c r="P5" s="94"/>
      <c r="Q5" s="94"/>
      <c r="R5" s="40"/>
    </row>
    <row r="6" spans="1:18" s="3" customFormat="1" ht="15" customHeight="1" x14ac:dyDescent="0.45">
      <c r="A6" s="4"/>
      <c r="B6" s="9"/>
      <c r="C6" s="55" t="s">
        <v>131</v>
      </c>
      <c r="D6" s="18"/>
      <c r="E6" s="18"/>
      <c r="F6" s="18"/>
      <c r="G6" s="18"/>
      <c r="H6" s="18"/>
      <c r="I6" s="18"/>
      <c r="K6" s="17"/>
      <c r="L6" s="10" t="s">
        <v>3</v>
      </c>
      <c r="M6" s="10"/>
      <c r="N6" s="95">
        <v>45657</v>
      </c>
      <c r="O6" s="95"/>
      <c r="P6" s="95"/>
      <c r="Q6" s="95"/>
      <c r="R6" s="40"/>
    </row>
    <row r="7" spans="1:18" s="3" customFormat="1" ht="15" customHeight="1" x14ac:dyDescent="0.45">
      <c r="A7" s="18"/>
      <c r="B7" s="9"/>
      <c r="C7" s="55"/>
      <c r="D7" s="18"/>
      <c r="E7" s="18"/>
      <c r="F7" s="18"/>
      <c r="G7" s="18"/>
      <c r="H7" s="18"/>
      <c r="I7" s="18"/>
      <c r="K7" s="4"/>
      <c r="L7" s="10" t="s">
        <v>4</v>
      </c>
      <c r="M7" s="10"/>
      <c r="N7" s="94" t="s">
        <v>104</v>
      </c>
      <c r="O7" s="94"/>
      <c r="P7" s="94"/>
      <c r="Q7" s="94"/>
      <c r="R7" s="40"/>
    </row>
    <row r="8" spans="1:18" s="3" customFormat="1" ht="15" customHeight="1" x14ac:dyDescent="0.45">
      <c r="A8" s="18"/>
      <c r="B8" s="9"/>
      <c r="C8" s="55"/>
      <c r="D8" s="18"/>
      <c r="E8" s="18"/>
      <c r="F8" s="18"/>
      <c r="G8" s="18"/>
      <c r="H8" s="18"/>
      <c r="I8" s="18"/>
      <c r="K8" s="18"/>
      <c r="L8" s="10" t="s">
        <v>5</v>
      </c>
      <c r="M8" s="10"/>
      <c r="N8" s="94" t="s">
        <v>8</v>
      </c>
      <c r="O8" s="94"/>
      <c r="P8" s="94"/>
      <c r="Q8" s="94"/>
      <c r="R8" s="40"/>
    </row>
    <row r="9" spans="1:18" s="3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10" t="s">
        <v>6</v>
      </c>
      <c r="M9" s="10"/>
      <c r="N9" s="94" t="s">
        <v>9</v>
      </c>
      <c r="O9" s="94"/>
      <c r="P9" s="94"/>
      <c r="Q9" s="94"/>
      <c r="R9" s="40"/>
    </row>
    <row r="10" spans="1:18" s="3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10" t="s">
        <v>7</v>
      </c>
      <c r="M10" s="10"/>
      <c r="N10" s="96">
        <v>0</v>
      </c>
      <c r="O10" s="96"/>
      <c r="P10" s="96"/>
      <c r="Q10" s="96"/>
      <c r="R10" s="47"/>
    </row>
    <row r="11" spans="1:18" s="3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5"/>
      <c r="L11" s="59"/>
      <c r="M11" s="59"/>
      <c r="N11" s="48"/>
      <c r="O11" s="49"/>
      <c r="P11" s="49"/>
      <c r="Q11" s="50"/>
      <c r="R11" s="51"/>
    </row>
    <row r="12" spans="1:18" s="3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3" customFormat="1" ht="22.5" customHeight="1" x14ac:dyDescent="0.45">
      <c r="A13" s="55"/>
      <c r="B13" s="93" t="s">
        <v>16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N13" s="2"/>
      <c r="O13" s="92" t="s">
        <v>11</v>
      </c>
      <c r="P13" s="92"/>
      <c r="Q13" s="92"/>
      <c r="R13" s="58"/>
    </row>
    <row r="14" spans="1:18" s="3" customFormat="1" ht="15" customHeight="1" x14ac:dyDescent="0.45">
      <c r="A14" s="56"/>
      <c r="B14" s="91" t="s">
        <v>62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N14" s="17"/>
      <c r="O14" s="27"/>
      <c r="P14" s="22"/>
      <c r="Q14" s="22"/>
      <c r="R14" s="56"/>
    </row>
    <row r="15" spans="1:18" s="3" customFormat="1" ht="15" customHeight="1" x14ac:dyDescent="0.45">
      <c r="A15" s="56"/>
      <c r="B15" s="91" t="s">
        <v>54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N15" s="4"/>
      <c r="O15" s="27"/>
      <c r="P15" s="52" t="s">
        <v>12</v>
      </c>
      <c r="Q15" s="22"/>
      <c r="R15" s="56"/>
    </row>
    <row r="16" spans="1:18" s="3" customFormat="1" ht="15" customHeight="1" x14ac:dyDescent="0.45">
      <c r="A16" s="56"/>
      <c r="B16" s="91" t="s">
        <v>52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N16" s="18"/>
      <c r="O16" s="27"/>
      <c r="P16" s="36" t="s">
        <v>13</v>
      </c>
      <c r="Q16" s="22"/>
      <c r="R16" s="56"/>
    </row>
    <row r="17" spans="1:18" s="3" customFormat="1" ht="15" customHeight="1" x14ac:dyDescent="0.45">
      <c r="A17" s="56"/>
      <c r="B17" s="91" t="s">
        <v>63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N17" s="18"/>
      <c r="O17" s="27"/>
      <c r="P17" t="s">
        <v>14</v>
      </c>
      <c r="Q17" s="22"/>
      <c r="R17" s="56"/>
    </row>
    <row r="18" spans="1:18" s="3" customFormat="1" ht="15" customHeight="1" x14ac:dyDescent="0.45">
      <c r="A18" s="39"/>
      <c r="B18" s="91" t="s">
        <v>64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scale="66" orientation="portrait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99CA-5EC0-42BB-BB0F-0222F6ECD9A4}">
  <sheetPr>
    <pageSetUpPr fitToPage="1"/>
  </sheetPr>
  <dimension ref="A1:L33"/>
  <sheetViews>
    <sheetView zoomScaleNormal="100" workbookViewId="0"/>
  </sheetViews>
  <sheetFormatPr defaultRowHeight="15.75" x14ac:dyDescent="0.45"/>
  <cols>
    <col min="1" max="1" width="2.1328125" style="1" customWidth="1"/>
    <col min="2" max="2" width="33.1328125" customWidth="1"/>
    <col min="3" max="3" width="11.1328125" customWidth="1"/>
    <col min="4" max="4" width="14.3984375" customWidth="1"/>
    <col min="5" max="10" width="11.1328125" customWidth="1"/>
  </cols>
  <sheetData>
    <row r="1" spans="1:12" s="46" customFormat="1" ht="45" customHeight="1" x14ac:dyDescent="0.8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65">
      <c r="A2" s="15" t="s">
        <v>62</v>
      </c>
      <c r="B2" s="8"/>
      <c r="C2" s="12" t="s">
        <v>35</v>
      </c>
      <c r="D2" s="12"/>
      <c r="E2" s="12"/>
      <c r="F2" s="12"/>
      <c r="G2" s="12"/>
      <c r="H2" s="12"/>
      <c r="I2" s="12"/>
      <c r="J2" s="12"/>
      <c r="L2" s="62"/>
    </row>
    <row r="3" spans="1:12" ht="15" customHeight="1" x14ac:dyDescent="0.45"/>
    <row r="4" spans="1:12" ht="15" customHeight="1" x14ac:dyDescent="0.45">
      <c r="A4" t="s">
        <v>100</v>
      </c>
    </row>
    <row r="5" spans="1:12" ht="15" customHeight="1" x14ac:dyDescent="0.45"/>
    <row r="6" spans="1:12" ht="15" customHeight="1" x14ac:dyDescent="0.45">
      <c r="A6" s="1" t="s">
        <v>96</v>
      </c>
      <c r="C6" s="66"/>
    </row>
    <row r="7" spans="1:12" ht="15" customHeight="1" x14ac:dyDescent="0.45">
      <c r="B7" t="s">
        <v>157</v>
      </c>
      <c r="C7" s="71">
        <v>1.2058</v>
      </c>
      <c r="E7" s="81"/>
    </row>
    <row r="8" spans="1:12" ht="15" customHeight="1" x14ac:dyDescent="0.45"/>
    <row r="9" spans="1:12" x14ac:dyDescent="0.45">
      <c r="A9" s="16" t="s">
        <v>53</v>
      </c>
    </row>
    <row r="10" spans="1:12" x14ac:dyDescent="0.45">
      <c r="A10" s="16"/>
      <c r="B10" t="s">
        <v>128</v>
      </c>
      <c r="C10" s="71">
        <v>9.8000000000000007</v>
      </c>
      <c r="E10" s="81"/>
    </row>
    <row r="11" spans="1:12" x14ac:dyDescent="0.45">
      <c r="A11" s="16"/>
      <c r="B11" t="s">
        <v>129</v>
      </c>
      <c r="C11" s="64">
        <v>0.3</v>
      </c>
    </row>
    <row r="12" spans="1:12" x14ac:dyDescent="0.45">
      <c r="A12" s="16"/>
      <c r="B12" t="s">
        <v>170</v>
      </c>
      <c r="C12" s="74">
        <f>C10*(1+C11)</f>
        <v>12.740000000000002</v>
      </c>
    </row>
    <row r="13" spans="1:12" x14ac:dyDescent="0.45">
      <c r="A13" s="16"/>
      <c r="B13" t="s">
        <v>130</v>
      </c>
      <c r="C13" s="65">
        <v>358.4</v>
      </c>
    </row>
    <row r="14" spans="1:12" x14ac:dyDescent="0.45">
      <c r="A14" s="16"/>
      <c r="B14" t="s">
        <v>171</v>
      </c>
      <c r="C14" s="74">
        <f>C12*C13</f>
        <v>4566.0160000000005</v>
      </c>
    </row>
    <row r="15" spans="1:12" x14ac:dyDescent="0.45">
      <c r="A15" s="16"/>
      <c r="C15" s="74"/>
    </row>
    <row r="16" spans="1:12" x14ac:dyDescent="0.45">
      <c r="A16" s="16"/>
      <c r="B16" t="s">
        <v>172</v>
      </c>
      <c r="C16" s="74">
        <f>C14*FX</f>
        <v>5505.7020928000002</v>
      </c>
    </row>
    <row r="17" spans="1:8" x14ac:dyDescent="0.45">
      <c r="A17" s="16"/>
      <c r="B17" t="s">
        <v>158</v>
      </c>
      <c r="C17">
        <f>'Target Calendarized (Acqr FX)'!D45+'Target Calendarized (Acqr FX)'!D47-'Target Calendarized (Acqr FX)'!D36</f>
        <v>1343.8062876712329</v>
      </c>
    </row>
    <row r="18" spans="1:8" x14ac:dyDescent="0.45">
      <c r="A18" s="16"/>
      <c r="B18" t="s">
        <v>159</v>
      </c>
      <c r="C18">
        <f>C16+C17</f>
        <v>6849.5083804712331</v>
      </c>
    </row>
    <row r="20" spans="1:8" x14ac:dyDescent="0.45">
      <c r="A20" s="16" t="s">
        <v>71</v>
      </c>
    </row>
    <row r="21" spans="1:8" x14ac:dyDescent="0.45">
      <c r="A21" s="16"/>
      <c r="B21" t="s">
        <v>78</v>
      </c>
      <c r="C21" s="68">
        <v>0.5</v>
      </c>
    </row>
    <row r="22" spans="1:8" x14ac:dyDescent="0.45">
      <c r="A22" s="16"/>
    </row>
    <row r="23" spans="1:8" x14ac:dyDescent="0.45">
      <c r="B23" t="s">
        <v>172</v>
      </c>
      <c r="C23">
        <f>C16</f>
        <v>5505.7020928000002</v>
      </c>
      <c r="F23" t="s">
        <v>22</v>
      </c>
      <c r="H23" s="65">
        <v>500</v>
      </c>
    </row>
    <row r="24" spans="1:8" x14ac:dyDescent="0.45">
      <c r="B24" t="s">
        <v>173</v>
      </c>
      <c r="C24">
        <f>C17</f>
        <v>1343.8062876712329</v>
      </c>
      <c r="F24" t="s">
        <v>174</v>
      </c>
      <c r="H24">
        <f>C26-H23-H25</f>
        <v>3696.657334071233</v>
      </c>
    </row>
    <row r="25" spans="1:8" x14ac:dyDescent="0.45">
      <c r="B25" t="s">
        <v>58</v>
      </c>
      <c r="C25" s="65">
        <v>100</v>
      </c>
      <c r="F25" t="s">
        <v>175</v>
      </c>
      <c r="H25">
        <f>C21*C23</f>
        <v>2752.8510464000001</v>
      </c>
    </row>
    <row r="26" spans="1:8" x14ac:dyDescent="0.45">
      <c r="B26" t="s">
        <v>77</v>
      </c>
      <c r="C26">
        <f>SUM(C23:C25)</f>
        <v>6949.5083804712331</v>
      </c>
      <c r="F26" t="s">
        <v>76</v>
      </c>
      <c r="H26">
        <f>SUM(H23:H25)</f>
        <v>6949.5083804712331</v>
      </c>
    </row>
    <row r="28" spans="1:8" x14ac:dyDescent="0.45">
      <c r="A28" s="16" t="s">
        <v>33</v>
      </c>
    </row>
    <row r="29" spans="1:8" x14ac:dyDescent="0.45">
      <c r="B29" t="s">
        <v>172</v>
      </c>
      <c r="C29">
        <f>C16</f>
        <v>5505.7020928000002</v>
      </c>
    </row>
    <row r="30" spans="1:8" x14ac:dyDescent="0.45">
      <c r="B30" t="s">
        <v>79</v>
      </c>
      <c r="C30">
        <f>'Target Calendarized (Acqr FX)'!D50</f>
        <v>1179.8174876712328</v>
      </c>
    </row>
    <row r="31" spans="1:8" x14ac:dyDescent="0.45">
      <c r="B31" t="s">
        <v>176</v>
      </c>
      <c r="C31">
        <f>C29-C30</f>
        <v>4325.8846051287674</v>
      </c>
    </row>
    <row r="33" spans="1:1" x14ac:dyDescent="0.45">
      <c r="A33" s="1" t="s">
        <v>69</v>
      </c>
    </row>
  </sheetData>
  <printOptions headings="1" gridLines="1"/>
  <pageMargins left="0.7" right="0.7" top="0.75" bottom="0.75" header="0.3" footer="0.3"/>
  <pageSetup paperSize="9" scale="62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66BA-2D31-4320-AAFD-78B206A078AC}">
  <sheetPr>
    <pageSetUpPr fitToPage="1"/>
  </sheetPr>
  <dimension ref="A1:L96"/>
  <sheetViews>
    <sheetView zoomScaleNormal="100" workbookViewId="0"/>
  </sheetViews>
  <sheetFormatPr defaultRowHeight="15.75" x14ac:dyDescent="0.45"/>
  <cols>
    <col min="1" max="1" width="2.1328125" style="1" customWidth="1"/>
    <col min="2" max="2" width="45.73046875" customWidth="1"/>
    <col min="3" max="10" width="11.1328125" customWidth="1"/>
  </cols>
  <sheetData>
    <row r="1" spans="1:12" s="46" customFormat="1" ht="45" customHeight="1" x14ac:dyDescent="0.8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65">
      <c r="A2" s="15" t="s">
        <v>134</v>
      </c>
      <c r="B2" s="8"/>
      <c r="C2" s="12"/>
      <c r="D2" s="12">
        <v>45657</v>
      </c>
      <c r="E2" s="12">
        <v>46022</v>
      </c>
      <c r="F2" s="12">
        <v>46387</v>
      </c>
      <c r="G2" s="12">
        <v>46752</v>
      </c>
      <c r="H2" s="12"/>
      <c r="I2" s="12"/>
      <c r="J2" s="12"/>
      <c r="L2" s="62"/>
    </row>
    <row r="3" spans="1:12" ht="15" customHeight="1" x14ac:dyDescent="0.45"/>
    <row r="4" spans="1:12" ht="15" customHeight="1" x14ac:dyDescent="0.45">
      <c r="B4" t="s">
        <v>4</v>
      </c>
      <c r="D4" t="s">
        <v>98</v>
      </c>
    </row>
    <row r="5" spans="1:12" ht="15" customHeight="1" x14ac:dyDescent="0.45"/>
    <row r="6" spans="1:12" x14ac:dyDescent="0.45">
      <c r="A6" s="16" t="s">
        <v>70</v>
      </c>
      <c r="E6" s="79"/>
      <c r="F6" s="79"/>
      <c r="G6" s="79"/>
    </row>
    <row r="8" spans="1:12" x14ac:dyDescent="0.45">
      <c r="B8" t="s">
        <v>38</v>
      </c>
      <c r="E8" s="64">
        <v>-5.0099999999999999E-2</v>
      </c>
      <c r="F8" s="64">
        <v>2.76E-2</v>
      </c>
      <c r="G8" s="64">
        <v>5.9299999999999999E-2</v>
      </c>
      <c r="I8" t="s">
        <v>147</v>
      </c>
    </row>
    <row r="9" spans="1:12" x14ac:dyDescent="0.45">
      <c r="B9" t="s">
        <v>26</v>
      </c>
      <c r="D9" s="73">
        <f>D26/D25</f>
        <v>0.23110895929525407</v>
      </c>
      <c r="E9" s="64">
        <v>0.20699999999999999</v>
      </c>
      <c r="F9" s="64">
        <v>0.21199999999999999</v>
      </c>
      <c r="G9" s="64">
        <v>0.22</v>
      </c>
      <c r="I9" t="s">
        <v>147</v>
      </c>
    </row>
    <row r="10" spans="1:12" x14ac:dyDescent="0.45">
      <c r="B10" t="s">
        <v>132</v>
      </c>
      <c r="E10" s="65">
        <v>0</v>
      </c>
      <c r="F10" s="65">
        <v>0</v>
      </c>
      <c r="G10" s="65">
        <v>0</v>
      </c>
    </row>
    <row r="11" spans="1:12" x14ac:dyDescent="0.45">
      <c r="B11" t="s">
        <v>39</v>
      </c>
      <c r="D11" s="73">
        <f>-D30/D29</f>
        <v>0.28468120342257797</v>
      </c>
      <c r="E11" s="64">
        <v>0.28499999999999998</v>
      </c>
      <c r="F11" s="64">
        <v>0.28499999999999998</v>
      </c>
      <c r="G11" s="64">
        <v>0.28499999999999998</v>
      </c>
    </row>
    <row r="12" spans="1:12" x14ac:dyDescent="0.45">
      <c r="B12" t="s">
        <v>40</v>
      </c>
      <c r="E12" s="64">
        <v>0.05</v>
      </c>
      <c r="F12" s="64">
        <v>0.05</v>
      </c>
      <c r="G12" s="64">
        <v>0.05</v>
      </c>
    </row>
    <row r="13" spans="1:12" x14ac:dyDescent="0.45">
      <c r="B13" t="s">
        <v>141</v>
      </c>
      <c r="D13" s="67">
        <f>D37/D25</f>
        <v>0.4468429318753469</v>
      </c>
      <c r="E13" s="64">
        <v>0.45</v>
      </c>
      <c r="F13" s="64">
        <v>0.45</v>
      </c>
      <c r="G13" s="64">
        <v>0.45</v>
      </c>
    </row>
    <row r="14" spans="1:12" x14ac:dyDescent="0.45">
      <c r="B14" t="s">
        <v>142</v>
      </c>
      <c r="D14" s="67">
        <f>D46/D25</f>
        <v>0.23467520045345583</v>
      </c>
      <c r="E14" s="64">
        <v>0.23</v>
      </c>
      <c r="F14" s="64">
        <v>0.23</v>
      </c>
      <c r="G14" s="64">
        <v>0.23</v>
      </c>
    </row>
    <row r="15" spans="1:12" x14ac:dyDescent="0.45">
      <c r="B15" t="s">
        <v>81</v>
      </c>
      <c r="D15" s="73">
        <f>D58/D25</f>
        <v>6.5314171675542904E-2</v>
      </c>
      <c r="E15" s="64">
        <v>6.5000000000000002E-2</v>
      </c>
      <c r="F15" s="64">
        <v>6.5000000000000002E-2</v>
      </c>
      <c r="G15" s="64">
        <v>6.5000000000000002E-2</v>
      </c>
    </row>
    <row r="16" spans="1:12" x14ac:dyDescent="0.45">
      <c r="B16" t="s">
        <v>41</v>
      </c>
      <c r="E16" s="64">
        <v>0.95</v>
      </c>
      <c r="F16" s="64">
        <v>0.95</v>
      </c>
      <c r="G16" s="64">
        <v>0.95</v>
      </c>
    </row>
    <row r="17" spans="1:7" x14ac:dyDescent="0.45">
      <c r="B17" t="s">
        <v>135</v>
      </c>
      <c r="E17" s="64">
        <v>0.1</v>
      </c>
      <c r="F17" s="64">
        <v>0.1</v>
      </c>
      <c r="G17" s="64">
        <v>0.1</v>
      </c>
    </row>
    <row r="18" spans="1:7" x14ac:dyDescent="0.45">
      <c r="B18" t="s">
        <v>145</v>
      </c>
      <c r="D18" s="73">
        <f>D42/D25</f>
        <v>6.6731221142378047E-2</v>
      </c>
      <c r="E18" s="64">
        <v>6.7000000000000004E-2</v>
      </c>
      <c r="F18" s="64">
        <v>6.7000000000000004E-2</v>
      </c>
      <c r="G18" s="64">
        <v>6.7000000000000004E-2</v>
      </c>
    </row>
    <row r="19" spans="1:7" x14ac:dyDescent="0.45">
      <c r="B19" t="s">
        <v>93</v>
      </c>
      <c r="D19" s="67">
        <f>D48/D25</f>
        <v>0.22738920444481184</v>
      </c>
      <c r="E19" s="64">
        <v>0.22700000000000001</v>
      </c>
      <c r="F19" s="64">
        <v>0.22700000000000001</v>
      </c>
      <c r="G19" s="64">
        <v>0.22700000000000001</v>
      </c>
    </row>
    <row r="20" spans="1:7" x14ac:dyDescent="0.45">
      <c r="B20" t="s">
        <v>103</v>
      </c>
      <c r="E20" s="65">
        <v>0</v>
      </c>
      <c r="F20" s="65">
        <v>0</v>
      </c>
      <c r="G20" s="65">
        <v>0</v>
      </c>
    </row>
    <row r="21" spans="1:7" x14ac:dyDescent="0.45">
      <c r="B21" t="s">
        <v>42</v>
      </c>
      <c r="E21" s="64">
        <v>0.55000000000000004</v>
      </c>
      <c r="F21" s="64">
        <v>0.55000000000000004</v>
      </c>
      <c r="G21" s="64">
        <v>0.55000000000000004</v>
      </c>
    </row>
    <row r="22" spans="1:7" x14ac:dyDescent="0.45">
      <c r="B22" t="s">
        <v>115</v>
      </c>
      <c r="D22">
        <f>D32</f>
        <v>499.41251499999998</v>
      </c>
      <c r="E22" s="65">
        <f>D22</f>
        <v>499.41251499999998</v>
      </c>
      <c r="F22" s="65">
        <f t="shared" ref="F22:G22" si="0">E22</f>
        <v>499.41251499999998</v>
      </c>
      <c r="G22" s="65">
        <f t="shared" si="0"/>
        <v>499.41251499999998</v>
      </c>
    </row>
    <row r="24" spans="1:7" x14ac:dyDescent="0.45">
      <c r="A24" s="16" t="s">
        <v>72</v>
      </c>
    </row>
    <row r="25" spans="1:7" x14ac:dyDescent="0.45">
      <c r="B25" t="s">
        <v>17</v>
      </c>
      <c r="D25" s="60">
        <v>84683</v>
      </c>
      <c r="E25" s="63">
        <f>(1+E8)*D25</f>
        <v>80440.381699999998</v>
      </c>
      <c r="F25" s="63">
        <f>(1+F8)*E25</f>
        <v>82660.53623492</v>
      </c>
      <c r="G25" s="63">
        <f>(1+G8)*F25</f>
        <v>87562.306033650748</v>
      </c>
    </row>
    <row r="26" spans="1:7" x14ac:dyDescent="0.45">
      <c r="B26" t="s">
        <v>19</v>
      </c>
      <c r="D26" s="60">
        <v>19571</v>
      </c>
      <c r="E26" s="63">
        <f>E9*E25</f>
        <v>16651.159011899999</v>
      </c>
      <c r="F26" s="63">
        <f>F9*F25</f>
        <v>17524.033681803041</v>
      </c>
      <c r="G26" s="63">
        <f>G9*G25</f>
        <v>19263.707327403165</v>
      </c>
    </row>
    <row r="27" spans="1:7" x14ac:dyDescent="0.45">
      <c r="B27" t="s">
        <v>132</v>
      </c>
      <c r="D27" s="60">
        <v>-664</v>
      </c>
      <c r="E27" s="63">
        <f>E10</f>
        <v>0</v>
      </c>
      <c r="F27" s="63">
        <f>F10</f>
        <v>0</v>
      </c>
      <c r="G27" s="63">
        <f>G10</f>
        <v>0</v>
      </c>
    </row>
    <row r="28" spans="1:7" x14ac:dyDescent="0.45">
      <c r="B28" t="s">
        <v>34</v>
      </c>
      <c r="D28" s="60">
        <v>-792</v>
      </c>
      <c r="E28" s="63">
        <f>-IF(switch=1,E73+E74,0)</f>
        <v>0</v>
      </c>
      <c r="F28" s="63">
        <f>-IF(switch=1,F73+F74,0)</f>
        <v>0</v>
      </c>
      <c r="G28" s="63">
        <f>-IF(switch=1,G73+G74,0)</f>
        <v>0</v>
      </c>
    </row>
    <row r="29" spans="1:7" x14ac:dyDescent="0.45">
      <c r="B29" t="s">
        <v>43</v>
      </c>
      <c r="D29" s="63">
        <f>SUM(D26:D28)</f>
        <v>18115</v>
      </c>
      <c r="E29" s="63">
        <f t="shared" ref="E29:G29" si="1">SUM(E26:E28)</f>
        <v>16651.159011899999</v>
      </c>
      <c r="F29" s="63">
        <f t="shared" si="1"/>
        <v>17524.033681803041</v>
      </c>
      <c r="G29" s="63">
        <f t="shared" si="1"/>
        <v>19263.707327403165</v>
      </c>
    </row>
    <row r="30" spans="1:7" x14ac:dyDescent="0.45">
      <c r="B30" t="s">
        <v>44</v>
      </c>
      <c r="D30" s="60">
        <v>-5157</v>
      </c>
      <c r="E30" s="63">
        <f>-E11*E29</f>
        <v>-4745.5803183914995</v>
      </c>
      <c r="F30" s="63">
        <f>-F11*F29</f>
        <v>-4994.3495993138658</v>
      </c>
      <c r="G30" s="63">
        <f>-G11*G29</f>
        <v>-5490.1565883099011</v>
      </c>
    </row>
    <row r="31" spans="1:7" x14ac:dyDescent="0.45">
      <c r="B31" t="s">
        <v>25</v>
      </c>
      <c r="D31" s="63">
        <f>D29+D30</f>
        <v>12958</v>
      </c>
      <c r="E31" s="63">
        <f>E29+E30</f>
        <v>11905.5786935085</v>
      </c>
      <c r="F31" s="63">
        <f>F29+F30</f>
        <v>12529.684082489175</v>
      </c>
      <c r="G31" s="63">
        <f>G29+G30</f>
        <v>13773.550739093263</v>
      </c>
    </row>
    <row r="32" spans="1:7" x14ac:dyDescent="0.45">
      <c r="B32" t="s">
        <v>115</v>
      </c>
      <c r="D32" s="60">
        <v>499.41251499999998</v>
      </c>
      <c r="E32">
        <f>E22</f>
        <v>499.41251499999998</v>
      </c>
      <c r="F32">
        <f>F22</f>
        <v>499.41251499999998</v>
      </c>
      <c r="G32">
        <f>G22</f>
        <v>499.41251499999998</v>
      </c>
    </row>
    <row r="33" spans="1:8" x14ac:dyDescent="0.45">
      <c r="B33" t="s">
        <v>116</v>
      </c>
      <c r="D33" s="74">
        <f>D31/D32</f>
        <v>25.946486343058503</v>
      </c>
      <c r="E33" s="74">
        <f>E31/E32</f>
        <v>23.839167693882281</v>
      </c>
      <c r="F33" s="74">
        <f>F31/F32</f>
        <v>25.088846807311537</v>
      </c>
      <c r="G33" s="74">
        <f>G31/G32</f>
        <v>27.579506571022282</v>
      </c>
    </row>
    <row r="35" spans="1:8" x14ac:dyDescent="0.45">
      <c r="A35" s="16" t="s">
        <v>73</v>
      </c>
    </row>
    <row r="36" spans="1:8" x14ac:dyDescent="0.45">
      <c r="A36" s="16"/>
      <c r="B36" t="s">
        <v>22</v>
      </c>
      <c r="D36" s="60">
        <v>9631</v>
      </c>
      <c r="E36" s="63">
        <f>MAX(E94,0)</f>
        <v>6039.6562695538223</v>
      </c>
      <c r="F36" s="63">
        <f>MAX(F94,0)</f>
        <v>13641.358091815262</v>
      </c>
      <c r="G36" s="63">
        <f>MAX(G94,0)</f>
        <v>21389.452241874013</v>
      </c>
    </row>
    <row r="37" spans="1:8" x14ac:dyDescent="0.45">
      <c r="A37" s="16"/>
      <c r="B37" t="s">
        <v>139</v>
      </c>
      <c r="D37" s="60">
        <f>47471-D36</f>
        <v>37840</v>
      </c>
      <c r="E37" s="63">
        <f>E13*E25</f>
        <v>36198.171764999999</v>
      </c>
      <c r="F37" s="63">
        <f>F13*F25</f>
        <v>37197.241305714</v>
      </c>
      <c r="G37" s="63">
        <f>G13*G25</f>
        <v>39403.03771514284</v>
      </c>
    </row>
    <row r="38" spans="1:8" x14ac:dyDescent="0.45">
      <c r="A38" s="16"/>
      <c r="B38" t="s">
        <v>47</v>
      </c>
      <c r="D38" s="60">
        <f>29886+16620</f>
        <v>46506</v>
      </c>
      <c r="E38" s="63">
        <f>E60</f>
        <v>46767.431240524995</v>
      </c>
      <c r="F38" s="63">
        <f>F60</f>
        <v>47036.077983288487</v>
      </c>
      <c r="G38" s="63">
        <f>G60</f>
        <v>47320.655477897853</v>
      </c>
    </row>
    <row r="39" spans="1:8" x14ac:dyDescent="0.45">
      <c r="A39" s="16"/>
      <c r="B39" t="s">
        <v>33</v>
      </c>
      <c r="D39" s="60">
        <v>20307</v>
      </c>
      <c r="E39" s="63">
        <f>D39</f>
        <v>20307</v>
      </c>
      <c r="F39" s="63">
        <f>E39</f>
        <v>20307</v>
      </c>
      <c r="G39" s="63">
        <f>F39</f>
        <v>20307</v>
      </c>
      <c r="H39" s="73"/>
    </row>
    <row r="40" spans="1:8" x14ac:dyDescent="0.45">
      <c r="A40" s="16"/>
      <c r="B40" t="s">
        <v>133</v>
      </c>
      <c r="D40" s="60">
        <f>26280</f>
        <v>26280</v>
      </c>
      <c r="E40" s="63">
        <f>E65</f>
        <v>23652</v>
      </c>
      <c r="F40" s="63">
        <f t="shared" ref="F40:G40" si="2">F65</f>
        <v>21286.799999999999</v>
      </c>
      <c r="G40" s="63">
        <f t="shared" si="2"/>
        <v>19158.12</v>
      </c>
    </row>
    <row r="41" spans="1:8" x14ac:dyDescent="0.45">
      <c r="A41" s="16"/>
      <c r="B41" t="s">
        <v>46</v>
      </c>
      <c r="D41" s="60">
        <f>1343+1632</f>
        <v>2975</v>
      </c>
      <c r="E41" s="63">
        <f>D41</f>
        <v>2975</v>
      </c>
      <c r="F41" s="63">
        <f>E41</f>
        <v>2975</v>
      </c>
      <c r="G41" s="63">
        <f>F41</f>
        <v>2975</v>
      </c>
    </row>
    <row r="42" spans="1:8" x14ac:dyDescent="0.45">
      <c r="A42" s="16"/>
      <c r="B42" t="s">
        <v>144</v>
      </c>
      <c r="D42" s="60">
        <f>1106+4545</f>
        <v>5651</v>
      </c>
      <c r="E42" s="63">
        <f>E18*E25</f>
        <v>5389.5055738999999</v>
      </c>
      <c r="F42" s="63">
        <f t="shared" ref="F42:G42" si="3">F18*F25</f>
        <v>5538.2559277396404</v>
      </c>
      <c r="G42" s="63">
        <f t="shared" si="3"/>
        <v>5866.6745042546008</v>
      </c>
    </row>
    <row r="43" spans="1:8" x14ac:dyDescent="0.45">
      <c r="A43" s="16"/>
      <c r="B43" t="s">
        <v>24</v>
      </c>
      <c r="D43" s="63">
        <f>SUM(D36:D42)</f>
        <v>149190</v>
      </c>
      <c r="E43" s="63">
        <f t="shared" ref="E43:G43" si="4">SUM(E36:E42)</f>
        <v>141328.76484897884</v>
      </c>
      <c r="F43" s="63">
        <f t="shared" si="4"/>
        <v>147981.73330855739</v>
      </c>
      <c r="G43" s="63">
        <f t="shared" si="4"/>
        <v>156419.9399391693</v>
      </c>
    </row>
    <row r="44" spans="1:8" x14ac:dyDescent="0.45">
      <c r="A44" s="16"/>
    </row>
    <row r="45" spans="1:8" x14ac:dyDescent="0.45">
      <c r="A45" s="16"/>
      <c r="B45" t="s">
        <v>83</v>
      </c>
      <c r="D45" s="60">
        <v>10851</v>
      </c>
      <c r="E45" s="63">
        <f>-MIN(E94,0)</f>
        <v>0</v>
      </c>
      <c r="F45" s="63">
        <f>-MIN(F94,0)</f>
        <v>0</v>
      </c>
      <c r="G45" s="63">
        <f>-MIN(G94,0)</f>
        <v>0</v>
      </c>
    </row>
    <row r="46" spans="1:8" x14ac:dyDescent="0.45">
      <c r="A46" s="16"/>
      <c r="B46" t="s">
        <v>140</v>
      </c>
      <c r="D46" s="60">
        <f>33696-D45-2972</f>
        <v>19873</v>
      </c>
      <c r="E46" s="63">
        <f>E14*E25</f>
        <v>18501.287790999999</v>
      </c>
      <c r="F46" s="63">
        <f>F14*F25</f>
        <v>19011.923334031602</v>
      </c>
      <c r="G46" s="63">
        <f>G14*G25</f>
        <v>20139.330387739672</v>
      </c>
    </row>
    <row r="47" spans="1:8" x14ac:dyDescent="0.45">
      <c r="A47" s="16"/>
      <c r="B47" t="s">
        <v>84</v>
      </c>
      <c r="D47" s="60">
        <f>12091+14860+2972</f>
        <v>29923</v>
      </c>
      <c r="E47" s="63">
        <f>D47+E20</f>
        <v>29923</v>
      </c>
      <c r="F47" s="63">
        <f>E47+F20</f>
        <v>29923</v>
      </c>
      <c r="G47" s="63">
        <f>F47+G20</f>
        <v>29923</v>
      </c>
    </row>
    <row r="48" spans="1:8" x14ac:dyDescent="0.45">
      <c r="A48" s="16"/>
      <c r="B48" t="s">
        <v>151</v>
      </c>
      <c r="D48" s="60">
        <f>46207-12091-14860</f>
        <v>19256</v>
      </c>
      <c r="E48" s="63">
        <f>E19*E25</f>
        <v>18259.9666459</v>
      </c>
      <c r="F48" s="63">
        <f>F19*F25</f>
        <v>18763.94172532684</v>
      </c>
      <c r="G48" s="63">
        <f>G19*G25</f>
        <v>19876.643469638719</v>
      </c>
    </row>
    <row r="49" spans="1:7" x14ac:dyDescent="0.45">
      <c r="A49" s="16"/>
      <c r="B49" t="s">
        <v>27</v>
      </c>
      <c r="D49" s="63">
        <f>SUM(D45:D48)</f>
        <v>79903</v>
      </c>
      <c r="E49" s="63">
        <f>SUM(E45:E48)</f>
        <v>66684.254436899995</v>
      </c>
      <c r="F49" s="63">
        <f>SUM(F45:F48)</f>
        <v>67698.865059358446</v>
      </c>
      <c r="G49" s="63">
        <f>SUM(G45:G48)</f>
        <v>69938.973857378383</v>
      </c>
    </row>
    <row r="50" spans="1:7" x14ac:dyDescent="0.45">
      <c r="A50" s="16"/>
      <c r="B50" t="s">
        <v>18</v>
      </c>
      <c r="D50" s="60">
        <v>69287</v>
      </c>
      <c r="E50" s="63">
        <f>E71</f>
        <v>74644.510412078831</v>
      </c>
      <c r="F50" s="63">
        <f>F71</f>
        <v>80282.86824919896</v>
      </c>
      <c r="G50" s="63">
        <f>G71</f>
        <v>86480.966081790932</v>
      </c>
    </row>
    <row r="51" spans="1:7" x14ac:dyDescent="0.45">
      <c r="A51" s="16"/>
      <c r="B51" t="s">
        <v>95</v>
      </c>
      <c r="D51" s="63">
        <f>SUM(D49:D50)</f>
        <v>149190</v>
      </c>
      <c r="E51" s="63">
        <f>SUM(E49:E50)</f>
        <v>141328.76484897884</v>
      </c>
      <c r="F51" s="63">
        <f>SUM(F49:F50)</f>
        <v>147981.73330855742</v>
      </c>
      <c r="G51" s="63">
        <f>SUM(G49:G50)</f>
        <v>156419.93993916933</v>
      </c>
    </row>
    <row r="52" spans="1:7" x14ac:dyDescent="0.45">
      <c r="A52" s="16"/>
    </row>
    <row r="53" spans="1:7" x14ac:dyDescent="0.45">
      <c r="A53" s="16"/>
      <c r="B53" t="s">
        <v>20</v>
      </c>
      <c r="D53" s="63">
        <f>D43-D51</f>
        <v>0</v>
      </c>
      <c r="E53" s="63">
        <f>E43-E51</f>
        <v>0</v>
      </c>
      <c r="F53" s="63">
        <f>F43-F51</f>
        <v>0</v>
      </c>
      <c r="G53" s="63">
        <f>G43-G51</f>
        <v>0</v>
      </c>
    </row>
    <row r="54" spans="1:7" x14ac:dyDescent="0.45">
      <c r="A54" s="16"/>
    </row>
    <row r="55" spans="1:7" x14ac:dyDescent="0.45">
      <c r="A55" s="16" t="s">
        <v>74</v>
      </c>
    </row>
    <row r="56" spans="1:7" x14ac:dyDescent="0.45">
      <c r="A56" s="16"/>
      <c r="B56" t="s">
        <v>47</v>
      </c>
    </row>
    <row r="57" spans="1:7" x14ac:dyDescent="0.45">
      <c r="A57" s="16"/>
      <c r="B57" t="s">
        <v>86</v>
      </c>
      <c r="E57" s="63">
        <f>D60</f>
        <v>46506</v>
      </c>
      <c r="F57" s="63">
        <f>E60</f>
        <v>46767.431240524995</v>
      </c>
      <c r="G57" s="63">
        <f>F60</f>
        <v>47036.077983288487</v>
      </c>
    </row>
    <row r="58" spans="1:7" x14ac:dyDescent="0.45">
      <c r="A58" s="16"/>
      <c r="B58" t="s">
        <v>87</v>
      </c>
      <c r="D58" s="60">
        <v>5531</v>
      </c>
      <c r="E58" s="63">
        <f>E15*E25</f>
        <v>5228.6248105000004</v>
      </c>
      <c r="F58" s="63">
        <f>F15*F25</f>
        <v>5372.9348552698002</v>
      </c>
      <c r="G58" s="63">
        <f>G15*G25</f>
        <v>5691.5498921872986</v>
      </c>
    </row>
    <row r="59" spans="1:7" x14ac:dyDescent="0.45">
      <c r="A59" s="16"/>
      <c r="B59" t="s">
        <v>88</v>
      </c>
      <c r="E59" s="63">
        <f>-E16*E58</f>
        <v>-4967.1935699750002</v>
      </c>
      <c r="F59" s="63">
        <f>-F16*F58</f>
        <v>-5104.2881125063095</v>
      </c>
      <c r="G59" s="63">
        <f>-G16*G58</f>
        <v>-5406.9723975779334</v>
      </c>
    </row>
    <row r="60" spans="1:7" x14ac:dyDescent="0.45">
      <c r="A60" s="16"/>
      <c r="B60" t="s">
        <v>48</v>
      </c>
      <c r="D60" s="63">
        <f>D38</f>
        <v>46506</v>
      </c>
      <c r="E60" s="63">
        <f>SUM(E57:E59)</f>
        <v>46767.431240524995</v>
      </c>
      <c r="F60" s="63">
        <f>SUM(F57:F59)</f>
        <v>47036.077983288487</v>
      </c>
      <c r="G60" s="63">
        <f>SUM(G57:G59)</f>
        <v>47320.655477897853</v>
      </c>
    </row>
    <row r="61" spans="1:7" x14ac:dyDescent="0.45">
      <c r="A61" s="16"/>
      <c r="D61" s="63"/>
      <c r="E61" s="63"/>
      <c r="F61" s="63"/>
      <c r="G61" s="63"/>
    </row>
    <row r="62" spans="1:7" x14ac:dyDescent="0.45">
      <c r="A62" s="16"/>
      <c r="B62" t="s">
        <v>136</v>
      </c>
      <c r="D62" s="63"/>
      <c r="E62" s="63"/>
      <c r="F62" s="63"/>
      <c r="G62" s="63"/>
    </row>
    <row r="63" spans="1:7" x14ac:dyDescent="0.45">
      <c r="A63" s="16"/>
      <c r="B63" t="s">
        <v>137</v>
      </c>
      <c r="D63" s="63"/>
      <c r="E63" s="63">
        <f>D65</f>
        <v>26280</v>
      </c>
      <c r="F63" s="63">
        <f t="shared" ref="F63:G63" si="5">E65</f>
        <v>23652</v>
      </c>
      <c r="G63" s="63">
        <f t="shared" si="5"/>
        <v>21286.799999999999</v>
      </c>
    </row>
    <row r="64" spans="1:7" x14ac:dyDescent="0.45">
      <c r="A64" s="16"/>
      <c r="B64" t="s">
        <v>138</v>
      </c>
      <c r="D64" s="63"/>
      <c r="E64" s="63">
        <f>E17*E63*-1</f>
        <v>-2628</v>
      </c>
      <c r="F64" s="63">
        <f t="shared" ref="F64:G64" si="6">F17*F63*-1</f>
        <v>-2365.2000000000003</v>
      </c>
      <c r="G64" s="63">
        <f t="shared" si="6"/>
        <v>-2128.6799999999998</v>
      </c>
    </row>
    <row r="65" spans="1:7" x14ac:dyDescent="0.45">
      <c r="A65" s="16"/>
      <c r="B65" t="s">
        <v>48</v>
      </c>
      <c r="D65" s="63">
        <f>D40</f>
        <v>26280</v>
      </c>
      <c r="E65" s="63">
        <f>SUM(E63:E64)</f>
        <v>23652</v>
      </c>
      <c r="F65" s="63">
        <f t="shared" ref="F65:G65" si="7">SUM(F63:F64)</f>
        <v>21286.799999999999</v>
      </c>
      <c r="G65" s="63">
        <f t="shared" si="7"/>
        <v>19158.12</v>
      </c>
    </row>
    <row r="66" spans="1:7" x14ac:dyDescent="0.45">
      <c r="A66" s="16"/>
    </row>
    <row r="67" spans="1:7" x14ac:dyDescent="0.45">
      <c r="A67" s="16"/>
      <c r="B67" t="s">
        <v>18</v>
      </c>
    </row>
    <row r="68" spans="1:7" x14ac:dyDescent="0.45">
      <c r="A68" s="16"/>
      <c r="B68" t="s">
        <v>86</v>
      </c>
      <c r="E68" s="63">
        <f>D71</f>
        <v>69287</v>
      </c>
      <c r="F68" s="63">
        <f>E71</f>
        <v>74644.510412078831</v>
      </c>
      <c r="G68" s="63">
        <f>F71</f>
        <v>80282.86824919896</v>
      </c>
    </row>
    <row r="69" spans="1:7" x14ac:dyDescent="0.45">
      <c r="A69" s="16"/>
      <c r="B69" t="s">
        <v>89</v>
      </c>
      <c r="E69" s="63">
        <f>E31</f>
        <v>11905.5786935085</v>
      </c>
      <c r="F69" s="63">
        <f>F31</f>
        <v>12529.684082489175</v>
      </c>
      <c r="G69" s="63">
        <f>G31</f>
        <v>13773.550739093263</v>
      </c>
    </row>
    <row r="70" spans="1:7" x14ac:dyDescent="0.45">
      <c r="A70" s="16"/>
      <c r="B70" t="s">
        <v>90</v>
      </c>
      <c r="E70" s="63">
        <f>-E21*E69</f>
        <v>-6548.0682814296752</v>
      </c>
      <c r="F70" s="63">
        <f>-F21*F69</f>
        <v>-6891.3262453690468</v>
      </c>
      <c r="G70" s="63">
        <f>-G21*G69</f>
        <v>-7575.4529065012957</v>
      </c>
    </row>
    <row r="71" spans="1:7" x14ac:dyDescent="0.45">
      <c r="A71" s="16"/>
      <c r="B71" t="s">
        <v>48</v>
      </c>
      <c r="D71" s="63">
        <f>D50</f>
        <v>69287</v>
      </c>
      <c r="E71" s="63">
        <f>SUM(E68:E70)</f>
        <v>74644.510412078831</v>
      </c>
      <c r="F71" s="63">
        <f>SUM(F68:F70)</f>
        <v>80282.86824919896</v>
      </c>
      <c r="G71" s="63">
        <f>SUM(G68:G70)</f>
        <v>86480.966081790932</v>
      </c>
    </row>
    <row r="72" spans="1:7" x14ac:dyDescent="0.45">
      <c r="A72" s="16"/>
    </row>
    <row r="73" spans="1:7" x14ac:dyDescent="0.45">
      <c r="A73" s="16"/>
      <c r="B73" t="s">
        <v>91</v>
      </c>
      <c r="E73" s="63">
        <f>E12*AVERAGE(D45:E45)</f>
        <v>271.27500000000003</v>
      </c>
      <c r="F73" s="63">
        <f>F12*AVERAGE(E45:F45)</f>
        <v>0</v>
      </c>
      <c r="G73" s="63">
        <f>G12*AVERAGE(F45:G45)</f>
        <v>0</v>
      </c>
    </row>
    <row r="74" spans="1:7" x14ac:dyDescent="0.45">
      <c r="A74" s="16"/>
      <c r="B74" t="s">
        <v>92</v>
      </c>
      <c r="E74" s="63">
        <f>E12*AVERAGE(D47:E47)</f>
        <v>1496.15</v>
      </c>
      <c r="F74" s="63">
        <f>F12*AVERAGE(E47:F47)</f>
        <v>1496.15</v>
      </c>
      <c r="G74" s="63">
        <f>G12*AVERAGE(F47:G47)</f>
        <v>1496.15</v>
      </c>
    </row>
    <row r="75" spans="1:7" x14ac:dyDescent="0.45">
      <c r="A75" s="16"/>
    </row>
    <row r="76" spans="1:7" x14ac:dyDescent="0.45">
      <c r="A76" s="16" t="s">
        <v>75</v>
      </c>
    </row>
    <row r="77" spans="1:7" x14ac:dyDescent="0.45">
      <c r="A77" s="16"/>
      <c r="B77" t="s">
        <v>25</v>
      </c>
      <c r="E77" s="63">
        <f>E31</f>
        <v>11905.5786935085</v>
      </c>
      <c r="F77" s="63">
        <f>F31</f>
        <v>12529.684082489175</v>
      </c>
      <c r="G77" s="63">
        <f>G31</f>
        <v>13773.550739093263</v>
      </c>
    </row>
    <row r="78" spans="1:7" x14ac:dyDescent="0.45">
      <c r="A78" s="16"/>
      <c r="B78" t="s">
        <v>101</v>
      </c>
      <c r="E78" s="63">
        <f>E59*-1</f>
        <v>4967.1935699750002</v>
      </c>
      <c r="F78" s="63">
        <f>F59*-1</f>
        <v>5104.2881125063095</v>
      </c>
      <c r="G78" s="63">
        <f>G59*-1</f>
        <v>5406.9723975779334</v>
      </c>
    </row>
    <row r="79" spans="1:7" x14ac:dyDescent="0.45">
      <c r="A79" s="16"/>
      <c r="B79" t="s">
        <v>32</v>
      </c>
      <c r="E79" s="63">
        <f>E64*-1</f>
        <v>2628</v>
      </c>
      <c r="F79" s="63">
        <f t="shared" ref="F79:G79" si="8">F64*-1</f>
        <v>2365.2000000000003</v>
      </c>
      <c r="G79" s="63">
        <f t="shared" si="8"/>
        <v>2128.6799999999998</v>
      </c>
    </row>
    <row r="80" spans="1:7" x14ac:dyDescent="0.45">
      <c r="A80" s="16"/>
      <c r="B80" t="s">
        <v>49</v>
      </c>
      <c r="E80" s="63">
        <f>D37-E37</f>
        <v>1641.8282350000009</v>
      </c>
      <c r="F80" s="63">
        <f>E37-F37</f>
        <v>-999.06954071400105</v>
      </c>
      <c r="G80" s="63">
        <f>F37-G37</f>
        <v>-2205.79640942884</v>
      </c>
    </row>
    <row r="81" spans="1:7" x14ac:dyDescent="0.45">
      <c r="A81" s="16"/>
      <c r="B81" t="s">
        <v>146</v>
      </c>
      <c r="E81" s="63">
        <f>D42-E42</f>
        <v>261.49442610000006</v>
      </c>
      <c r="F81" s="63">
        <f t="shared" ref="F81:G81" si="9">E42-F42</f>
        <v>-148.75035383964041</v>
      </c>
      <c r="G81" s="63">
        <f t="shared" si="9"/>
        <v>-328.41857651496048</v>
      </c>
    </row>
    <row r="82" spans="1:7" x14ac:dyDescent="0.45">
      <c r="A82" s="16"/>
      <c r="B82" t="s">
        <v>50</v>
      </c>
      <c r="E82" s="63">
        <f>E46-D46</f>
        <v>-1371.7122090000012</v>
      </c>
      <c r="F82" s="63">
        <f>F46-E46</f>
        <v>510.63554303160345</v>
      </c>
      <c r="G82" s="63">
        <f>G46-F46</f>
        <v>1127.4070537080697</v>
      </c>
    </row>
    <row r="83" spans="1:7" x14ac:dyDescent="0.45">
      <c r="A83" s="16"/>
      <c r="B83" t="s">
        <v>152</v>
      </c>
      <c r="E83" s="63">
        <f>E48-D48</f>
        <v>-996.0333541</v>
      </c>
      <c r="F83" s="63">
        <f>F48-E48</f>
        <v>503.97507942684024</v>
      </c>
      <c r="G83" s="63">
        <f>G48-F48</f>
        <v>1112.7017443118784</v>
      </c>
    </row>
    <row r="84" spans="1:7" x14ac:dyDescent="0.45">
      <c r="A84" s="16"/>
      <c r="B84" t="s">
        <v>23</v>
      </c>
      <c r="E84" s="63">
        <f>SUM(E77:E83)</f>
        <v>19036.349361483499</v>
      </c>
      <c r="F84" s="63">
        <f>SUM(F77:F83)</f>
        <v>19865.962922900286</v>
      </c>
      <c r="G84" s="63">
        <f>SUM(G77:G83)</f>
        <v>21015.096948747345</v>
      </c>
    </row>
    <row r="85" spans="1:7" x14ac:dyDescent="0.45">
      <c r="A85" s="16"/>
    </row>
    <row r="86" spans="1:7" x14ac:dyDescent="0.45">
      <c r="A86" s="16"/>
      <c r="B86" t="s">
        <v>21</v>
      </c>
      <c r="E86" s="63">
        <f>-E58</f>
        <v>-5228.6248105000004</v>
      </c>
      <c r="F86" s="63">
        <f>-F58</f>
        <v>-5372.9348552698002</v>
      </c>
      <c r="G86" s="63">
        <f>-G58</f>
        <v>-5691.5498921872986</v>
      </c>
    </row>
    <row r="87" spans="1:7" x14ac:dyDescent="0.45">
      <c r="A87" s="16"/>
      <c r="B87" t="s">
        <v>28</v>
      </c>
      <c r="E87" s="63">
        <f>SUM(E86)</f>
        <v>-5228.6248105000004</v>
      </c>
      <c r="F87" s="63">
        <f>SUM(F86)</f>
        <v>-5372.9348552698002</v>
      </c>
      <c r="G87" s="63">
        <f>SUM(G86)</f>
        <v>-5691.5498921872986</v>
      </c>
    </row>
    <row r="88" spans="1:7" x14ac:dyDescent="0.45">
      <c r="A88" s="16"/>
    </row>
    <row r="89" spans="1:7" x14ac:dyDescent="0.45">
      <c r="A89" s="16"/>
      <c r="B89" t="s">
        <v>29</v>
      </c>
      <c r="E89" s="63">
        <f>E70</f>
        <v>-6548.0682814296752</v>
      </c>
      <c r="F89" s="63">
        <f>F70</f>
        <v>-6891.3262453690468</v>
      </c>
      <c r="G89" s="63">
        <f>G70</f>
        <v>-7575.4529065012957</v>
      </c>
    </row>
    <row r="90" spans="1:7" x14ac:dyDescent="0.45">
      <c r="A90" s="16"/>
      <c r="B90" t="s">
        <v>82</v>
      </c>
      <c r="E90" s="63">
        <f>E47-D47</f>
        <v>0</v>
      </c>
      <c r="F90" s="63">
        <f>F47-E47</f>
        <v>0</v>
      </c>
      <c r="G90" s="63">
        <f>G47-F47</f>
        <v>0</v>
      </c>
    </row>
    <row r="91" spans="1:7" x14ac:dyDescent="0.45">
      <c r="A91" s="16"/>
      <c r="B91" t="s">
        <v>30</v>
      </c>
      <c r="E91" s="63">
        <f>SUM(E89:E90)</f>
        <v>-6548.0682814296752</v>
      </c>
      <c r="F91" s="63">
        <f>SUM(F89:F90)</f>
        <v>-6891.3262453690468</v>
      </c>
      <c r="G91" s="63">
        <f>SUM(G89:G90)</f>
        <v>-7575.4529065012957</v>
      </c>
    </row>
    <row r="92" spans="1:7" x14ac:dyDescent="0.45">
      <c r="A92" s="16"/>
    </row>
    <row r="93" spans="1:7" x14ac:dyDescent="0.45">
      <c r="A93" s="16"/>
      <c r="B93" t="s">
        <v>31</v>
      </c>
      <c r="E93" s="63">
        <f>SUM(E84,E87,E91)</f>
        <v>7259.6562695538223</v>
      </c>
      <c r="F93" s="63">
        <f>SUM(F84,F87,F91)</f>
        <v>7601.7018222614397</v>
      </c>
      <c r="G93" s="63">
        <f>SUM(G84,G87,G91)</f>
        <v>7748.0941500587505</v>
      </c>
    </row>
    <row r="94" spans="1:7" x14ac:dyDescent="0.45">
      <c r="A94" s="16"/>
      <c r="B94" t="s">
        <v>94</v>
      </c>
      <c r="D94" s="63">
        <f>D36-D45</f>
        <v>-1220</v>
      </c>
      <c r="E94" s="63">
        <f>D94+E93</f>
        <v>6039.6562695538223</v>
      </c>
      <c r="F94" s="63">
        <f>E94+F93</f>
        <v>13641.358091815262</v>
      </c>
      <c r="G94" s="63">
        <f>F94+G93</f>
        <v>21389.452241874013</v>
      </c>
    </row>
    <row r="96" spans="1:7" x14ac:dyDescent="0.45">
      <c r="A96" s="1" t="s">
        <v>69</v>
      </c>
    </row>
  </sheetData>
  <printOptions headings="1" gridLines="1"/>
  <pageMargins left="0.7" right="0.7" top="0.75" bottom="0.75" header="0.3" footer="0.3"/>
  <pageSetup paperSize="9" scale="80" fitToHeight="0" orientation="portrait" horizontalDpi="300" verticalDpi="300" r:id="rId1"/>
  <rowBreaks count="1" manualBreakCount="1">
    <brk id="5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102A-D229-4EE5-95BC-91E18BCF188B}">
  <sheetPr>
    <pageSetUpPr fitToPage="1"/>
  </sheetPr>
  <dimension ref="A1:P96"/>
  <sheetViews>
    <sheetView zoomScaleNormal="100" workbookViewId="0"/>
  </sheetViews>
  <sheetFormatPr defaultRowHeight="15.75" x14ac:dyDescent="0.45"/>
  <cols>
    <col min="1" max="1" width="2.1328125" style="1" customWidth="1"/>
    <col min="2" max="2" width="45.73046875" customWidth="1"/>
    <col min="3" max="10" width="11.1328125" customWidth="1"/>
  </cols>
  <sheetData>
    <row r="1" spans="1:16" s="46" customFormat="1" ht="45" customHeight="1" x14ac:dyDescent="0.8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6" s="35" customFormat="1" ht="30" customHeight="1" x14ac:dyDescent="0.65">
      <c r="A2" s="15" t="s">
        <v>148</v>
      </c>
      <c r="B2" s="8"/>
      <c r="C2" s="12">
        <v>45382</v>
      </c>
      <c r="D2" s="12">
        <v>45747</v>
      </c>
      <c r="E2" s="12">
        <v>46112</v>
      </c>
      <c r="F2" s="12">
        <v>46477</v>
      </c>
      <c r="G2" s="12">
        <v>46843</v>
      </c>
      <c r="H2" s="12"/>
      <c r="I2" s="12"/>
      <c r="J2" s="12"/>
      <c r="L2" s="62"/>
    </row>
    <row r="3" spans="1:16" ht="15" customHeight="1" x14ac:dyDescent="0.45"/>
    <row r="4" spans="1:16" ht="15" customHeight="1" x14ac:dyDescent="0.45">
      <c r="B4" t="s">
        <v>4</v>
      </c>
      <c r="D4" t="s">
        <v>149</v>
      </c>
    </row>
    <row r="5" spans="1:16" ht="15" customHeight="1" x14ac:dyDescent="0.45"/>
    <row r="6" spans="1:16" x14ac:dyDescent="0.45">
      <c r="A6" s="16" t="s">
        <v>70</v>
      </c>
      <c r="C6" s="84"/>
      <c r="E6" s="79"/>
      <c r="F6" s="79"/>
      <c r="G6" s="79"/>
    </row>
    <row r="8" spans="1:16" x14ac:dyDescent="0.45">
      <c r="B8" t="s">
        <v>38</v>
      </c>
      <c r="E8" s="64">
        <v>-1.7000000000000001E-2</v>
      </c>
      <c r="F8" s="64">
        <v>5.4399999999999997E-2</v>
      </c>
      <c r="G8" s="64">
        <v>5.7299999999999997E-2</v>
      </c>
      <c r="I8" t="s">
        <v>156</v>
      </c>
    </row>
    <row r="9" spans="1:16" x14ac:dyDescent="0.45">
      <c r="B9" t="s">
        <v>26</v>
      </c>
      <c r="D9" s="67">
        <f>D26/D25</f>
        <v>1.0564811052417716E-2</v>
      </c>
      <c r="E9" s="64">
        <v>5.8999999999999997E-2</v>
      </c>
      <c r="F9" s="64">
        <v>9.6000000000000002E-2</v>
      </c>
      <c r="G9" s="64">
        <v>0.12</v>
      </c>
      <c r="I9" t="s">
        <v>156</v>
      </c>
    </row>
    <row r="10" spans="1:16" x14ac:dyDescent="0.45">
      <c r="B10" t="s">
        <v>132</v>
      </c>
      <c r="D10" s="67"/>
      <c r="E10" s="65">
        <v>0</v>
      </c>
      <c r="F10" s="65">
        <v>0</v>
      </c>
      <c r="G10" s="65">
        <v>0</v>
      </c>
    </row>
    <row r="11" spans="1:16" x14ac:dyDescent="0.45">
      <c r="B11" t="s">
        <v>39</v>
      </c>
      <c r="D11" s="73">
        <f>D30/D29*-1</f>
        <v>-0.13636363636363635</v>
      </c>
      <c r="E11" s="64">
        <v>0.25</v>
      </c>
      <c r="F11" s="64">
        <v>0.25</v>
      </c>
      <c r="G11" s="64">
        <v>0.25</v>
      </c>
    </row>
    <row r="12" spans="1:16" x14ac:dyDescent="0.45">
      <c r="B12" t="s">
        <v>40</v>
      </c>
      <c r="E12" s="64">
        <v>0.04</v>
      </c>
      <c r="F12" s="64">
        <v>0.04</v>
      </c>
      <c r="G12" s="64">
        <v>0.04</v>
      </c>
    </row>
    <row r="13" spans="1:16" x14ac:dyDescent="0.45">
      <c r="B13" t="s">
        <v>141</v>
      </c>
      <c r="D13" s="67">
        <f>D37/D25</f>
        <v>0.34091832588378707</v>
      </c>
      <c r="E13" s="64">
        <v>0.34</v>
      </c>
      <c r="F13" s="64">
        <v>0.34</v>
      </c>
      <c r="G13" s="64">
        <v>0.34</v>
      </c>
    </row>
    <row r="14" spans="1:16" x14ac:dyDescent="0.45">
      <c r="B14" t="s">
        <v>142</v>
      </c>
      <c r="D14" s="67">
        <f>D46/D25</f>
        <v>0.19951239333604226</v>
      </c>
      <c r="E14" s="64">
        <v>0.2</v>
      </c>
      <c r="F14" s="64">
        <v>0.2</v>
      </c>
      <c r="G14" s="64">
        <v>0.2</v>
      </c>
    </row>
    <row r="15" spans="1:16" x14ac:dyDescent="0.45">
      <c r="B15" t="s">
        <v>81</v>
      </c>
      <c r="D15" s="73">
        <f>D58/D25</f>
        <v>4.9573344169036977E-2</v>
      </c>
      <c r="E15" s="64">
        <v>0.05</v>
      </c>
      <c r="F15" s="64">
        <v>0.05</v>
      </c>
      <c r="G15" s="64">
        <v>0.05</v>
      </c>
      <c r="N15" s="73"/>
      <c r="O15" s="73"/>
      <c r="P15" s="73"/>
    </row>
    <row r="16" spans="1:16" x14ac:dyDescent="0.45">
      <c r="B16" t="s">
        <v>41</v>
      </c>
      <c r="E16" s="64">
        <v>0.9</v>
      </c>
      <c r="F16" s="64">
        <v>0.9</v>
      </c>
      <c r="G16" s="64">
        <v>0.9</v>
      </c>
    </row>
    <row r="17" spans="1:16" x14ac:dyDescent="0.45">
      <c r="B17" t="s">
        <v>155</v>
      </c>
      <c r="E17" s="64">
        <v>0.1</v>
      </c>
      <c r="F17" s="64">
        <v>0.1</v>
      </c>
      <c r="G17" s="64">
        <v>0.1</v>
      </c>
    </row>
    <row r="18" spans="1:16" x14ac:dyDescent="0.45">
      <c r="B18" t="s">
        <v>143</v>
      </c>
      <c r="D18" s="73">
        <f>D42/D25</f>
        <v>0.11418122714343763</v>
      </c>
      <c r="E18" s="64">
        <v>0.114</v>
      </c>
      <c r="F18" s="64">
        <v>0.114</v>
      </c>
      <c r="G18" s="64">
        <v>0.114</v>
      </c>
    </row>
    <row r="19" spans="1:16" x14ac:dyDescent="0.45">
      <c r="B19" t="s">
        <v>93</v>
      </c>
      <c r="D19" s="67">
        <f>D48/D25</f>
        <v>3.6976838683462007E-2</v>
      </c>
      <c r="E19" s="64">
        <v>3.6999999999999998E-2</v>
      </c>
      <c r="F19" s="64">
        <v>3.6999999999999998E-2</v>
      </c>
      <c r="G19" s="64">
        <v>3.6999999999999998E-2</v>
      </c>
      <c r="N19" s="73"/>
      <c r="O19" s="73"/>
      <c r="P19" s="73"/>
    </row>
    <row r="20" spans="1:16" x14ac:dyDescent="0.45">
      <c r="B20" t="s">
        <v>103</v>
      </c>
      <c r="E20" s="65">
        <v>0</v>
      </c>
      <c r="F20" s="65">
        <v>0</v>
      </c>
      <c r="G20" s="65">
        <v>0</v>
      </c>
    </row>
    <row r="21" spans="1:16" x14ac:dyDescent="0.45">
      <c r="B21" t="s">
        <v>42</v>
      </c>
      <c r="E21" s="64">
        <v>0</v>
      </c>
      <c r="F21" s="64">
        <v>0.3</v>
      </c>
      <c r="G21" s="64">
        <v>0.3</v>
      </c>
    </row>
    <row r="22" spans="1:16" x14ac:dyDescent="0.45">
      <c r="B22" t="s">
        <v>115</v>
      </c>
      <c r="C22">
        <v>363.815743</v>
      </c>
      <c r="D22">
        <f>D32</f>
        <v>363.81631399999998</v>
      </c>
      <c r="E22" s="65">
        <v>363.81631399999998</v>
      </c>
      <c r="F22" s="65">
        <v>363.81631399999998</v>
      </c>
      <c r="G22" s="65">
        <v>363.81631399999998</v>
      </c>
    </row>
    <row r="24" spans="1:16" x14ac:dyDescent="0.45">
      <c r="A24" s="16" t="s">
        <v>72</v>
      </c>
    </row>
    <row r="25" spans="1:16" x14ac:dyDescent="0.45">
      <c r="B25" t="s">
        <v>17</v>
      </c>
      <c r="C25" s="60">
        <v>2968</v>
      </c>
      <c r="D25" s="60">
        <v>2461</v>
      </c>
      <c r="E25" s="63">
        <f>(1+E8)*D25</f>
        <v>2419.163</v>
      </c>
      <c r="F25" s="63">
        <f>(1+F8)*E25</f>
        <v>2550.7654671999999</v>
      </c>
      <c r="G25" s="63">
        <f>(1+G8)*F25</f>
        <v>2696.9243284705594</v>
      </c>
    </row>
    <row r="26" spans="1:16" x14ac:dyDescent="0.45">
      <c r="B26" t="s">
        <v>19</v>
      </c>
      <c r="C26" s="60">
        <v>418</v>
      </c>
      <c r="D26" s="60">
        <v>26</v>
      </c>
      <c r="E26" s="63">
        <f>E9*E25</f>
        <v>142.730617</v>
      </c>
      <c r="F26" s="63">
        <f>F9*F25</f>
        <v>244.8734848512</v>
      </c>
      <c r="G26" s="63">
        <f>G9*G25</f>
        <v>323.63091941646712</v>
      </c>
    </row>
    <row r="27" spans="1:16" x14ac:dyDescent="0.45">
      <c r="B27" t="s">
        <v>132</v>
      </c>
      <c r="C27" s="60">
        <v>0</v>
      </c>
      <c r="D27" s="60">
        <v>-29</v>
      </c>
      <c r="E27" s="63">
        <f>E10</f>
        <v>0</v>
      </c>
      <c r="F27" s="63">
        <f>F10</f>
        <v>0</v>
      </c>
      <c r="G27" s="63">
        <f>G10</f>
        <v>0</v>
      </c>
    </row>
    <row r="28" spans="1:16" x14ac:dyDescent="0.45">
      <c r="B28" t="s">
        <v>34</v>
      </c>
      <c r="C28" s="60">
        <v>-35</v>
      </c>
      <c r="D28" s="60">
        <v>-63</v>
      </c>
      <c r="E28" s="63">
        <f>-IF(switch=1,E73+E74,0)</f>
        <v>0</v>
      </c>
      <c r="F28" s="63">
        <f>-IF(switch=1,F73+F74,0)</f>
        <v>0</v>
      </c>
      <c r="G28" s="63">
        <f>-IF(switch=1,G73+G74,0)</f>
        <v>0</v>
      </c>
    </row>
    <row r="29" spans="1:16" x14ac:dyDescent="0.45">
      <c r="B29" t="s">
        <v>43</v>
      </c>
      <c r="C29">
        <f>SUM(C26:C28)</f>
        <v>383</v>
      </c>
      <c r="D29" s="63">
        <f>SUM(D26:D28)</f>
        <v>-66</v>
      </c>
      <c r="E29" s="63">
        <f>SUM(E26:E28)</f>
        <v>142.730617</v>
      </c>
      <c r="F29" s="63">
        <f>SUM(F26:F28)</f>
        <v>244.8734848512</v>
      </c>
      <c r="G29" s="63">
        <f>SUM(G26:G28)</f>
        <v>323.63091941646712</v>
      </c>
    </row>
    <row r="30" spans="1:16" x14ac:dyDescent="0.45">
      <c r="B30" t="s">
        <v>44</v>
      </c>
      <c r="C30" s="60">
        <v>-112</v>
      </c>
      <c r="D30" s="60">
        <v>-9</v>
      </c>
      <c r="E30" s="63">
        <f>-E11*E29</f>
        <v>-35.682654249999999</v>
      </c>
      <c r="F30" s="63">
        <f>-F11*F29</f>
        <v>-61.218371212800001</v>
      </c>
      <c r="G30" s="63">
        <f>-G11*G29</f>
        <v>-80.907729854116781</v>
      </c>
    </row>
    <row r="31" spans="1:16" x14ac:dyDescent="0.45">
      <c r="B31" t="s">
        <v>25</v>
      </c>
      <c r="C31" s="63">
        <f>C29+C30</f>
        <v>271</v>
      </c>
      <c r="D31" s="63">
        <f>D29+D30</f>
        <v>-75</v>
      </c>
      <c r="E31" s="63">
        <f>E29+E30</f>
        <v>107.04796275</v>
      </c>
      <c r="F31" s="63">
        <f>F29+F30</f>
        <v>183.6551136384</v>
      </c>
      <c r="G31" s="63">
        <f>G29+G30</f>
        <v>242.72318956235034</v>
      </c>
    </row>
    <row r="32" spans="1:16" x14ac:dyDescent="0.45">
      <c r="B32" t="s">
        <v>115</v>
      </c>
      <c r="C32">
        <f>C22</f>
        <v>363.815743</v>
      </c>
      <c r="D32" s="63">
        <v>363.81631399999998</v>
      </c>
      <c r="E32" s="63">
        <f>E22</f>
        <v>363.81631399999998</v>
      </c>
      <c r="F32" s="63">
        <f>F22</f>
        <v>363.81631399999998</v>
      </c>
      <c r="G32" s="63">
        <f>G22</f>
        <v>363.81631399999998</v>
      </c>
    </row>
    <row r="33" spans="1:7" x14ac:dyDescent="0.45">
      <c r="B33" t="s">
        <v>116</v>
      </c>
      <c r="C33" s="75">
        <f>C31/C32</f>
        <v>0.74488255446384022</v>
      </c>
      <c r="D33" s="75">
        <f>D31/D32</f>
        <v>-0.20614798488668104</v>
      </c>
      <c r="E33" s="75">
        <f t="shared" ref="E33:F33" si="0">E31/E32</f>
        <v>0.29423629076182661</v>
      </c>
      <c r="F33" s="75">
        <f t="shared" si="0"/>
        <v>0.50480175454254095</v>
      </c>
      <c r="G33" s="75">
        <f t="shared" ref="G33" si="1">G31/G32</f>
        <v>0.66715861884728556</v>
      </c>
    </row>
    <row r="35" spans="1:7" x14ac:dyDescent="0.45">
      <c r="A35" s="16" t="s">
        <v>73</v>
      </c>
    </row>
    <row r="36" spans="1:7" x14ac:dyDescent="0.45">
      <c r="A36" s="16"/>
      <c r="B36" t="s">
        <v>22</v>
      </c>
      <c r="C36" s="60">
        <v>441</v>
      </c>
      <c r="D36" s="60">
        <v>813</v>
      </c>
      <c r="E36" s="63">
        <f>MAX(E94,0)</f>
        <v>538.89377674999992</v>
      </c>
      <c r="F36" s="63">
        <f>MAX(F94,0)</f>
        <v>646.75079357847994</v>
      </c>
      <c r="G36" s="63">
        <f>MAX(G94,0)</f>
        <v>790.00493173406096</v>
      </c>
    </row>
    <row r="37" spans="1:7" x14ac:dyDescent="0.45">
      <c r="A37" s="16"/>
      <c r="B37" t="s">
        <v>139</v>
      </c>
      <c r="C37" s="60">
        <f>1424-441</f>
        <v>983</v>
      </c>
      <c r="D37" s="60">
        <f>1652-813</f>
        <v>839</v>
      </c>
      <c r="E37" s="63">
        <f>E13*E25</f>
        <v>822.51542000000006</v>
      </c>
      <c r="F37" s="63">
        <f>F13*F25</f>
        <v>867.26025884800003</v>
      </c>
      <c r="G37" s="63">
        <f>G13*G25</f>
        <v>916.95427167999026</v>
      </c>
    </row>
    <row r="38" spans="1:7" x14ac:dyDescent="0.45">
      <c r="A38" s="16"/>
      <c r="B38" t="s">
        <v>47</v>
      </c>
      <c r="C38" s="60">
        <f>1013+406</f>
        <v>1419</v>
      </c>
      <c r="D38" s="60">
        <f>398+867</f>
        <v>1265</v>
      </c>
      <c r="E38" s="63">
        <f>E60</f>
        <v>1277.0958149999999</v>
      </c>
      <c r="F38" s="63">
        <f>F60</f>
        <v>1289.8496423359998</v>
      </c>
      <c r="G38" s="63">
        <f>G60</f>
        <v>1303.3342639783525</v>
      </c>
    </row>
    <row r="39" spans="1:7" x14ac:dyDescent="0.45">
      <c r="A39" s="16"/>
      <c r="B39" t="s">
        <v>33</v>
      </c>
      <c r="C39" s="60">
        <v>0</v>
      </c>
      <c r="D39" s="60">
        <v>0</v>
      </c>
      <c r="E39" s="63">
        <f>D39</f>
        <v>0</v>
      </c>
      <c r="F39" s="63">
        <f>E39</f>
        <v>0</v>
      </c>
      <c r="G39" s="63">
        <f>F39</f>
        <v>0</v>
      </c>
    </row>
    <row r="40" spans="1:7" x14ac:dyDescent="0.45">
      <c r="A40" s="16"/>
      <c r="B40" t="s">
        <v>45</v>
      </c>
      <c r="C40" s="60">
        <v>267</v>
      </c>
      <c r="D40" s="60">
        <v>229</v>
      </c>
      <c r="E40" s="63">
        <f>E65</f>
        <v>206.1</v>
      </c>
      <c r="F40" s="63">
        <f t="shared" ref="F40:G40" si="2">F65</f>
        <v>185.49</v>
      </c>
      <c r="G40" s="63">
        <f t="shared" si="2"/>
        <v>166.941</v>
      </c>
    </row>
    <row r="41" spans="1:7" x14ac:dyDescent="0.45">
      <c r="A41" s="16"/>
      <c r="B41" t="s">
        <v>46</v>
      </c>
      <c r="C41" s="60">
        <v>0</v>
      </c>
      <c r="D41" s="60">
        <v>0</v>
      </c>
      <c r="E41" s="63">
        <f>D41</f>
        <v>0</v>
      </c>
      <c r="F41" s="63">
        <f>E41</f>
        <v>0</v>
      </c>
      <c r="G41" s="63">
        <f>F41</f>
        <v>0</v>
      </c>
    </row>
    <row r="42" spans="1:7" x14ac:dyDescent="0.45">
      <c r="A42" s="16"/>
      <c r="B42" t="s">
        <v>150</v>
      </c>
      <c r="C42" s="60">
        <f>208+52</f>
        <v>260</v>
      </c>
      <c r="D42" s="60">
        <f>233+48</f>
        <v>281</v>
      </c>
      <c r="E42" s="63">
        <f>E18*E25</f>
        <v>275.784582</v>
      </c>
      <c r="F42" s="63">
        <f t="shared" ref="F42:G42" si="3">F18*F25</f>
        <v>290.78726326079999</v>
      </c>
      <c r="G42" s="63">
        <f t="shared" si="3"/>
        <v>307.4493734456438</v>
      </c>
    </row>
    <row r="43" spans="1:7" x14ac:dyDescent="0.45">
      <c r="A43" s="16"/>
      <c r="B43" t="s">
        <v>24</v>
      </c>
      <c r="C43" s="63">
        <f>SUM(C36:C42)</f>
        <v>3370</v>
      </c>
      <c r="D43" s="63">
        <f>SUM(D36:D42)</f>
        <v>3427</v>
      </c>
      <c r="E43" s="63">
        <f>SUM(E36:E42)</f>
        <v>3120.3895937499992</v>
      </c>
      <c r="F43" s="63">
        <f>SUM(F36:F42)</f>
        <v>3280.1379580232801</v>
      </c>
      <c r="G43" s="63">
        <f>SUM(G36:G42)</f>
        <v>3484.6838408380472</v>
      </c>
    </row>
    <row r="44" spans="1:7" x14ac:dyDescent="0.45">
      <c r="A44" s="16"/>
    </row>
    <row r="45" spans="1:7" x14ac:dyDescent="0.45">
      <c r="A45" s="16"/>
      <c r="B45" t="s">
        <v>83</v>
      </c>
      <c r="C45" s="60">
        <v>79</v>
      </c>
      <c r="D45" s="60">
        <f>300+105</f>
        <v>405</v>
      </c>
      <c r="E45" s="63">
        <f>-MIN(E94,0)</f>
        <v>0</v>
      </c>
      <c r="F45" s="63">
        <f>-MIN(F94,0)</f>
        <v>0</v>
      </c>
      <c r="G45" s="63">
        <f>-MIN(G94,0)</f>
        <v>0</v>
      </c>
    </row>
    <row r="46" spans="1:7" x14ac:dyDescent="0.45">
      <c r="A46" s="16"/>
      <c r="B46" t="s">
        <v>140</v>
      </c>
      <c r="C46" s="60">
        <f>857-79-229</f>
        <v>549</v>
      </c>
      <c r="D46" s="60">
        <f>1111-105-215-300</f>
        <v>491</v>
      </c>
      <c r="E46" s="63">
        <f>E14*E25</f>
        <v>483.83260000000001</v>
      </c>
      <c r="F46" s="63">
        <f>F14*F25</f>
        <v>510.15309344000002</v>
      </c>
      <c r="G46" s="63">
        <f>G14*G25</f>
        <v>539.38486569411191</v>
      </c>
    </row>
    <row r="47" spans="1:7" x14ac:dyDescent="0.45">
      <c r="A47" s="16"/>
      <c r="B47" t="s">
        <v>84</v>
      </c>
      <c r="C47" s="60">
        <f>229+959+299</f>
        <v>1487</v>
      </c>
      <c r="D47" s="60">
        <f>438+866+215</f>
        <v>1519</v>
      </c>
      <c r="E47" s="63">
        <f>D47+E20</f>
        <v>1519</v>
      </c>
      <c r="F47" s="63">
        <f>E47+F20</f>
        <v>1519</v>
      </c>
      <c r="G47" s="63">
        <f>F47+G20</f>
        <v>1519</v>
      </c>
    </row>
    <row r="48" spans="1:7" x14ac:dyDescent="0.45">
      <c r="A48" s="16"/>
      <c r="B48" t="s">
        <v>151</v>
      </c>
      <c r="C48" s="60">
        <f>63+1+37</f>
        <v>101</v>
      </c>
      <c r="D48" s="60">
        <f>1395-866-438</f>
        <v>91</v>
      </c>
      <c r="E48" s="63">
        <f>E19*E25</f>
        <v>89.509030999999993</v>
      </c>
      <c r="F48" s="63">
        <f>F19*F25</f>
        <v>94.378322286399992</v>
      </c>
      <c r="G48" s="63">
        <f>G19*G25</f>
        <v>99.786200153410689</v>
      </c>
    </row>
    <row r="49" spans="1:7" x14ac:dyDescent="0.45">
      <c r="A49" s="16"/>
      <c r="B49" t="s">
        <v>27</v>
      </c>
      <c r="C49" s="63">
        <f>SUM(C45:C48)</f>
        <v>2216</v>
      </c>
      <c r="D49" s="63">
        <f>SUM(D45:D48)</f>
        <v>2506</v>
      </c>
      <c r="E49" s="63">
        <f>SUM(E45:E48)</f>
        <v>2092.3416309999998</v>
      </c>
      <c r="F49" s="63">
        <f>SUM(F45:F48)</f>
        <v>2123.5314157264002</v>
      </c>
      <c r="G49" s="63">
        <f>SUM(G45:G48)</f>
        <v>2158.1710658475226</v>
      </c>
    </row>
    <row r="50" spans="1:7" x14ac:dyDescent="0.45">
      <c r="A50" s="16"/>
      <c r="B50" t="s">
        <v>18</v>
      </c>
      <c r="C50" s="60">
        <v>1154</v>
      </c>
      <c r="D50" s="60">
        <v>921</v>
      </c>
      <c r="E50" s="63">
        <f>E71</f>
        <v>1028.0479627499999</v>
      </c>
      <c r="F50" s="63">
        <f>F71</f>
        <v>1156.60654229688</v>
      </c>
      <c r="G50" s="63">
        <f>G71</f>
        <v>1326.5127749905253</v>
      </c>
    </row>
    <row r="51" spans="1:7" x14ac:dyDescent="0.45">
      <c r="A51" s="16"/>
      <c r="B51" t="s">
        <v>95</v>
      </c>
      <c r="C51" s="63">
        <f>SUM(C49:C50)</f>
        <v>3370</v>
      </c>
      <c r="D51" s="63">
        <f>SUM(D49:D50)</f>
        <v>3427</v>
      </c>
      <c r="E51" s="63">
        <f>SUM(E49:E50)</f>
        <v>3120.3895937499997</v>
      </c>
      <c r="F51" s="63">
        <f>SUM(F49:F50)</f>
        <v>3280.1379580232801</v>
      </c>
      <c r="G51" s="63">
        <f>SUM(G49:G50)</f>
        <v>3484.6838408380481</v>
      </c>
    </row>
    <row r="52" spans="1:7" x14ac:dyDescent="0.45">
      <c r="A52" s="16"/>
    </row>
    <row r="53" spans="1:7" x14ac:dyDescent="0.45">
      <c r="A53" s="16"/>
      <c r="B53" t="s">
        <v>20</v>
      </c>
      <c r="C53" s="63">
        <f>C43-C51</f>
        <v>0</v>
      </c>
      <c r="D53" s="63">
        <f>D43-D51</f>
        <v>0</v>
      </c>
      <c r="E53" s="63">
        <f>E43-E51</f>
        <v>0</v>
      </c>
      <c r="F53" s="63">
        <f>F43-F51</f>
        <v>0</v>
      </c>
      <c r="G53" s="63">
        <f>G43-G51</f>
        <v>0</v>
      </c>
    </row>
    <row r="54" spans="1:7" x14ac:dyDescent="0.45">
      <c r="A54" s="16"/>
    </row>
    <row r="55" spans="1:7" x14ac:dyDescent="0.45">
      <c r="A55" s="16" t="s">
        <v>74</v>
      </c>
    </row>
    <row r="56" spans="1:7" x14ac:dyDescent="0.45">
      <c r="A56" s="16"/>
      <c r="B56" t="s">
        <v>47</v>
      </c>
    </row>
    <row r="57" spans="1:7" x14ac:dyDescent="0.45">
      <c r="A57" s="16"/>
      <c r="B57" t="s">
        <v>86</v>
      </c>
      <c r="E57" s="63">
        <f>D60</f>
        <v>1265</v>
      </c>
      <c r="F57" s="63">
        <f>E60</f>
        <v>1277.0958149999999</v>
      </c>
      <c r="G57" s="63">
        <f>F60</f>
        <v>1289.8496423359998</v>
      </c>
    </row>
    <row r="58" spans="1:7" x14ac:dyDescent="0.45">
      <c r="A58" s="16"/>
      <c r="B58" t="s">
        <v>87</v>
      </c>
      <c r="D58" s="60">
        <v>122</v>
      </c>
      <c r="E58" s="63">
        <f>E15*E25</f>
        <v>120.95815</v>
      </c>
      <c r="F58" s="63">
        <f>F15*F25</f>
        <v>127.53827336000001</v>
      </c>
      <c r="G58" s="63">
        <f>G15*G25</f>
        <v>134.84621642352798</v>
      </c>
    </row>
    <row r="59" spans="1:7" x14ac:dyDescent="0.45">
      <c r="A59" s="16"/>
      <c r="B59" t="s">
        <v>88</v>
      </c>
      <c r="E59" s="63">
        <f>-E16*E58</f>
        <v>-108.862335</v>
      </c>
      <c r="F59" s="63">
        <f>-F16*F58</f>
        <v>-114.784446024</v>
      </c>
      <c r="G59" s="63">
        <f>-G16*G58</f>
        <v>-121.36159478117519</v>
      </c>
    </row>
    <row r="60" spans="1:7" x14ac:dyDescent="0.45">
      <c r="A60" s="16"/>
      <c r="B60" t="s">
        <v>48</v>
      </c>
      <c r="D60" s="63">
        <f>D38</f>
        <v>1265</v>
      </c>
      <c r="E60" s="63">
        <f>SUM(E57:E59)</f>
        <v>1277.0958149999999</v>
      </c>
      <c r="F60" s="63">
        <f>SUM(F57:F59)</f>
        <v>1289.8496423359998</v>
      </c>
      <c r="G60" s="63">
        <f>SUM(G57:G59)</f>
        <v>1303.3342639783525</v>
      </c>
    </row>
    <row r="61" spans="1:7" x14ac:dyDescent="0.45">
      <c r="A61" s="16"/>
    </row>
    <row r="62" spans="1:7" x14ac:dyDescent="0.45">
      <c r="A62" s="16"/>
      <c r="B62" t="s">
        <v>154</v>
      </c>
    </row>
    <row r="63" spans="1:7" x14ac:dyDescent="0.45">
      <c r="A63" s="16"/>
      <c r="B63" t="s">
        <v>137</v>
      </c>
      <c r="E63">
        <f>D65</f>
        <v>229</v>
      </c>
      <c r="F63">
        <f t="shared" ref="F63:G63" si="4">E65</f>
        <v>206.1</v>
      </c>
      <c r="G63">
        <f t="shared" si="4"/>
        <v>185.49</v>
      </c>
    </row>
    <row r="64" spans="1:7" x14ac:dyDescent="0.45">
      <c r="A64" s="16"/>
      <c r="B64" t="s">
        <v>138</v>
      </c>
      <c r="E64">
        <f>E17*E63*-1</f>
        <v>-22.900000000000002</v>
      </c>
      <c r="F64">
        <f>F17*F63*-1</f>
        <v>-20.61</v>
      </c>
      <c r="G64">
        <f>G17*G63*-1</f>
        <v>-18.549000000000003</v>
      </c>
    </row>
    <row r="65" spans="1:7" x14ac:dyDescent="0.45">
      <c r="A65" s="16"/>
      <c r="B65" t="s">
        <v>48</v>
      </c>
      <c r="D65">
        <f>D40</f>
        <v>229</v>
      </c>
      <c r="E65">
        <f>SUM(E63:E64)</f>
        <v>206.1</v>
      </c>
      <c r="F65">
        <f t="shared" ref="F65:G65" si="5">SUM(F63:F64)</f>
        <v>185.49</v>
      </c>
      <c r="G65">
        <f t="shared" si="5"/>
        <v>166.941</v>
      </c>
    </row>
    <row r="66" spans="1:7" x14ac:dyDescent="0.45">
      <c r="A66" s="16"/>
    </row>
    <row r="67" spans="1:7" x14ac:dyDescent="0.45">
      <c r="A67" s="16"/>
      <c r="B67" t="s">
        <v>18</v>
      </c>
    </row>
    <row r="68" spans="1:7" x14ac:dyDescent="0.45">
      <c r="A68" s="16"/>
      <c r="B68" t="s">
        <v>86</v>
      </c>
      <c r="E68" s="63">
        <f>D71</f>
        <v>921</v>
      </c>
      <c r="F68" s="63">
        <f>E71</f>
        <v>1028.0479627499999</v>
      </c>
      <c r="G68" s="63">
        <f>F71</f>
        <v>1156.60654229688</v>
      </c>
    </row>
    <row r="69" spans="1:7" x14ac:dyDescent="0.45">
      <c r="A69" s="16"/>
      <c r="B69" t="s">
        <v>89</v>
      </c>
      <c r="E69" s="63">
        <f>E31</f>
        <v>107.04796275</v>
      </c>
      <c r="F69" s="63">
        <f>F31</f>
        <v>183.6551136384</v>
      </c>
      <c r="G69" s="63">
        <f>G31</f>
        <v>242.72318956235034</v>
      </c>
    </row>
    <row r="70" spans="1:7" x14ac:dyDescent="0.45">
      <c r="A70" s="16"/>
      <c r="B70" t="s">
        <v>90</v>
      </c>
      <c r="E70" s="63">
        <f>-E21*E69</f>
        <v>0</v>
      </c>
      <c r="F70" s="63">
        <f>-F21*F69</f>
        <v>-55.096534091519999</v>
      </c>
      <c r="G70" s="63">
        <f>-G21*G69</f>
        <v>-72.816956868705105</v>
      </c>
    </row>
    <row r="71" spans="1:7" x14ac:dyDescent="0.45">
      <c r="A71" s="16"/>
      <c r="B71" t="s">
        <v>48</v>
      </c>
      <c r="D71" s="63">
        <f>D50</f>
        <v>921</v>
      </c>
      <c r="E71" s="63">
        <f>SUM(E68:E70)</f>
        <v>1028.0479627499999</v>
      </c>
      <c r="F71" s="63">
        <f>SUM(F68:F70)</f>
        <v>1156.60654229688</v>
      </c>
      <c r="G71" s="63">
        <f>SUM(G68:G70)</f>
        <v>1326.5127749905253</v>
      </c>
    </row>
    <row r="72" spans="1:7" x14ac:dyDescent="0.45">
      <c r="A72" s="16"/>
    </row>
    <row r="73" spans="1:7" x14ac:dyDescent="0.45">
      <c r="A73" s="16"/>
      <c r="B73" t="s">
        <v>91</v>
      </c>
      <c r="E73" s="63">
        <f>E12*AVERAGE(D45:E45)</f>
        <v>8.1</v>
      </c>
      <c r="F73" s="63">
        <f>F12*AVERAGE(E45:F45)</f>
        <v>0</v>
      </c>
      <c r="G73" s="63">
        <f>G12*AVERAGE(F45:G45)</f>
        <v>0</v>
      </c>
    </row>
    <row r="74" spans="1:7" x14ac:dyDescent="0.45">
      <c r="A74" s="16"/>
      <c r="B74" t="s">
        <v>92</v>
      </c>
      <c r="E74" s="63">
        <f>E12*AVERAGE(D47:E47)</f>
        <v>60.76</v>
      </c>
      <c r="F74" s="63">
        <f>F12*AVERAGE(E47:F47)</f>
        <v>60.76</v>
      </c>
      <c r="G74" s="63">
        <f>G12*AVERAGE(F47:G47)</f>
        <v>60.76</v>
      </c>
    </row>
    <row r="75" spans="1:7" x14ac:dyDescent="0.45">
      <c r="A75" s="16"/>
    </row>
    <row r="76" spans="1:7" x14ac:dyDescent="0.45">
      <c r="A76" s="16" t="s">
        <v>75</v>
      </c>
    </row>
    <row r="77" spans="1:7" x14ac:dyDescent="0.45">
      <c r="A77" s="16"/>
      <c r="B77" t="s">
        <v>25</v>
      </c>
      <c r="E77" s="63">
        <f>E31</f>
        <v>107.04796275</v>
      </c>
      <c r="F77" s="63">
        <f>F31</f>
        <v>183.6551136384</v>
      </c>
      <c r="G77" s="63">
        <f>G31</f>
        <v>242.72318956235034</v>
      </c>
    </row>
    <row r="78" spans="1:7" x14ac:dyDescent="0.45">
      <c r="A78" s="16"/>
      <c r="B78" t="s">
        <v>101</v>
      </c>
      <c r="E78" s="63">
        <f>E59*-1</f>
        <v>108.862335</v>
      </c>
      <c r="F78" s="63">
        <f>F59*-1</f>
        <v>114.784446024</v>
      </c>
      <c r="G78" s="63">
        <f>G59*-1</f>
        <v>121.36159478117519</v>
      </c>
    </row>
    <row r="79" spans="1:7" x14ac:dyDescent="0.45">
      <c r="A79" s="16"/>
      <c r="B79" t="s">
        <v>32</v>
      </c>
      <c r="E79" s="63">
        <f>-E64</f>
        <v>22.900000000000002</v>
      </c>
      <c r="F79" s="63">
        <f t="shared" ref="F79:G79" si="6">-F64</f>
        <v>20.61</v>
      </c>
      <c r="G79" s="63">
        <f t="shared" si="6"/>
        <v>18.549000000000003</v>
      </c>
    </row>
    <row r="80" spans="1:7" x14ac:dyDescent="0.45">
      <c r="A80" s="16"/>
      <c r="B80" t="s">
        <v>49</v>
      </c>
      <c r="E80" s="63">
        <f>D37-E37</f>
        <v>16.484579999999937</v>
      </c>
      <c r="F80" s="63">
        <f>E37-F37</f>
        <v>-44.744838847999972</v>
      </c>
      <c r="G80" s="63">
        <f>F37-G37</f>
        <v>-49.694012831990221</v>
      </c>
    </row>
    <row r="81" spans="1:7" x14ac:dyDescent="0.45">
      <c r="A81" s="16"/>
      <c r="B81" t="s">
        <v>153</v>
      </c>
      <c r="E81" s="63">
        <f>D42-E42</f>
        <v>5.2154179999999997</v>
      </c>
      <c r="F81" s="63">
        <f>E42-F42</f>
        <v>-15.002681260799989</v>
      </c>
      <c r="G81" s="63">
        <f>F42-G42</f>
        <v>-16.662110184843812</v>
      </c>
    </row>
    <row r="82" spans="1:7" x14ac:dyDescent="0.45">
      <c r="A82" s="16"/>
      <c r="B82" t="s">
        <v>50</v>
      </c>
      <c r="E82" s="63">
        <f>E46-D46</f>
        <v>-7.1673999999999864</v>
      </c>
      <c r="F82" s="63">
        <f>F46-E46</f>
        <v>26.320493440000007</v>
      </c>
      <c r="G82" s="63">
        <f>G46-F46</f>
        <v>29.231772254111888</v>
      </c>
    </row>
    <row r="83" spans="1:7" x14ac:dyDescent="0.45">
      <c r="A83" s="16"/>
      <c r="B83" t="s">
        <v>152</v>
      </c>
      <c r="E83" s="63">
        <f>E48-D48</f>
        <v>-1.4909690000000069</v>
      </c>
      <c r="F83" s="63">
        <f>F48-E48</f>
        <v>4.8692912863999993</v>
      </c>
      <c r="G83" s="63">
        <f>G48-F48</f>
        <v>5.4078778670106971</v>
      </c>
    </row>
    <row r="84" spans="1:7" x14ac:dyDescent="0.45">
      <c r="A84" s="16"/>
      <c r="B84" t="s">
        <v>23</v>
      </c>
      <c r="E84" s="63">
        <f>SUM(E77:E83)</f>
        <v>251.85192674999996</v>
      </c>
      <c r="F84" s="63">
        <f>SUM(F77:F83)</f>
        <v>290.49182428000006</v>
      </c>
      <c r="G84" s="63">
        <f>SUM(G77:G83)</f>
        <v>350.91731144781409</v>
      </c>
    </row>
    <row r="85" spans="1:7" x14ac:dyDescent="0.45">
      <c r="A85" s="16"/>
    </row>
    <row r="86" spans="1:7" x14ac:dyDescent="0.45">
      <c r="A86" s="16"/>
      <c r="B86" t="s">
        <v>21</v>
      </c>
      <c r="E86" s="63">
        <f>-E58</f>
        <v>-120.95815</v>
      </c>
      <c r="F86" s="63">
        <f>-F58</f>
        <v>-127.53827336000001</v>
      </c>
      <c r="G86" s="63">
        <f>-G58</f>
        <v>-134.84621642352798</v>
      </c>
    </row>
    <row r="87" spans="1:7" x14ac:dyDescent="0.45">
      <c r="A87" s="16"/>
      <c r="B87" t="s">
        <v>28</v>
      </c>
      <c r="E87" s="63">
        <f>SUM(E86)</f>
        <v>-120.95815</v>
      </c>
      <c r="F87" s="63">
        <f>SUM(F86)</f>
        <v>-127.53827336000001</v>
      </c>
      <c r="G87" s="63">
        <f>SUM(G86)</f>
        <v>-134.84621642352798</v>
      </c>
    </row>
    <row r="88" spans="1:7" x14ac:dyDescent="0.45">
      <c r="A88" s="16"/>
    </row>
    <row r="89" spans="1:7" x14ac:dyDescent="0.45">
      <c r="A89" s="16"/>
      <c r="B89" t="s">
        <v>29</v>
      </c>
      <c r="E89" s="63">
        <f>E70</f>
        <v>0</v>
      </c>
      <c r="F89" s="63">
        <f>F70</f>
        <v>-55.096534091519999</v>
      </c>
      <c r="G89" s="63">
        <f>G70</f>
        <v>-72.816956868705105</v>
      </c>
    </row>
    <row r="90" spans="1:7" x14ac:dyDescent="0.45">
      <c r="A90" s="16"/>
      <c r="B90" t="s">
        <v>82</v>
      </c>
      <c r="E90" s="63">
        <f>E47-D47</f>
        <v>0</v>
      </c>
      <c r="F90" s="63">
        <f>F47-E47</f>
        <v>0</v>
      </c>
      <c r="G90" s="63">
        <f>G47-F47</f>
        <v>0</v>
      </c>
    </row>
    <row r="91" spans="1:7" x14ac:dyDescent="0.45">
      <c r="A91" s="16"/>
      <c r="B91" t="s">
        <v>30</v>
      </c>
      <c r="E91" s="63">
        <f>SUM(E89:E90)</f>
        <v>0</v>
      </c>
      <c r="F91" s="63">
        <f>SUM(F89:F90)</f>
        <v>-55.096534091519999</v>
      </c>
      <c r="G91" s="63">
        <f>SUM(G89:G90)</f>
        <v>-72.816956868705105</v>
      </c>
    </row>
    <row r="92" spans="1:7" x14ac:dyDescent="0.45">
      <c r="A92" s="16"/>
    </row>
    <row r="93" spans="1:7" x14ac:dyDescent="0.45">
      <c r="A93" s="16"/>
      <c r="B93" t="s">
        <v>31</v>
      </c>
      <c r="E93" s="63">
        <f>SUM(E84,E87,E91)</f>
        <v>130.89377674999997</v>
      </c>
      <c r="F93" s="63">
        <f>SUM(F84,F87,F91)</f>
        <v>107.85701682848006</v>
      </c>
      <c r="G93" s="63">
        <f>SUM(G84,G87,G91)</f>
        <v>143.25413815558102</v>
      </c>
    </row>
    <row r="94" spans="1:7" x14ac:dyDescent="0.45">
      <c r="A94" s="16"/>
      <c r="B94" t="s">
        <v>94</v>
      </c>
      <c r="D94" s="63">
        <f>D36-D45</f>
        <v>408</v>
      </c>
      <c r="E94" s="63">
        <f>D94+E93</f>
        <v>538.89377674999992</v>
      </c>
      <c r="F94" s="63">
        <f>E94+F93</f>
        <v>646.75079357847994</v>
      </c>
      <c r="G94" s="63">
        <f>F94+G93</f>
        <v>790.00493173406096</v>
      </c>
    </row>
    <row r="96" spans="1:7" x14ac:dyDescent="0.45">
      <c r="A96" s="1" t="s">
        <v>69</v>
      </c>
    </row>
  </sheetData>
  <printOptions headings="1" gridLines="1"/>
  <pageMargins left="0.7" right="0.7" top="0.75" bottom="0.75" header="0.3" footer="0.3"/>
  <pageSetup paperSize="9" scale="82" fitToHeight="0" orientation="portrait" horizontalDpi="300" verticalDpi="300" r:id="rId1"/>
  <rowBreaks count="1" manualBreakCount="1">
    <brk id="54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7538-241C-436A-9D8E-A871FE957E7B}">
  <sheetPr>
    <pageSetUpPr fitToPage="1"/>
  </sheetPr>
  <dimension ref="A1:L98"/>
  <sheetViews>
    <sheetView zoomScaleNormal="100" workbookViewId="0"/>
  </sheetViews>
  <sheetFormatPr defaultRowHeight="15.75" x14ac:dyDescent="0.45"/>
  <cols>
    <col min="1" max="1" width="2.1328125" style="1" customWidth="1"/>
    <col min="2" max="2" width="45.73046875" customWidth="1"/>
    <col min="3" max="7" width="11.1328125" customWidth="1"/>
    <col min="8" max="8" width="12.59765625" customWidth="1"/>
    <col min="9" max="10" width="11.1328125" customWidth="1"/>
  </cols>
  <sheetData>
    <row r="1" spans="1:12" s="46" customFormat="1" ht="45" customHeight="1" x14ac:dyDescent="0.8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65">
      <c r="A2" s="15" t="s">
        <v>97</v>
      </c>
      <c r="B2" s="8"/>
      <c r="C2" s="12"/>
      <c r="D2" s="12">
        <v>45657</v>
      </c>
      <c r="E2" s="12">
        <v>46022</v>
      </c>
      <c r="F2" s="12">
        <v>46387</v>
      </c>
      <c r="G2" s="12">
        <v>46752</v>
      </c>
      <c r="H2" s="12"/>
      <c r="I2" s="12"/>
      <c r="J2" s="12"/>
      <c r="L2" s="62"/>
    </row>
    <row r="3" spans="1:12" ht="15" customHeight="1" x14ac:dyDescent="0.45"/>
    <row r="4" spans="1:12" ht="15" customHeight="1" x14ac:dyDescent="0.45">
      <c r="B4" t="s">
        <v>4</v>
      </c>
      <c r="D4" t="s">
        <v>98</v>
      </c>
      <c r="F4" s="78" t="s">
        <v>167</v>
      </c>
      <c r="G4" s="73">
        <f>(AcquirerLFY-TargetLFY)/365</f>
        <v>-0.24657534246575341</v>
      </c>
    </row>
    <row r="5" spans="1:12" ht="15" customHeight="1" x14ac:dyDescent="0.45"/>
    <row r="6" spans="1:12" x14ac:dyDescent="0.45">
      <c r="A6" s="16" t="s">
        <v>102</v>
      </c>
      <c r="D6" s="79"/>
      <c r="E6" s="79"/>
      <c r="F6" s="79"/>
      <c r="G6" s="79"/>
    </row>
    <row r="8" spans="1:12" x14ac:dyDescent="0.45">
      <c r="B8" t="str">
        <f>'Target (Local FX)'!B8</f>
        <v>Sales growth</v>
      </c>
      <c r="E8" s="73">
        <f>E25/D25-1</f>
        <v>-6.0531282610883697E-2</v>
      </c>
      <c r="F8" s="73">
        <f>F25/E25-1</f>
        <v>3.6566100048567307E-2</v>
      </c>
      <c r="G8" s="73">
        <f>G25/F25-1</f>
        <v>5.6613085587956524E-2</v>
      </c>
    </row>
    <row r="9" spans="1:12" x14ac:dyDescent="0.45">
      <c r="B9" t="str">
        <f>'Target (Local FX)'!B9</f>
        <v>EBIT margin</v>
      </c>
      <c r="D9" s="72">
        <f>D26/D25</f>
        <v>4.7431123165182561E-2</v>
      </c>
      <c r="E9" s="72">
        <f>E26/E25</f>
        <v>4.6902124456303609E-2</v>
      </c>
      <c r="F9" s="72">
        <f t="shared" ref="F9:G9" si="0">F26/F25</f>
        <v>8.7235919570481102E-2</v>
      </c>
      <c r="G9" s="72">
        <f t="shared" si="0"/>
        <v>0.11432709795604815</v>
      </c>
    </row>
    <row r="10" spans="1:12" x14ac:dyDescent="0.45">
      <c r="B10" t="str">
        <f>'Target (Local FX)'!B10</f>
        <v>Non-recurring expenses</v>
      </c>
      <c r="E10">
        <f>E27</f>
        <v>-8.6222958904109586</v>
      </c>
      <c r="F10">
        <f t="shared" ref="F10:G10" si="1">F27</f>
        <v>0</v>
      </c>
      <c r="G10">
        <f t="shared" si="1"/>
        <v>0</v>
      </c>
    </row>
    <row r="11" spans="1:12" x14ac:dyDescent="0.45">
      <c r="B11" t="str">
        <f>'Target (Local FX)'!B11</f>
        <v>Tax rate</v>
      </c>
      <c r="E11" s="73">
        <f>E30/E29*-1</f>
        <v>0.31889632656171923</v>
      </c>
      <c r="F11" s="73">
        <f t="shared" ref="F11:G11" si="2">F30/F29*-1</f>
        <v>0.25</v>
      </c>
      <c r="G11" s="73">
        <f t="shared" si="2"/>
        <v>0.25</v>
      </c>
    </row>
    <row r="12" spans="1:12" x14ac:dyDescent="0.45">
      <c r="B12" t="str">
        <f>'Target (Local FX)'!B12</f>
        <v>Interest rate on all debt</v>
      </c>
      <c r="D12" s="72"/>
      <c r="E12" s="72"/>
      <c r="F12" s="72"/>
    </row>
    <row r="13" spans="1:12" x14ac:dyDescent="0.45">
      <c r="B13" t="str">
        <f>'Target (Local FX)'!B13</f>
        <v>Operating current assets / sales</v>
      </c>
      <c r="D13" s="72">
        <f>D37/D25</f>
        <v>0.33816791062565221</v>
      </c>
      <c r="E13" s="72">
        <f>E37/E25</f>
        <v>0.34022937439683854</v>
      </c>
      <c r="F13" s="72">
        <f t="shared" ref="F13:G13" si="3">F37/F25</f>
        <v>0.34</v>
      </c>
      <c r="G13" s="72">
        <f t="shared" si="3"/>
        <v>0.33999999999999997</v>
      </c>
    </row>
    <row r="14" spans="1:12" x14ac:dyDescent="0.45">
      <c r="B14" t="str">
        <f>'Target (Local FX)'!B14</f>
        <v>Operating current liabilities / sales</v>
      </c>
      <c r="E14" s="73">
        <f>E46/E25</f>
        <v>0.19987820828486452</v>
      </c>
      <c r="F14" s="73">
        <f>F46/F25</f>
        <v>0.19999999999999998</v>
      </c>
      <c r="G14" s="73">
        <f>G46/G25</f>
        <v>0.2</v>
      </c>
    </row>
    <row r="15" spans="1:12" x14ac:dyDescent="0.45">
      <c r="B15" t="str">
        <f>'Target (Local FX)'!B15</f>
        <v>Capex / sales</v>
      </c>
      <c r="E15" s="73">
        <f>E58/E25</f>
        <v>4.9893432249256443E-2</v>
      </c>
      <c r="F15" s="73">
        <f>F58/F25</f>
        <v>4.9999999999999996E-2</v>
      </c>
      <c r="G15" s="73">
        <f>G58/G25</f>
        <v>0</v>
      </c>
    </row>
    <row r="16" spans="1:12" x14ac:dyDescent="0.45">
      <c r="B16" t="str">
        <f>'Target (Local FX)'!B16</f>
        <v>Depreciation as % of capex</v>
      </c>
      <c r="E16" s="73">
        <f>E59/E58*-1</f>
        <v>1.2380836271595077</v>
      </c>
      <c r="F16" s="73">
        <f t="shared" ref="F16" si="4">F59/F58*-1</f>
        <v>0.90000000000000036</v>
      </c>
      <c r="G16" s="73"/>
    </row>
    <row r="17" spans="1:7" x14ac:dyDescent="0.45">
      <c r="B17" t="str">
        <f>'Target (Local FX)'!B17</f>
        <v xml:space="preserve">Amortization % beginning intangibles  </v>
      </c>
      <c r="D17" s="72"/>
      <c r="E17" s="72">
        <f>E64/D40*-1</f>
        <v>0.11168898339175912</v>
      </c>
      <c r="F17" s="72">
        <f>F64/E40*-1</f>
        <v>9.9999999999999992E-2</v>
      </c>
      <c r="G17" s="72">
        <f>G64/F40*-1</f>
        <v>0</v>
      </c>
    </row>
    <row r="18" spans="1:7" x14ac:dyDescent="0.45">
      <c r="B18" t="str">
        <f>'Target (Local FX)'!B18</f>
        <v>Operating non current assets / sales</v>
      </c>
      <c r="E18" s="73">
        <f>E42/E25</f>
        <v>0.11404526592079202</v>
      </c>
      <c r="F18" s="73">
        <f t="shared" ref="F18:G18" si="5">F42/F25</f>
        <v>0.11400000000000002</v>
      </c>
      <c r="G18" s="73">
        <f t="shared" si="5"/>
        <v>0.11399999999999999</v>
      </c>
    </row>
    <row r="19" spans="1:7" x14ac:dyDescent="0.45">
      <c r="B19" t="str">
        <f>'Target (Local FX)'!B19</f>
        <v>Operating long term liabilities / sales</v>
      </c>
      <c r="E19" s="73">
        <f>E48/E25</f>
        <v>3.6994214893531066E-2</v>
      </c>
      <c r="F19" s="73">
        <f>F48/F25</f>
        <v>3.6999999999999998E-2</v>
      </c>
      <c r="G19" s="73">
        <f>G48/G25</f>
        <v>3.6999999999999998E-2</v>
      </c>
    </row>
    <row r="20" spans="1:7" x14ac:dyDescent="0.45">
      <c r="B20" t="str">
        <f>'Target (Local FX)'!B20</f>
        <v xml:space="preserve">Long term debt issuance / (repayment) </v>
      </c>
      <c r="E20" s="73"/>
      <c r="F20" s="73"/>
      <c r="G20" s="73"/>
    </row>
    <row r="21" spans="1:7" x14ac:dyDescent="0.45">
      <c r="B21" t="str">
        <f>'Target (Local FX)'!B21</f>
        <v>Dividend payout ratio</v>
      </c>
      <c r="E21" s="73">
        <f>E70/E31*-1</f>
        <v>0</v>
      </c>
      <c r="F21" s="73">
        <f>F70/F31*-1</f>
        <v>0.25194013424179451</v>
      </c>
      <c r="G21" s="73">
        <f>G70/G31*-1</f>
        <v>0</v>
      </c>
    </row>
    <row r="22" spans="1:7" x14ac:dyDescent="0.45">
      <c r="E22" s="73"/>
      <c r="F22" s="73"/>
      <c r="G22" s="73"/>
    </row>
    <row r="23" spans="1:7" x14ac:dyDescent="0.45">
      <c r="A23" s="16"/>
    </row>
    <row r="24" spans="1:7" x14ac:dyDescent="0.45">
      <c r="A24" s="16" t="s">
        <v>72</v>
      </c>
    </row>
    <row r="25" spans="1:7" x14ac:dyDescent="0.45">
      <c r="B25" t="s">
        <v>17</v>
      </c>
      <c r="D25">
        <f>IF(TargetLFY&lt;AcquirerLFY,(1-Calendar)*'Target (Local FX)'!C25+Calendar*'Target (Local FX)'!D25,(1+Calendar)*'Target (Local FX)'!D25+(-Calendar*'Target (Local FX)'!C25))*FX</f>
        <v>3118.2153178082194</v>
      </c>
      <c r="E25">
        <f>IF(TargetLFY&lt;AcquirerLFY,(1-Calendar)*'Target (Local FX)'!D25+Calendar*'Target (Local FX)'!E25,(1+Calendar)*'Target (Local FX)'!E25+(-Calendar*'Target (Local FX)'!D25))*FX</f>
        <v>2929.4657451643834</v>
      </c>
      <c r="F25">
        <f>IF(TargetLFY&lt;AcquirerLFY,(1-Calendar)*'Target (Local FX)'!E25+Calendar*'Target (Local FX)'!F25,(1+Calendar)*'Target (Local FX)'!F25+(-Calendar*'Target (Local FX)'!E25))*FX</f>
        <v>3036.584882690915</v>
      </c>
      <c r="G25">
        <f>IF(TargetLFY&lt;AcquirerLFY,(1-Calendar)*'Target (Local FX)'!F25+Calendar*'Target (Local FX)'!G25,(1+Calendar)*'Target (Local FX)'!G25+(-Calendar*'Target (Local FX)'!F25))*FX</f>
        <v>3208.4953225497907</v>
      </c>
    </row>
    <row r="26" spans="1:7" x14ac:dyDescent="0.45">
      <c r="B26" t="s">
        <v>19</v>
      </c>
      <c r="D26">
        <f>IF(TargetLFY&lt;AcquirerLFY,(1-Calendar)*'Target (Local FX)'!C26+Calendar*'Target (Local FX)'!D26,(1+Calendar)*'Target (Local FX)'!D26+(-Calendar*'Target (Local FX)'!C26))*FX</f>
        <v>147.90045479452053</v>
      </c>
      <c r="E26">
        <f>IF(TargetLFY&lt;AcquirerLFY,(1-Calendar)*'Target (Local FX)'!D26+Calendar*'Target (Local FX)'!E26,(1+Calendar)*'Target (Local FX)'!E26+(-Calendar*'Target (Local FX)'!D26))*FX</f>
        <v>137.3981669701781</v>
      </c>
      <c r="F26">
        <f>IF(TargetLFY&lt;AcquirerLFY,(1-Calendar)*'Target (Local FX)'!E26+Calendar*'Target (Local FX)'!F26,(1+Calendar)*'Target (Local FX)'!F26+(-Calendar*'Target (Local FX)'!E26))*FX</f>
        <v>264.89927459536347</v>
      </c>
      <c r="G26">
        <f>IF(TargetLFY&lt;AcquirerLFY,(1-Calendar)*'Target (Local FX)'!F26+Calendar*'Target (Local FX)'!G26,(1+Calendar)*'Target (Local FX)'!G26+(-Calendar*'Target (Local FX)'!F26))*FX</f>
        <v>366.81795903267221</v>
      </c>
    </row>
    <row r="27" spans="1:7" x14ac:dyDescent="0.45">
      <c r="B27" t="s">
        <v>132</v>
      </c>
      <c r="D27">
        <f>IF(TargetLFY&lt;AcquirerLFY,(1-Calendar)*'Target (Local FX)'!C27+Calendar*'Target (Local FX)'!D27,(1+Calendar)*'Target (Local FX)'!D27+(-Calendar*'Target (Local FX)'!C27))*FX</f>
        <v>-26.345904109589043</v>
      </c>
      <c r="E27">
        <f>IF(TargetLFY&lt;AcquirerLFY,(1-Calendar)*'Target (Local FX)'!D27+Calendar*'Target (Local FX)'!E27,(1+Calendar)*'Target (Local FX)'!E27+(-Calendar*'Target (Local FX)'!D27))*FX</f>
        <v>-8.6222958904109586</v>
      </c>
      <c r="F27">
        <f>IF(TargetLFY&lt;AcquirerLFY,(1-Calendar)*'Target (Local FX)'!E27+Calendar*'Target (Local FX)'!F27,(1+Calendar)*'Target (Local FX)'!F27+(-Calendar*'Target (Local FX)'!E27))*FX</f>
        <v>0</v>
      </c>
      <c r="G27">
        <f>IF(TargetLFY&lt;AcquirerLFY,(1-Calendar)*'Target (Local FX)'!F27+Calendar*'Target (Local FX)'!G27,(1+Calendar)*'Target (Local FX)'!G27+(-Calendar*'Target (Local FX)'!F27))*FX</f>
        <v>0</v>
      </c>
    </row>
    <row r="28" spans="1:7" x14ac:dyDescent="0.45">
      <c r="B28" t="s">
        <v>34</v>
      </c>
      <c r="D28">
        <f>IF(TargetLFY&lt;AcquirerLFY,(1-Calendar)*'Target (Local FX)'!C28+Calendar*'Target (Local FX)'!D28,(1+Calendar)*'Target (Local FX)'!D28+(-Calendar*'Target (Local FX)'!C28))*FX</f>
        <v>-67.64042465753424</v>
      </c>
      <c r="E28">
        <f>IF(TargetLFY&lt;AcquirerLFY,(1-Calendar)*'Target (Local FX)'!D28+Calendar*'Target (Local FX)'!E28,(1+Calendar)*'Target (Local FX)'!E28+(-Calendar*'Target (Local FX)'!D28))*FX</f>
        <v>-18.731194520547945</v>
      </c>
      <c r="F28">
        <f>IF(TargetLFY&lt;AcquirerLFY,(1-Calendar)*'Target (Local FX)'!E28+Calendar*'Target (Local FX)'!F28,(1+Calendar)*'Target (Local FX)'!F28+(-Calendar*'Target (Local FX)'!E28))*FX</f>
        <v>0</v>
      </c>
      <c r="G28">
        <f>IF(TargetLFY&lt;AcquirerLFY,(1-Calendar)*'Target (Local FX)'!F28+Calendar*'Target (Local FX)'!G28,(1+Calendar)*'Target (Local FX)'!G28+(-Calendar*'Target (Local FX)'!F28))*FX</f>
        <v>0</v>
      </c>
    </row>
    <row r="29" spans="1:7" x14ac:dyDescent="0.45">
      <c r="B29" t="s">
        <v>43</v>
      </c>
      <c r="D29">
        <f>SUM(D26:D28)</f>
        <v>53.914126027397245</v>
      </c>
      <c r="E29">
        <f t="shared" ref="E29:G29" si="6">SUM(E26:E28)</f>
        <v>110.0446765592192</v>
      </c>
      <c r="F29">
        <f t="shared" si="6"/>
        <v>264.89927459536347</v>
      </c>
      <c r="G29">
        <f t="shared" si="6"/>
        <v>366.81795903267221</v>
      </c>
    </row>
    <row r="30" spans="1:7" x14ac:dyDescent="0.45">
      <c r="B30" t="s">
        <v>44</v>
      </c>
      <c r="D30">
        <f>IF(TargetLFY&lt;AcquirerLFY,(1-Calendar)*'Target (Local FX)'!C30+Calendar*'Target (Local FX)'!D30,(1+Calendar)*'Target (Local FX)'!D30+(-Calendar*'Target (Local FX)'!C30))*FX</f>
        <v>-41.476216438356161</v>
      </c>
      <c r="E30">
        <f>IF(TargetLFY&lt;AcquirerLFY,(1-Calendar)*'Target (Local FX)'!D30+Calendar*'Target (Local FX)'!E30,(1+Calendar)*'Target (Local FX)'!E30+(-Calendar*'Target (Local FX)'!D30))*FX</f>
        <v>-35.092843112407536</v>
      </c>
      <c r="F30">
        <f>IF(TargetLFY&lt;AcquirerLFY,(1-Calendar)*'Target (Local FX)'!E30+Calendar*'Target (Local FX)'!F30,(1+Calendar)*'Target (Local FX)'!F30+(-Calendar*'Target (Local FX)'!E30))*FX</f>
        <v>-66.224818648840866</v>
      </c>
      <c r="G30">
        <f>IF(TargetLFY&lt;AcquirerLFY,(1-Calendar)*'Target (Local FX)'!F30+Calendar*'Target (Local FX)'!G30,(1+Calendar)*'Target (Local FX)'!G30+(-Calendar*'Target (Local FX)'!F30))*FX</f>
        <v>-91.704489758168052</v>
      </c>
    </row>
    <row r="31" spans="1:7" x14ac:dyDescent="0.45">
      <c r="B31" t="s">
        <v>25</v>
      </c>
      <c r="D31">
        <f>SUM(D29:D30)</f>
        <v>12.437909589041084</v>
      </c>
      <c r="E31">
        <f t="shared" ref="E31:G31" si="7">SUM(E29:E30)</f>
        <v>74.951833446811662</v>
      </c>
      <c r="F31">
        <f t="shared" si="7"/>
        <v>198.67445594652258</v>
      </c>
      <c r="G31">
        <f t="shared" si="7"/>
        <v>275.11346927450415</v>
      </c>
    </row>
    <row r="32" spans="1:7" x14ac:dyDescent="0.45">
      <c r="B32" t="s">
        <v>115</v>
      </c>
      <c r="D32">
        <f>'Target (Local FX)'!D32*FX</f>
        <v>438.68971142119995</v>
      </c>
      <c r="E32">
        <f>'Target (Local FX)'!E32*FX</f>
        <v>438.68971142119995</v>
      </c>
      <c r="F32">
        <f>'Target (Local FX)'!F32*FX</f>
        <v>438.68971142119995</v>
      </c>
      <c r="G32">
        <f>'Target (Local FX)'!G32*FX</f>
        <v>438.68971142119995</v>
      </c>
    </row>
    <row r="33" spans="1:7" x14ac:dyDescent="0.45">
      <c r="B33" t="s">
        <v>116</v>
      </c>
      <c r="D33" s="74">
        <f>D31/D32</f>
        <v>2.8352407784414738E-2</v>
      </c>
      <c r="E33" s="74">
        <f t="shared" ref="E33:G33" si="8">E31/E32</f>
        <v>0.17085386662931792</v>
      </c>
      <c r="F33" s="74">
        <f t="shared" si="8"/>
        <v>0.45288150319935111</v>
      </c>
      <c r="G33" s="74">
        <f t="shared" si="8"/>
        <v>0.62712541942967737</v>
      </c>
    </row>
    <row r="35" spans="1:7" x14ac:dyDescent="0.45">
      <c r="A35" s="16" t="s">
        <v>73</v>
      </c>
    </row>
    <row r="36" spans="1:7" x14ac:dyDescent="0.45">
      <c r="A36" s="16"/>
      <c r="B36" t="s">
        <v>22</v>
      </c>
      <c r="D36">
        <f>IF(TargetLFY&lt;AcquirerLFY,(1-Calendar)*'Target (Local FX)'!C36+Calendar*'Target (Local FX)'!D36,(1+Calendar)*'Target (Local FX)'!D36+(-Calendar*'Target (Local FX)'!C36))*FX</f>
        <v>869.71215616438349</v>
      </c>
      <c r="E36">
        <f>IF(TargetLFY&lt;AcquirerLFY,(1-Calendar)*'Target (Local FX)'!D36+Calendar*'Target (Local FX)'!E36,(1+Calendar)*'Target (Local FX)'!E36+(-Calendar*'Target (Local FX)'!D36))*FX</f>
        <v>731.29552849703077</v>
      </c>
      <c r="F36">
        <f>IF(TargetLFY&lt;AcquirerLFY,(1-Calendar)*'Target (Local FX)'!E36+Calendar*'Target (Local FX)'!F36,(1+Calendar)*'Target (Local FX)'!F36+(-Calendar*'Target (Local FX)'!E36))*FX</f>
        <v>747.7839995537521</v>
      </c>
      <c r="G36">
        <f>IF(TargetLFY&lt;AcquirerLFY,(1-Calendar)*'Target (Local FX)'!F36+Calendar*'Target (Local FX)'!G36,(1+Calendar)*'Target (Local FX)'!G36+(-Calendar*'Target (Local FX)'!F36))*FX</f>
        <v>909.99554783309509</v>
      </c>
    </row>
    <row r="37" spans="1:7" x14ac:dyDescent="0.45">
      <c r="A37" s="16"/>
      <c r="B37" t="s">
        <v>139</v>
      </c>
      <c r="D37">
        <f>IF(TargetLFY&lt;AcquirerLFY,(1-Calendar)*'Target (Local FX)'!C37+Calendar*'Target (Local FX)'!D37,(1+Calendar)*'Target (Local FX)'!D37+(-Calendar*'Target (Local FX)'!C37))*FX</f>
        <v>1054.4803589041096</v>
      </c>
      <c r="E37">
        <f>IF(TargetLFY&lt;AcquirerLFY,(1-Calendar)*'Target (Local FX)'!D37+Calendar*'Target (Local FX)'!E37,(1+Calendar)*'Target (Local FX)'!E37+(-Calendar*'Target (Local FX)'!D37))*FX</f>
        <v>996.69029779424659</v>
      </c>
      <c r="F37">
        <f>IF(TargetLFY&lt;AcquirerLFY,(1-Calendar)*'Target (Local FX)'!E37+Calendar*'Target (Local FX)'!F37,(1+Calendar)*'Target (Local FX)'!F37+(-Calendar*'Target (Local FX)'!E37))*FX</f>
        <v>1032.4388601149112</v>
      </c>
      <c r="G37">
        <f>IF(TargetLFY&lt;AcquirerLFY,(1-Calendar)*'Target (Local FX)'!F37+Calendar*'Target (Local FX)'!G37,(1+Calendar)*'Target (Local FX)'!G37+(-Calendar*'Target (Local FX)'!F37))*FX</f>
        <v>1090.8884096669287</v>
      </c>
    </row>
    <row r="38" spans="1:7" x14ac:dyDescent="0.45">
      <c r="A38" s="16"/>
      <c r="B38" t="s">
        <v>47</v>
      </c>
      <c r="D38">
        <f>IF(TargetLFY&lt;AcquirerLFY,(1-Calendar)*'Target (Local FX)'!C38+Calendar*'Target (Local FX)'!D38,(1+Calendar)*'Target (Local FX)'!D38+(-Calendar*'Target (Local FX)'!C38))*FX</f>
        <v>1571.1243643835614</v>
      </c>
      <c r="E38">
        <f>IF(TargetLFY&lt;AcquirerLFY,(1-Calendar)*'Target (Local FX)'!D38+Calendar*'Target (Local FX)'!E38,(1+Calendar)*'Target (Local FX)'!E38+(-Calendar*'Target (Local FX)'!D38))*FX</f>
        <v>1536.3257993833561</v>
      </c>
      <c r="F38">
        <f>IF(TargetLFY&lt;AcquirerLFY,(1-Calendar)*'Target (Local FX)'!E38+Calendar*'Target (Local FX)'!F38,(1+Calendar)*'Target (Local FX)'!F38+(-Calendar*'Target (Local FX)'!E38))*FX</f>
        <v>1551.5087237968105</v>
      </c>
      <c r="G38">
        <f>IF(TargetLFY&lt;AcquirerLFY,(1-Calendar)*'Target (Local FX)'!F38+Calendar*'Target (Local FX)'!G38,(1+Calendar)*'Target (Local FX)'!G38+(-Calendar*'Target (Local FX)'!F38))*FX</f>
        <v>1567.5512004095594</v>
      </c>
    </row>
    <row r="39" spans="1:7" x14ac:dyDescent="0.45">
      <c r="A39" s="16"/>
      <c r="B39" t="s">
        <v>33</v>
      </c>
      <c r="D39">
        <f>IF(TargetLFY&lt;AcquirerLFY,(1-Calendar)*'Target (Local FX)'!C39+Calendar*'Target (Local FX)'!D39,(1+Calendar)*'Target (Local FX)'!D39+(-Calendar*'Target (Local FX)'!C39))*FX</f>
        <v>0</v>
      </c>
      <c r="E39">
        <f>IF(TargetLFY&lt;AcquirerLFY,(1-Calendar)*'Target (Local FX)'!D39+Calendar*'Target (Local FX)'!E39,(1+Calendar)*'Target (Local FX)'!E39+(-Calendar*'Target (Local FX)'!D39))*FX</f>
        <v>0</v>
      </c>
      <c r="F39">
        <f>IF(TargetLFY&lt;AcquirerLFY,(1-Calendar)*'Target (Local FX)'!E39+Calendar*'Target (Local FX)'!F39,(1+Calendar)*'Target (Local FX)'!F39+(-Calendar*'Target (Local FX)'!E39))*FX</f>
        <v>0</v>
      </c>
      <c r="G39">
        <f>IF(TargetLFY&lt;AcquirerLFY,(1-Calendar)*'Target (Local FX)'!F39+Calendar*'Target (Local FX)'!G39,(1+Calendar)*'Target (Local FX)'!G39+(-Calendar*'Target (Local FX)'!F39))*FX</f>
        <v>0</v>
      </c>
    </row>
    <row r="40" spans="1:7" x14ac:dyDescent="0.45">
      <c r="A40" s="16"/>
      <c r="B40" t="s">
        <v>45</v>
      </c>
      <c r="D40">
        <f>IF(TargetLFY&lt;AcquirerLFY,(1-Calendar)*'Target (Local FX)'!C40+Calendar*'Target (Local FX)'!D40,(1+Calendar)*'Target (Local FX)'!D40+(-Calendar*'Target (Local FX)'!C40))*FX</f>
        <v>287.4263808219178</v>
      </c>
      <c r="E40">
        <f>IF(TargetLFY&lt;AcquirerLFY,(1-Calendar)*'Target (Local FX)'!D40+Calendar*'Target (Local FX)'!E40,(1+Calendar)*'Target (Local FX)'!E40+(-Calendar*'Target (Local FX)'!D40))*FX</f>
        <v>255.3240205479452</v>
      </c>
      <c r="F40">
        <f>IF(TargetLFY&lt;AcquirerLFY,(1-Calendar)*'Target (Local FX)'!E40+Calendar*'Target (Local FX)'!F40,(1+Calendar)*'Target (Local FX)'!F40+(-Calendar*'Target (Local FX)'!E40))*FX</f>
        <v>229.79161849315068</v>
      </c>
      <c r="G40">
        <f>IF(TargetLFY&lt;AcquirerLFY,(1-Calendar)*'Target (Local FX)'!F40+Calendar*'Target (Local FX)'!G40,(1+Calendar)*'Target (Local FX)'!G40+(-Calendar*'Target (Local FX)'!F40))*FX</f>
        <v>206.81245664383562</v>
      </c>
    </row>
    <row r="41" spans="1:7" x14ac:dyDescent="0.45">
      <c r="A41" s="16"/>
      <c r="B41" t="s">
        <v>46</v>
      </c>
      <c r="D41">
        <f>IF(TargetLFY&lt;AcquirerLFY,(1-Calendar)*'Target (Local FX)'!C41+Calendar*'Target (Local FX)'!D41,(1+Calendar)*'Target (Local FX)'!D41+(-Calendar*'Target (Local FX)'!C41))*FX</f>
        <v>0</v>
      </c>
      <c r="E41">
        <f>IF(TargetLFY&lt;AcquirerLFY,(1-Calendar)*'Target (Local FX)'!D41+Calendar*'Target (Local FX)'!E41,(1+Calendar)*'Target (Local FX)'!E41+(-Calendar*'Target (Local FX)'!D41))*FX</f>
        <v>0</v>
      </c>
      <c r="F41">
        <f>IF(TargetLFY&lt;AcquirerLFY,(1-Calendar)*'Target (Local FX)'!E41+Calendar*'Target (Local FX)'!F41,(1+Calendar)*'Target (Local FX)'!F41+(-Calendar*'Target (Local FX)'!E41))*FX</f>
        <v>0</v>
      </c>
      <c r="G41">
        <f>IF(TargetLFY&lt;AcquirerLFY,(1-Calendar)*'Target (Local FX)'!F41+Calendar*'Target (Local FX)'!G41,(1+Calendar)*'Target (Local FX)'!G41+(-Calendar*'Target (Local FX)'!F41))*FX</f>
        <v>0</v>
      </c>
    </row>
    <row r="42" spans="1:7" x14ac:dyDescent="0.45">
      <c r="A42" s="16"/>
      <c r="B42" t="s">
        <v>150</v>
      </c>
      <c r="D42">
        <f>IF(TargetLFY&lt;AcquirerLFY,(1-Calendar)*'Target (Local FX)'!C42+Calendar*'Target (Local FX)'!D42,(1+Calendar)*'Target (Local FX)'!D42+(-Calendar*'Target (Local FX)'!C42))*FX</f>
        <v>332.58606849315066</v>
      </c>
      <c r="E42">
        <f>IF(TargetLFY&lt;AcquirerLFY,(1-Calendar)*'Target (Local FX)'!D42+Calendar*'Target (Local FX)'!E42,(1+Calendar)*'Target (Local FX)'!E42+(-Calendar*'Target (Local FX)'!D42))*FX</f>
        <v>334.09169991312325</v>
      </c>
      <c r="F42">
        <f>IF(TargetLFY&lt;AcquirerLFY,(1-Calendar)*'Target (Local FX)'!E42+Calendar*'Target (Local FX)'!F42,(1+Calendar)*'Target (Local FX)'!F42+(-Calendar*'Target (Local FX)'!E42))*FX</f>
        <v>346.17067662676436</v>
      </c>
      <c r="G42">
        <f>IF(TargetLFY&lt;AcquirerLFY,(1-Calendar)*'Target (Local FX)'!F42+Calendar*'Target (Local FX)'!G42,(1+Calendar)*'Target (Local FX)'!G42+(-Calendar*'Target (Local FX)'!F42))*FX</f>
        <v>365.76846677067613</v>
      </c>
    </row>
    <row r="43" spans="1:7" x14ac:dyDescent="0.45">
      <c r="A43" s="16"/>
      <c r="B43" t="s">
        <v>24</v>
      </c>
      <c r="D43">
        <f>SUM(D36:D42)</f>
        <v>4115.3293287671231</v>
      </c>
      <c r="E43">
        <f t="shared" ref="E43:G43" si="9">SUM(E36:E42)</f>
        <v>3853.7273461357017</v>
      </c>
      <c r="F43">
        <f t="shared" si="9"/>
        <v>3907.6938785853886</v>
      </c>
      <c r="G43">
        <f t="shared" si="9"/>
        <v>4141.0160813240946</v>
      </c>
    </row>
    <row r="44" spans="1:7" x14ac:dyDescent="0.45">
      <c r="A44" s="16"/>
    </row>
    <row r="45" spans="1:7" x14ac:dyDescent="0.45">
      <c r="A45" s="16"/>
      <c r="B45" t="s">
        <v>83</v>
      </c>
      <c r="D45">
        <f>IF(TargetLFY&lt;AcquirerLFY,(1-Calendar)*'Target (Local FX)'!C45+Calendar*'Target (Local FX)'!D45,(1+Calendar)*'Target (Local FX)'!D45+(-Calendar*'Target (Local FX)'!C45))*FX</f>
        <v>391.42250136986303</v>
      </c>
      <c r="E45">
        <f>IF(TargetLFY&lt;AcquirerLFY,(1-Calendar)*'Target (Local FX)'!D45+Calendar*'Target (Local FX)'!E45,(1+Calendar)*'Target (Local FX)'!E45+(-Calendar*'Target (Local FX)'!D45))*FX</f>
        <v>120.41482191780821</v>
      </c>
      <c r="F45">
        <f>IF(TargetLFY&lt;AcquirerLFY,(1-Calendar)*'Target (Local FX)'!E45+Calendar*'Target (Local FX)'!F45,(1+Calendar)*'Target (Local FX)'!F45+(-Calendar*'Target (Local FX)'!E45))*FX</f>
        <v>0</v>
      </c>
      <c r="G45">
        <f>IF(TargetLFY&lt;AcquirerLFY,(1-Calendar)*'Target (Local FX)'!F45+Calendar*'Target (Local FX)'!G45,(1+Calendar)*'Target (Local FX)'!G45+(-Calendar*'Target (Local FX)'!F45))*FX</f>
        <v>0</v>
      </c>
    </row>
    <row r="46" spans="1:7" x14ac:dyDescent="0.45">
      <c r="A46" s="16"/>
      <c r="B46" t="s">
        <v>140</v>
      </c>
      <c r="D46">
        <f>IF(TargetLFY&lt;AcquirerLFY,(1-Calendar)*'Target (Local FX)'!C46+Calendar*'Target (Local FX)'!D46,(1+Calendar)*'Target (Local FX)'!D46+(-Calendar*'Target (Local FX)'!C46))*FX</f>
        <v>609.29239178082196</v>
      </c>
      <c r="E46">
        <f>IF(TargetLFY&lt;AcquirerLFY,(1-Calendar)*'Target (Local FX)'!D46+Calendar*'Target (Local FX)'!E46,(1+Calendar)*'Target (Local FX)'!E46+(-Calendar*'Target (Local FX)'!D46))*FX</f>
        <v>585.53636437534249</v>
      </c>
      <c r="F46">
        <f>IF(TargetLFY&lt;AcquirerLFY,(1-Calendar)*'Target (Local FX)'!E46+Calendar*'Target (Local FX)'!F46,(1+Calendar)*'Target (Local FX)'!F46+(-Calendar*'Target (Local FX)'!E46))*FX</f>
        <v>607.31697653818298</v>
      </c>
      <c r="G46">
        <f>IF(TargetLFY&lt;AcquirerLFY,(1-Calendar)*'Target (Local FX)'!F46+Calendar*'Target (Local FX)'!G46,(1+Calendar)*'Target (Local FX)'!G46+(-Calendar*'Target (Local FX)'!F46))*FX</f>
        <v>641.69906450995813</v>
      </c>
    </row>
    <row r="47" spans="1:7" x14ac:dyDescent="0.45">
      <c r="A47" s="16"/>
      <c r="B47" t="s">
        <v>84</v>
      </c>
      <c r="D47">
        <f>IF(TargetLFY&lt;AcquirerLFY,(1-Calendar)*'Target (Local FX)'!C47+Calendar*'Target (Local FX)'!D47,(1+Calendar)*'Target (Local FX)'!D47+(-Calendar*'Target (Local FX)'!C47))*FX</f>
        <v>1822.0959424657533</v>
      </c>
      <c r="E47">
        <f>IF(TargetLFY&lt;AcquirerLFY,(1-Calendar)*'Target (Local FX)'!D47+Calendar*'Target (Local FX)'!E47,(1+Calendar)*'Target (Local FX)'!E47+(-Calendar*'Target (Local FX)'!D47))*FX</f>
        <v>1831.6102000000001</v>
      </c>
      <c r="F47">
        <f>IF(TargetLFY&lt;AcquirerLFY,(1-Calendar)*'Target (Local FX)'!E47+Calendar*'Target (Local FX)'!F47,(1+Calendar)*'Target (Local FX)'!F47+(-Calendar*'Target (Local FX)'!E47))*FX</f>
        <v>1831.6102000000001</v>
      </c>
      <c r="G47">
        <f>IF(TargetLFY&lt;AcquirerLFY,(1-Calendar)*'Target (Local FX)'!F47+Calendar*'Target (Local FX)'!G47,(1+Calendar)*'Target (Local FX)'!G47+(-Calendar*'Target (Local FX)'!F47))*FX</f>
        <v>1831.6102000000001</v>
      </c>
    </row>
    <row r="48" spans="1:7" x14ac:dyDescent="0.45">
      <c r="A48" s="16"/>
      <c r="B48" t="s">
        <v>151</v>
      </c>
      <c r="D48">
        <f>IF(TargetLFY&lt;AcquirerLFY,(1-Calendar)*'Target (Local FX)'!C48+Calendar*'Target (Local FX)'!D48,(1+Calendar)*'Target (Local FX)'!D48+(-Calendar*'Target (Local FX)'!C48))*FX</f>
        <v>112.70100547945205</v>
      </c>
      <c r="E48">
        <f>IF(TargetLFY&lt;AcquirerLFY,(1-Calendar)*'Target (Local FX)'!D48+Calendar*'Target (Local FX)'!E48,(1+Calendar)*'Target (Local FX)'!E48+(-Calendar*'Target (Local FX)'!D48))*FX</f>
        <v>108.37328529984931</v>
      </c>
      <c r="F48">
        <f>IF(TargetLFY&lt;AcquirerLFY,(1-Calendar)*'Target (Local FX)'!E48+Calendar*'Target (Local FX)'!F48,(1+Calendar)*'Target (Local FX)'!F48+(-Calendar*'Target (Local FX)'!E48))*FX</f>
        <v>112.35364065956385</v>
      </c>
      <c r="G48">
        <f>IF(TargetLFY&lt;AcquirerLFY,(1-Calendar)*'Target (Local FX)'!F48+Calendar*'Target (Local FX)'!G48,(1+Calendar)*'Target (Local FX)'!G48+(-Calendar*'Target (Local FX)'!F48))*FX</f>
        <v>118.71432693434224</v>
      </c>
    </row>
    <row r="49" spans="1:7" x14ac:dyDescent="0.45">
      <c r="A49" s="16"/>
      <c r="B49" t="s">
        <v>27</v>
      </c>
      <c r="D49">
        <f>SUM(D45:D48)</f>
        <v>2935.5118410958903</v>
      </c>
      <c r="E49">
        <f t="shared" ref="E49:G49" si="10">SUM(E45:E48)</f>
        <v>2645.9346715930001</v>
      </c>
      <c r="F49">
        <f t="shared" si="10"/>
        <v>2551.2808171977472</v>
      </c>
      <c r="G49">
        <f t="shared" si="10"/>
        <v>2592.0235914443006</v>
      </c>
    </row>
    <row r="50" spans="1:7" x14ac:dyDescent="0.45">
      <c r="A50" s="16"/>
      <c r="B50" t="s">
        <v>18</v>
      </c>
      <c r="D50">
        <f>IF(TargetLFY&lt;AcquirerLFY,(1-Calendar)*'Target (Local FX)'!C50+Calendar*'Target (Local FX)'!D50,(1+Calendar)*'Target (Local FX)'!D50+(-Calendar*'Target (Local FX)'!C50))*FX</f>
        <v>1179.8174876712328</v>
      </c>
      <c r="E50">
        <f>IF(TargetLFY&lt;AcquirerLFY,(1-Calendar)*'Target (Local FX)'!D50+Calendar*'Target (Local FX)'!E50,(1+Calendar)*'Target (Local FX)'!E50+(-Calendar*'Target (Local FX)'!D50))*FX</f>
        <v>1207.7926745427019</v>
      </c>
      <c r="F50">
        <f>IF(TargetLFY&lt;AcquirerLFY,(1-Calendar)*'Target (Local FX)'!E50+Calendar*'Target (Local FX)'!F50,(1+Calendar)*'Target (Local FX)'!F50+(-Calendar*'Target (Local FX)'!E50))*FX</f>
        <v>1356.4130613876423</v>
      </c>
      <c r="G50">
        <f>IF(TargetLFY&lt;AcquirerLFY,(1-Calendar)*'Target (Local FX)'!F50+Calendar*'Target (Local FX)'!G50,(1+Calendar)*'Target (Local FX)'!G50+(-Calendar*'Target (Local FX)'!F50))*FX</f>
        <v>1548.9924898797951</v>
      </c>
    </row>
    <row r="51" spans="1:7" x14ac:dyDescent="0.45">
      <c r="A51" s="16"/>
      <c r="B51" t="s">
        <v>95</v>
      </c>
      <c r="D51">
        <f>SUM(D49:D50)</f>
        <v>4115.3293287671231</v>
      </c>
      <c r="E51">
        <f t="shared" ref="E51:G51" si="11">SUM(E49:E50)</f>
        <v>3853.7273461357017</v>
      </c>
      <c r="F51">
        <f t="shared" si="11"/>
        <v>3907.6938785853895</v>
      </c>
      <c r="G51">
        <f t="shared" si="11"/>
        <v>4141.0160813240955</v>
      </c>
    </row>
    <row r="52" spans="1:7" x14ac:dyDescent="0.45">
      <c r="A52" s="16"/>
    </row>
    <row r="53" spans="1:7" x14ac:dyDescent="0.45">
      <c r="A53" s="16"/>
      <c r="B53" t="s">
        <v>20</v>
      </c>
      <c r="D53">
        <f>D43-D51</f>
        <v>0</v>
      </c>
      <c r="E53">
        <f t="shared" ref="E53:G53" si="12">E43-E51</f>
        <v>0</v>
      </c>
      <c r="F53">
        <f t="shared" si="12"/>
        <v>0</v>
      </c>
      <c r="G53">
        <f t="shared" si="12"/>
        <v>0</v>
      </c>
    </row>
    <row r="54" spans="1:7" x14ac:dyDescent="0.45">
      <c r="A54" s="16"/>
    </row>
    <row r="55" spans="1:7" x14ac:dyDescent="0.45">
      <c r="A55" s="16" t="s">
        <v>74</v>
      </c>
    </row>
    <row r="56" spans="1:7" x14ac:dyDescent="0.45">
      <c r="A56" s="16"/>
      <c r="B56" t="s">
        <v>47</v>
      </c>
    </row>
    <row r="57" spans="1:7" x14ac:dyDescent="0.45">
      <c r="A57" s="16"/>
      <c r="B57" t="s">
        <v>86</v>
      </c>
      <c r="E57">
        <f>D60</f>
        <v>1571.1243643835614</v>
      </c>
      <c r="F57">
        <f>E60</f>
        <v>1536.3257993833561</v>
      </c>
    </row>
    <row r="58" spans="1:7" x14ac:dyDescent="0.45">
      <c r="A58" s="16"/>
      <c r="B58" t="s">
        <v>87</v>
      </c>
      <c r="E58">
        <f>IF(TargetLFY&lt;AcquirerLFY,(1-Calendar)*'Target (Local FX)'!D58+Calendar*'Target (Local FX)'!E58,(1+Calendar)*'Target (Local FX)'!E58+(-Calendar*'Target (Local FX)'!D58))*FX</f>
        <v>146.16110068287671</v>
      </c>
      <c r="F58">
        <f>IF(TargetLFY&lt;AcquirerLFY,(1-Calendar)*'Target (Local FX)'!E58+Calendar*'Target (Local FX)'!F58,(1+Calendar)*'Target (Local FX)'!F58+(-Calendar*'Target (Local FX)'!E58))*FX</f>
        <v>151.82924413454575</v>
      </c>
    </row>
    <row r="59" spans="1:7" x14ac:dyDescent="0.45">
      <c r="A59" s="16"/>
      <c r="B59" t="s">
        <v>88</v>
      </c>
      <c r="E59">
        <f>E60-E58-E57</f>
        <v>-180.95966568308199</v>
      </c>
      <c r="F59">
        <f>F60-F58-F57</f>
        <v>-136.64631972109123</v>
      </c>
    </row>
    <row r="60" spans="1:7" x14ac:dyDescent="0.45">
      <c r="A60" s="16"/>
      <c r="B60" t="s">
        <v>48</v>
      </c>
      <c r="D60">
        <f>D38</f>
        <v>1571.1243643835614</v>
      </c>
      <c r="E60">
        <f>E38</f>
        <v>1536.3257993833561</v>
      </c>
      <c r="F60">
        <f>F38</f>
        <v>1551.5087237968105</v>
      </c>
    </row>
    <row r="61" spans="1:7" x14ac:dyDescent="0.45">
      <c r="A61" s="16"/>
    </row>
    <row r="62" spans="1:7" x14ac:dyDescent="0.45">
      <c r="A62" s="16"/>
      <c r="B62" t="s">
        <v>154</v>
      </c>
    </row>
    <row r="63" spans="1:7" x14ac:dyDescent="0.45">
      <c r="A63" s="16"/>
      <c r="B63" t="s">
        <v>137</v>
      </c>
      <c r="E63">
        <f>D65</f>
        <v>287.4263808219178</v>
      </c>
      <c r="F63">
        <f>E65</f>
        <v>255.3240205479452</v>
      </c>
    </row>
    <row r="64" spans="1:7" x14ac:dyDescent="0.45">
      <c r="A64" s="16"/>
      <c r="B64" t="s">
        <v>138</v>
      </c>
      <c r="E64">
        <f>E65-E63</f>
        <v>-32.102360273972607</v>
      </c>
      <c r="F64">
        <f>F65-F63</f>
        <v>-25.532402054794517</v>
      </c>
    </row>
    <row r="65" spans="1:6" x14ac:dyDescent="0.45">
      <c r="A65" s="16"/>
      <c r="B65" t="s">
        <v>48</v>
      </c>
      <c r="D65">
        <f>D40</f>
        <v>287.4263808219178</v>
      </c>
      <c r="E65">
        <f>E40</f>
        <v>255.3240205479452</v>
      </c>
      <c r="F65">
        <f>F40</f>
        <v>229.79161849315068</v>
      </c>
    </row>
    <row r="66" spans="1:6" x14ac:dyDescent="0.45">
      <c r="A66" s="16"/>
    </row>
    <row r="67" spans="1:6" x14ac:dyDescent="0.45">
      <c r="A67" s="16"/>
      <c r="B67" t="s">
        <v>18</v>
      </c>
    </row>
    <row r="68" spans="1:6" x14ac:dyDescent="0.45">
      <c r="A68" s="16"/>
      <c r="B68" t="s">
        <v>86</v>
      </c>
    </row>
    <row r="69" spans="1:6" x14ac:dyDescent="0.45">
      <c r="A69" s="16"/>
      <c r="B69" t="s">
        <v>89</v>
      </c>
    </row>
    <row r="70" spans="1:6" x14ac:dyDescent="0.45">
      <c r="A70" s="16"/>
      <c r="B70" t="s">
        <v>90</v>
      </c>
      <c r="E70">
        <f>IF(TargetLFY&lt;AcquirerLFY,(1-Calendar)*'Target (Local FX)'!D70+Calendar*'Target (Local FX)'!E70,(1+Calendar)*'Target (Local FX)'!E70+(-Calendar*'Target (Local FX)'!D70))*FX</f>
        <v>0</v>
      </c>
      <c r="F70">
        <f>IF(TargetLFY&lt;AcquirerLFY,(1-Calendar)*'Target (Local FX)'!E70+Calendar*'Target (Local FX)'!F70,(1+Calendar)*'Target (Local FX)'!F70+(-Calendar*'Target (Local FX)'!E70))*FX</f>
        <v>-50.054069101582392</v>
      </c>
    </row>
    <row r="71" spans="1:6" x14ac:dyDescent="0.45">
      <c r="A71" s="16"/>
      <c r="B71" t="s">
        <v>48</v>
      </c>
    </row>
    <row r="72" spans="1:6" x14ac:dyDescent="0.45">
      <c r="A72" s="16"/>
    </row>
    <row r="73" spans="1:6" x14ac:dyDescent="0.45">
      <c r="A73" s="16"/>
      <c r="B73" t="s">
        <v>91</v>
      </c>
    </row>
    <row r="74" spans="1:6" x14ac:dyDescent="0.45">
      <c r="A74" s="16"/>
      <c r="B74" t="s">
        <v>92</v>
      </c>
    </row>
    <row r="75" spans="1:6" x14ac:dyDescent="0.45">
      <c r="A75" s="16"/>
    </row>
    <row r="76" spans="1:6" x14ac:dyDescent="0.45">
      <c r="A76" s="16" t="s">
        <v>75</v>
      </c>
    </row>
    <row r="77" spans="1:6" x14ac:dyDescent="0.45">
      <c r="A77" s="16"/>
      <c r="B77" t="s">
        <v>25</v>
      </c>
    </row>
    <row r="78" spans="1:6" x14ac:dyDescent="0.45">
      <c r="A78" s="16"/>
      <c r="B78" t="s">
        <v>101</v>
      </c>
      <c r="E78">
        <f>E59*-1</f>
        <v>180.95966568308199</v>
      </c>
      <c r="F78">
        <f>IF(TargetLFY&lt;AcquirerLFY,(1-Calendar)*'Target (Local FX)'!E78+Calendar*'Target (Local FX)'!F78,(1+Calendar)*'Target (Local FX)'!F78+(-Calendar*'Target (Local FX)'!E78))*FX</f>
        <v>136.64631972109117</v>
      </c>
    </row>
    <row r="79" spans="1:6" x14ac:dyDescent="0.45">
      <c r="A79" s="16"/>
      <c r="B79" t="s">
        <v>32</v>
      </c>
      <c r="E79">
        <f>E64*-1</f>
        <v>32.102360273972607</v>
      </c>
      <c r="F79">
        <f>F64*-1</f>
        <v>25.532402054794517</v>
      </c>
    </row>
    <row r="80" spans="1:6" x14ac:dyDescent="0.45">
      <c r="A80" s="16"/>
      <c r="B80" t="s">
        <v>49</v>
      </c>
    </row>
    <row r="81" spans="1:6" x14ac:dyDescent="0.45">
      <c r="A81" s="16"/>
      <c r="B81" t="s">
        <v>153</v>
      </c>
    </row>
    <row r="82" spans="1:6" x14ac:dyDescent="0.45">
      <c r="A82" s="16"/>
      <c r="B82" t="s">
        <v>50</v>
      </c>
    </row>
    <row r="83" spans="1:6" x14ac:dyDescent="0.45">
      <c r="A83" s="16"/>
      <c r="B83" t="s">
        <v>152</v>
      </c>
    </row>
    <row r="84" spans="1:6" x14ac:dyDescent="0.45">
      <c r="A84" s="16"/>
      <c r="B84" t="s">
        <v>23</v>
      </c>
    </row>
    <row r="85" spans="1:6" x14ac:dyDescent="0.45">
      <c r="A85" s="16"/>
    </row>
    <row r="86" spans="1:6" x14ac:dyDescent="0.45">
      <c r="A86" s="16"/>
      <c r="B86" t="s">
        <v>21</v>
      </c>
      <c r="E86">
        <f>E58*-1</f>
        <v>-146.16110068287671</v>
      </c>
      <c r="F86">
        <f>F58*-1</f>
        <v>-151.82924413454575</v>
      </c>
    </row>
    <row r="87" spans="1:6" x14ac:dyDescent="0.45">
      <c r="A87" s="16"/>
      <c r="B87" t="s">
        <v>28</v>
      </c>
    </row>
    <row r="88" spans="1:6" x14ac:dyDescent="0.45">
      <c r="A88" s="16"/>
    </row>
    <row r="89" spans="1:6" x14ac:dyDescent="0.45">
      <c r="A89" s="16"/>
      <c r="B89" t="s">
        <v>29</v>
      </c>
    </row>
    <row r="90" spans="1:6" x14ac:dyDescent="0.45">
      <c r="A90" s="16"/>
      <c r="B90" t="s">
        <v>82</v>
      </c>
    </row>
    <row r="91" spans="1:6" x14ac:dyDescent="0.45">
      <c r="A91" s="16"/>
      <c r="B91" t="s">
        <v>30</v>
      </c>
    </row>
    <row r="92" spans="1:6" x14ac:dyDescent="0.45">
      <c r="A92" s="16"/>
    </row>
    <row r="93" spans="1:6" x14ac:dyDescent="0.45">
      <c r="A93" s="16"/>
      <c r="B93" t="s">
        <v>31</v>
      </c>
    </row>
    <row r="94" spans="1:6" x14ac:dyDescent="0.45">
      <c r="A94" s="16"/>
      <c r="B94" t="s">
        <v>94</v>
      </c>
    </row>
    <row r="96" spans="1:6" x14ac:dyDescent="0.45">
      <c r="A96" s="1" t="s">
        <v>69</v>
      </c>
    </row>
    <row r="98" spans="1:1" x14ac:dyDescent="0.45">
      <c r="A98" s="1" t="s">
        <v>69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1" fitToHeight="0" orientation="portrait" horizontalDpi="300" verticalDpi="300" r:id="rId1"/>
  <rowBreaks count="1" manualBreakCount="1">
    <brk id="5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0DB0-B9CF-4282-AD8F-D54F784B6B87}">
  <sheetPr>
    <pageSetUpPr fitToPage="1"/>
  </sheetPr>
  <dimension ref="A1:M26"/>
  <sheetViews>
    <sheetView zoomScaleNormal="100" workbookViewId="0"/>
  </sheetViews>
  <sheetFormatPr defaultRowHeight="15.75" x14ac:dyDescent="0.45"/>
  <cols>
    <col min="1" max="1" width="2.1328125" style="1" customWidth="1"/>
    <col min="2" max="2" width="33.1328125" customWidth="1"/>
    <col min="3" max="3" width="11.1328125" customWidth="1"/>
    <col min="4" max="4" width="19.73046875" bestFit="1" customWidth="1"/>
    <col min="5" max="5" width="13.1328125" bestFit="1" customWidth="1"/>
    <col min="6" max="6" width="16.73046875" bestFit="1" customWidth="1"/>
    <col min="7" max="8" width="13.1328125" bestFit="1" customWidth="1"/>
    <col min="9" max="11" width="11.1328125" customWidth="1"/>
  </cols>
  <sheetData>
    <row r="1" spans="1:13" s="46" customFormat="1" ht="45" customHeight="1" x14ac:dyDescent="0.8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K1" s="13"/>
      <c r="M1" s="61"/>
    </row>
    <row r="2" spans="1:13" s="35" customFormat="1" ht="30" customHeight="1" x14ac:dyDescent="0.65">
      <c r="A2" s="15" t="s">
        <v>66</v>
      </c>
      <c r="B2" s="8"/>
      <c r="C2" s="12" t="s">
        <v>35</v>
      </c>
      <c r="D2" s="12"/>
      <c r="E2" s="12"/>
      <c r="F2" s="12"/>
      <c r="G2" s="12"/>
      <c r="H2" s="12"/>
      <c r="I2" s="12" t="s">
        <v>35</v>
      </c>
      <c r="J2" s="12"/>
      <c r="K2" s="12"/>
      <c r="M2" s="62"/>
    </row>
    <row r="3" spans="1:13" ht="15" customHeight="1" x14ac:dyDescent="0.45"/>
    <row r="4" spans="1:13" x14ac:dyDescent="0.45">
      <c r="A4" s="16" t="s">
        <v>73</v>
      </c>
    </row>
    <row r="5" spans="1:13" x14ac:dyDescent="0.45">
      <c r="A5" s="16"/>
      <c r="E5" s="66" t="s">
        <v>67</v>
      </c>
      <c r="F5" s="66" t="s">
        <v>68</v>
      </c>
      <c r="G5" s="66" t="s">
        <v>33</v>
      </c>
      <c r="H5" s="66" t="s">
        <v>58</v>
      </c>
    </row>
    <row r="6" spans="1:13" x14ac:dyDescent="0.45">
      <c r="A6" s="16"/>
      <c r="C6" s="66" t="s">
        <v>54</v>
      </c>
      <c r="D6" s="66" t="s">
        <v>99</v>
      </c>
      <c r="E6" s="66" t="s">
        <v>55</v>
      </c>
      <c r="F6" s="66" t="s">
        <v>55</v>
      </c>
      <c r="G6" s="66" t="s">
        <v>55</v>
      </c>
      <c r="H6" s="66" t="s">
        <v>55</v>
      </c>
      <c r="I6" s="66" t="s">
        <v>56</v>
      </c>
    </row>
    <row r="7" spans="1:13" x14ac:dyDescent="0.45">
      <c r="A7" s="16"/>
      <c r="B7" t="s">
        <v>22</v>
      </c>
      <c r="C7" s="60">
        <f>Acquirer!D36</f>
        <v>9631</v>
      </c>
      <c r="D7" s="63">
        <f>'Target Calendarized (Acqr FX)'!D36</f>
        <v>869.71215616438349</v>
      </c>
      <c r="E7">
        <f>D7*-1</f>
        <v>-869.71215616438349</v>
      </c>
      <c r="F7" s="63">
        <f>'Deal Terms'!H23*-1</f>
        <v>-500</v>
      </c>
      <c r="I7">
        <f t="shared" ref="I7:I13" si="0">SUM(C7:H7)</f>
        <v>9131</v>
      </c>
    </row>
    <row r="8" spans="1:13" x14ac:dyDescent="0.45">
      <c r="A8" s="16"/>
      <c r="B8" t="s">
        <v>139</v>
      </c>
      <c r="C8" s="60">
        <f>Acquirer!D37</f>
        <v>37840</v>
      </c>
      <c r="D8" s="63">
        <f>'Target Calendarized (Acqr FX)'!D37</f>
        <v>1054.4803589041096</v>
      </c>
      <c r="I8">
        <f t="shared" si="0"/>
        <v>38894.480358904111</v>
      </c>
    </row>
    <row r="9" spans="1:13" x14ac:dyDescent="0.45">
      <c r="A9" s="16"/>
      <c r="B9" t="s">
        <v>47</v>
      </c>
      <c r="C9" s="60">
        <f>Acquirer!D38</f>
        <v>46506</v>
      </c>
      <c r="D9" s="63">
        <f>'Target Calendarized (Acqr FX)'!D38</f>
        <v>1571.1243643835614</v>
      </c>
      <c r="I9">
        <f t="shared" si="0"/>
        <v>48077.124364383562</v>
      </c>
    </row>
    <row r="10" spans="1:13" x14ac:dyDescent="0.45">
      <c r="A10" s="16"/>
      <c r="B10" t="s">
        <v>33</v>
      </c>
      <c r="C10" s="60">
        <f>Acquirer!D39</f>
        <v>20307</v>
      </c>
      <c r="D10" s="63">
        <f>'Target Calendarized (Acqr FX)'!D39</f>
        <v>0</v>
      </c>
      <c r="G10">
        <f>'Deal Terms'!C31</f>
        <v>4325.8846051287674</v>
      </c>
      <c r="I10">
        <f t="shared" si="0"/>
        <v>24632.884605128769</v>
      </c>
    </row>
    <row r="11" spans="1:13" x14ac:dyDescent="0.45">
      <c r="A11" s="16"/>
      <c r="B11" t="s">
        <v>133</v>
      </c>
      <c r="C11" s="60">
        <f>Acquirer!D40</f>
        <v>26280</v>
      </c>
      <c r="D11" s="63">
        <f>'Target Calendarized (Acqr FX)'!D40</f>
        <v>287.4263808219178</v>
      </c>
      <c r="I11">
        <f t="shared" si="0"/>
        <v>26567.426380821918</v>
      </c>
    </row>
    <row r="12" spans="1:13" x14ac:dyDescent="0.45">
      <c r="A12" s="16"/>
      <c r="B12" t="s">
        <v>46</v>
      </c>
      <c r="C12" s="60">
        <f>Acquirer!D41</f>
        <v>2975</v>
      </c>
      <c r="D12" s="63">
        <f>'Target Calendarized (Acqr FX)'!D41</f>
        <v>0</v>
      </c>
      <c r="I12">
        <f t="shared" si="0"/>
        <v>2975</v>
      </c>
    </row>
    <row r="13" spans="1:13" x14ac:dyDescent="0.45">
      <c r="A13" s="16"/>
      <c r="B13" t="s">
        <v>144</v>
      </c>
      <c r="C13" s="60">
        <f>Acquirer!D42</f>
        <v>5651</v>
      </c>
      <c r="D13" s="63">
        <f>'Target Calendarized (Acqr FX)'!D42</f>
        <v>332.58606849315066</v>
      </c>
      <c r="I13">
        <f t="shared" si="0"/>
        <v>5983.5860684931504</v>
      </c>
    </row>
    <row r="14" spans="1:13" x14ac:dyDescent="0.45">
      <c r="A14" s="16"/>
      <c r="B14" t="s">
        <v>24</v>
      </c>
      <c r="C14">
        <f>SUM(C7:C13)</f>
        <v>149190</v>
      </c>
      <c r="D14">
        <f>SUM(D7:D13)</f>
        <v>4115.3293287671231</v>
      </c>
      <c r="I14">
        <f>SUM(I7:I13)</f>
        <v>156261.50177773149</v>
      </c>
    </row>
    <row r="15" spans="1:13" x14ac:dyDescent="0.45">
      <c r="A15" s="16"/>
    </row>
    <row r="16" spans="1:13" x14ac:dyDescent="0.45">
      <c r="A16" s="16"/>
      <c r="B16" t="s">
        <v>83</v>
      </c>
      <c r="C16" s="60">
        <f>Acquirer!D45</f>
        <v>10851</v>
      </c>
      <c r="D16" s="63">
        <f>'Target Calendarized (Acqr FX)'!D45</f>
        <v>391.42250136986303</v>
      </c>
      <c r="E16">
        <f>D16*-1</f>
        <v>-391.42250136986303</v>
      </c>
      <c r="I16">
        <f>SUM(C16:H16)</f>
        <v>10851</v>
      </c>
    </row>
    <row r="17" spans="1:9" x14ac:dyDescent="0.45">
      <c r="A17" s="16"/>
      <c r="B17" t="s">
        <v>140</v>
      </c>
      <c r="C17" s="60">
        <f>Acquirer!D46</f>
        <v>19873</v>
      </c>
      <c r="D17" s="63">
        <f>'Target Calendarized (Acqr FX)'!D46</f>
        <v>609.29239178082196</v>
      </c>
      <c r="I17">
        <f>SUM(C17:H17)</f>
        <v>20482.292391780822</v>
      </c>
    </row>
    <row r="18" spans="1:9" x14ac:dyDescent="0.45">
      <c r="A18" s="16"/>
      <c r="B18" t="s">
        <v>84</v>
      </c>
      <c r="C18" s="60">
        <f>Acquirer!D47</f>
        <v>29923</v>
      </c>
      <c r="D18" s="63">
        <f>'Target Calendarized (Acqr FX)'!D47</f>
        <v>1822.0959424657533</v>
      </c>
      <c r="E18">
        <f>D18*-1</f>
        <v>-1822.0959424657533</v>
      </c>
      <c r="F18" s="63">
        <f>'Deal Terms'!H24</f>
        <v>3696.657334071233</v>
      </c>
      <c r="I18">
        <f>SUM(C18:H18)</f>
        <v>33619.657334071235</v>
      </c>
    </row>
    <row r="19" spans="1:9" x14ac:dyDescent="0.45">
      <c r="A19" s="16"/>
      <c r="B19" t="s">
        <v>151</v>
      </c>
      <c r="C19" s="60">
        <f>Acquirer!D48</f>
        <v>19256</v>
      </c>
      <c r="D19" s="63">
        <f>'Target Calendarized (Acqr FX)'!D48</f>
        <v>112.70100547945205</v>
      </c>
      <c r="I19">
        <f>SUM(C19:H19)</f>
        <v>19368.701005479452</v>
      </c>
    </row>
    <row r="20" spans="1:9" x14ac:dyDescent="0.45">
      <c r="A20" s="16"/>
      <c r="B20" t="s">
        <v>27</v>
      </c>
      <c r="C20" s="63">
        <f>SUM(C16:C19)</f>
        <v>79903</v>
      </c>
      <c r="D20" s="63">
        <f>SUM(D16:D19)</f>
        <v>2935.5118410958903</v>
      </c>
      <c r="I20">
        <f>SUM(I16:I19)</f>
        <v>84321.650731331509</v>
      </c>
    </row>
    <row r="21" spans="1:9" x14ac:dyDescent="0.45">
      <c r="A21" s="16"/>
      <c r="B21" t="s">
        <v>18</v>
      </c>
      <c r="C21" s="60">
        <f>Acquirer!D50</f>
        <v>69287</v>
      </c>
      <c r="D21" s="63">
        <f>'Target Calendarized (Acqr FX)'!D50</f>
        <v>1179.8174876712328</v>
      </c>
      <c r="E21">
        <f>D21*-1</f>
        <v>-1179.8174876712328</v>
      </c>
      <c r="F21" s="63">
        <f>'Deal Terms'!H25</f>
        <v>2752.8510464000001</v>
      </c>
      <c r="H21">
        <f>'Deal Terms'!C25*-1</f>
        <v>-100</v>
      </c>
      <c r="I21">
        <f>SUM(C21:H21)</f>
        <v>71939.851046399999</v>
      </c>
    </row>
    <row r="22" spans="1:9" x14ac:dyDescent="0.45">
      <c r="A22" s="16"/>
      <c r="B22" t="s">
        <v>95</v>
      </c>
      <c r="C22" s="63">
        <f>C20+C21</f>
        <v>149190</v>
      </c>
      <c r="D22" s="63">
        <f>D20+D21</f>
        <v>4115.3293287671231</v>
      </c>
      <c r="I22" s="63">
        <f>SUM(I20:I21)</f>
        <v>156261.50177773152</v>
      </c>
    </row>
    <row r="23" spans="1:9" x14ac:dyDescent="0.45">
      <c r="A23" s="16"/>
    </row>
    <row r="24" spans="1:9" x14ac:dyDescent="0.45">
      <c r="A24" s="16"/>
      <c r="B24" t="s">
        <v>20</v>
      </c>
      <c r="C24" s="63">
        <f>C14-C22</f>
        <v>0</v>
      </c>
      <c r="D24" s="63">
        <f>D14-D22</f>
        <v>0</v>
      </c>
      <c r="I24" s="63">
        <f>I14-I22</f>
        <v>0</v>
      </c>
    </row>
    <row r="25" spans="1:9" x14ac:dyDescent="0.45">
      <c r="A25" s="16"/>
    </row>
    <row r="26" spans="1:9" x14ac:dyDescent="0.45">
      <c r="A26" s="1" t="s">
        <v>69</v>
      </c>
    </row>
  </sheetData>
  <printOptions headings="1" gridLines="1"/>
  <pageMargins left="0.7" right="0.7" top="0.75" bottom="0.75" header="0.3" footer="0.3"/>
  <pageSetup paperSize="9" scale="57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F6A0-CD66-41C3-923E-B4BF5D816934}">
  <sheetPr>
    <pageSetUpPr fitToPage="1"/>
  </sheetPr>
  <dimension ref="A1:W96"/>
  <sheetViews>
    <sheetView zoomScaleNormal="100" workbookViewId="0"/>
  </sheetViews>
  <sheetFormatPr defaultRowHeight="15.75" x14ac:dyDescent="0.45"/>
  <cols>
    <col min="1" max="1" width="2.1328125" style="1" customWidth="1"/>
    <col min="2" max="2" width="33.1328125" customWidth="1"/>
    <col min="3" max="3" width="16.1328125" bestFit="1" customWidth="1"/>
    <col min="4" max="10" width="11.1328125" customWidth="1"/>
  </cols>
  <sheetData>
    <row r="1" spans="1:12" s="46" customFormat="1" ht="45" customHeight="1" x14ac:dyDescent="0.85">
      <c r="A1" s="6" t="str">
        <f>Welcome!A2</f>
        <v>M&amp;A Modeling</v>
      </c>
      <c r="B1" s="11"/>
      <c r="C1" s="13"/>
      <c r="D1" s="13"/>
      <c r="E1" s="13"/>
      <c r="F1" s="13"/>
      <c r="G1" s="13"/>
      <c r="H1" s="13"/>
      <c r="I1" s="13"/>
      <c r="J1" s="13"/>
      <c r="L1" s="61"/>
    </row>
    <row r="2" spans="1:12" s="35" customFormat="1" ht="30" customHeight="1" x14ac:dyDescent="0.65">
      <c r="A2" s="15" t="s">
        <v>64</v>
      </c>
      <c r="B2" s="8"/>
      <c r="C2" s="12"/>
      <c r="D2" s="12" t="s">
        <v>35</v>
      </c>
      <c r="E2" s="12" t="s">
        <v>36</v>
      </c>
      <c r="F2" s="12" t="s">
        <v>37</v>
      </c>
      <c r="G2" s="12"/>
      <c r="H2" s="12"/>
      <c r="I2" s="12"/>
      <c r="J2" s="12"/>
      <c r="L2" s="62"/>
    </row>
    <row r="3" spans="1:12" ht="15" customHeight="1" x14ac:dyDescent="0.45"/>
    <row r="4" spans="1:12" ht="15" customHeight="1" x14ac:dyDescent="0.45">
      <c r="B4" t="s">
        <v>4</v>
      </c>
      <c r="D4" t="s">
        <v>98</v>
      </c>
    </row>
    <row r="5" spans="1:12" ht="15" customHeight="1" x14ac:dyDescent="0.45"/>
    <row r="6" spans="1:12" x14ac:dyDescent="0.45">
      <c r="A6" s="16" t="s">
        <v>70</v>
      </c>
      <c r="D6" s="66"/>
      <c r="E6" s="66"/>
      <c r="F6" s="66"/>
    </row>
    <row r="7" spans="1:12" x14ac:dyDescent="0.45">
      <c r="A7" s="16"/>
      <c r="B7" t="s">
        <v>61</v>
      </c>
      <c r="E7" s="68">
        <v>0.28000000000000003</v>
      </c>
      <c r="F7" s="68">
        <v>0.28000000000000003</v>
      </c>
      <c r="G7" s="81"/>
    </row>
    <row r="8" spans="1:12" x14ac:dyDescent="0.45">
      <c r="A8" s="16"/>
      <c r="B8" t="s">
        <v>80</v>
      </c>
      <c r="E8" s="68">
        <v>0.05</v>
      </c>
      <c r="F8" s="68">
        <v>0.05</v>
      </c>
      <c r="G8" s="81"/>
    </row>
    <row r="9" spans="1:12" x14ac:dyDescent="0.45">
      <c r="A9" s="16"/>
      <c r="B9" t="s">
        <v>120</v>
      </c>
      <c r="E9" s="68">
        <v>0.5</v>
      </c>
      <c r="F9" s="68">
        <v>1</v>
      </c>
      <c r="G9" s="81"/>
    </row>
    <row r="10" spans="1:12" x14ac:dyDescent="0.45">
      <c r="A10" s="16"/>
      <c r="B10" t="s">
        <v>59</v>
      </c>
      <c r="E10">
        <f>'Target Calendarized (Acqr FX)'!$D$25*Proforma!E8*Proforma!E9</f>
        <v>77.955382945205486</v>
      </c>
      <c r="F10">
        <f>'Target Calendarized (Acqr FX)'!$D$25*Proforma!F8*Proforma!F9</f>
        <v>155.91076589041097</v>
      </c>
      <c r="G10" s="81"/>
    </row>
    <row r="11" spans="1:12" x14ac:dyDescent="0.45">
      <c r="A11" s="16"/>
      <c r="B11" t="s">
        <v>60</v>
      </c>
      <c r="E11" s="65">
        <v>-10</v>
      </c>
      <c r="F11" s="65">
        <v>-5</v>
      </c>
    </row>
    <row r="12" spans="1:12" x14ac:dyDescent="0.45">
      <c r="A12" s="16"/>
      <c r="B12" t="s">
        <v>160</v>
      </c>
      <c r="E12" s="65">
        <v>0</v>
      </c>
      <c r="F12" s="65">
        <v>0</v>
      </c>
    </row>
    <row r="13" spans="1:12" x14ac:dyDescent="0.45">
      <c r="A13" s="16"/>
    </row>
    <row r="14" spans="1:12" x14ac:dyDescent="0.45">
      <c r="A14" s="16" t="s">
        <v>72</v>
      </c>
    </row>
    <row r="15" spans="1:12" x14ac:dyDescent="0.45">
      <c r="B15" t="s">
        <v>17</v>
      </c>
      <c r="E15" s="63">
        <f>Acquirer!E25+'Target Calendarized (Acqr FX)'!E25</f>
        <v>83369.847445164385</v>
      </c>
      <c r="F15" s="63">
        <f>Acquirer!F25+'Target Calendarized (Acqr FX)'!F25</f>
        <v>85697.121117610921</v>
      </c>
    </row>
    <row r="16" spans="1:12" x14ac:dyDescent="0.45">
      <c r="B16" t="s">
        <v>169</v>
      </c>
      <c r="E16" s="63">
        <f>Acquirer!E26+'Target Calendarized (Acqr FX)'!E26+E10</f>
        <v>16866.512561815383</v>
      </c>
      <c r="F16" s="63">
        <f>Acquirer!F26+'Target Calendarized (Acqr FX)'!F26+F10</f>
        <v>17944.843722288813</v>
      </c>
    </row>
    <row r="17" spans="1:22" x14ac:dyDescent="0.45">
      <c r="B17" t="s">
        <v>60</v>
      </c>
      <c r="E17" s="63">
        <f>E11</f>
        <v>-10</v>
      </c>
      <c r="F17" s="63">
        <f>F11</f>
        <v>-5</v>
      </c>
    </row>
    <row r="18" spans="1:22" x14ac:dyDescent="0.45">
      <c r="B18" t="s">
        <v>34</v>
      </c>
      <c r="E18" s="63">
        <f>IF(switch=1,E44+E45,0)*-1</f>
        <v>0</v>
      </c>
      <c r="F18" s="63">
        <f>IF(switch=1,F44+F45,0)*-1</f>
        <v>0</v>
      </c>
    </row>
    <row r="19" spans="1:22" x14ac:dyDescent="0.45">
      <c r="B19" t="s">
        <v>106</v>
      </c>
      <c r="E19" s="63">
        <f>E55*-1</f>
        <v>63.767185726224398</v>
      </c>
      <c r="F19" s="63">
        <f>F55*-1</f>
        <v>55.18314149384787</v>
      </c>
    </row>
    <row r="20" spans="1:22" x14ac:dyDescent="0.45">
      <c r="B20" t="s">
        <v>43</v>
      </c>
      <c r="E20" s="63">
        <f>SUM(E16:E19)</f>
        <v>16920.279747541608</v>
      </c>
      <c r="F20" s="63">
        <f>SUM(F16:F19)</f>
        <v>17995.026863782659</v>
      </c>
    </row>
    <row r="21" spans="1:22" x14ac:dyDescent="0.45">
      <c r="B21" t="s">
        <v>44</v>
      </c>
      <c r="E21" s="63">
        <f>E7*E20*-1</f>
        <v>-4737.6783293116505</v>
      </c>
      <c r="F21" s="63">
        <f>F7*F20*-1</f>
        <v>-5038.607521859145</v>
      </c>
    </row>
    <row r="22" spans="1:22" x14ac:dyDescent="0.45">
      <c r="B22" t="s">
        <v>25</v>
      </c>
      <c r="E22" s="63">
        <f>SUM(E20:E21)</f>
        <v>12182.601418229959</v>
      </c>
      <c r="F22" s="63">
        <f>SUM(F20:F21)</f>
        <v>12956.419341923514</v>
      </c>
    </row>
    <row r="24" spans="1:22" x14ac:dyDescent="0.45">
      <c r="A24" s="16" t="s">
        <v>73</v>
      </c>
    </row>
    <row r="25" spans="1:22" x14ac:dyDescent="0.45">
      <c r="A25" s="16"/>
      <c r="B25" t="s">
        <v>22</v>
      </c>
      <c r="C25" s="78"/>
      <c r="D25" s="69">
        <f>'Opening BS'!I7</f>
        <v>9131</v>
      </c>
      <c r="E25" s="63">
        <f>MAX(E76,0)</f>
        <v>12396.081697357724</v>
      </c>
      <c r="F25" s="63">
        <f>MAX(F76,0)</f>
        <v>27248.944789058281</v>
      </c>
    </row>
    <row r="26" spans="1:22" x14ac:dyDescent="0.45">
      <c r="A26" s="16"/>
      <c r="B26" t="s">
        <v>139</v>
      </c>
      <c r="C26" s="78"/>
      <c r="D26" s="69">
        <f>'Opening BS'!I8</f>
        <v>38894.480358904111</v>
      </c>
      <c r="E26" s="63">
        <f>Acquirer!E37+'Target Calendarized (Acqr FX)'!E37</f>
        <v>37194.862062794244</v>
      </c>
      <c r="F26" s="63">
        <f>Acquirer!F37+'Target Calendarized (Acqr FX)'!F37</f>
        <v>38229.680165828911</v>
      </c>
    </row>
    <row r="27" spans="1:22" x14ac:dyDescent="0.45">
      <c r="A27" s="16"/>
      <c r="B27" t="s">
        <v>47</v>
      </c>
      <c r="C27" s="78"/>
      <c r="D27" s="69">
        <f>'Opening BS'!I9</f>
        <v>48077.124364383562</v>
      </c>
      <c r="E27" s="63">
        <f>Acquirer!E38+'Target Calendarized (Acqr FX)'!E38</f>
        <v>48303.757039908349</v>
      </c>
      <c r="F27" s="63">
        <f>Acquirer!F38+'Target Calendarized (Acqr FX)'!F38</f>
        <v>48587.586707085298</v>
      </c>
    </row>
    <row r="28" spans="1:22" x14ac:dyDescent="0.45">
      <c r="A28" s="16"/>
      <c r="B28" t="s">
        <v>33</v>
      </c>
      <c r="C28" s="78"/>
      <c r="D28" s="69">
        <f>'Opening BS'!I10</f>
        <v>24632.884605128769</v>
      </c>
      <c r="E28" s="63">
        <f>D28</f>
        <v>24632.884605128769</v>
      </c>
      <c r="F28" s="63">
        <f>E28</f>
        <v>24632.884605128769</v>
      </c>
    </row>
    <row r="29" spans="1:22" x14ac:dyDescent="0.45">
      <c r="A29" s="16"/>
      <c r="B29" t="s">
        <v>133</v>
      </c>
      <c r="C29" s="78"/>
      <c r="D29" s="69">
        <f>'Opening BS'!I11</f>
        <v>26567.426380821918</v>
      </c>
      <c r="E29" s="63">
        <f>Acquirer!E40+'Target Calendarized (Acqr FX)'!E40</f>
        <v>23907.324020547945</v>
      </c>
      <c r="F29" s="63">
        <f>Acquirer!F40+'Target Calendarized (Acqr FX)'!F40</f>
        <v>21516.591618493148</v>
      </c>
    </row>
    <row r="30" spans="1:22" x14ac:dyDescent="0.45">
      <c r="A30" s="16"/>
      <c r="B30" t="s">
        <v>46</v>
      </c>
      <c r="C30" s="78"/>
      <c r="D30" s="69">
        <f>'Opening BS'!I12</f>
        <v>2975</v>
      </c>
      <c r="E30" s="63">
        <f>Acquirer!E41+'Target Calendarized (Acqr FX)'!E41</f>
        <v>2975</v>
      </c>
      <c r="F30" s="63">
        <f>Acquirer!F41+'Target Calendarized (Acqr FX)'!F41</f>
        <v>2975</v>
      </c>
    </row>
    <row r="31" spans="1:22" x14ac:dyDescent="0.45">
      <c r="A31" s="16"/>
      <c r="B31" t="s">
        <v>144</v>
      </c>
      <c r="C31" s="78"/>
      <c r="D31" s="69">
        <f>'Opening BS'!I13</f>
        <v>5983.5860684931504</v>
      </c>
      <c r="E31" s="63">
        <f>Acquirer!E42+'Target Calendarized (Acqr FX)'!E42</f>
        <v>5723.5972738131231</v>
      </c>
      <c r="F31" s="63">
        <f>Acquirer!F42+'Target Calendarized (Acqr FX)'!F42</f>
        <v>5884.4266043664047</v>
      </c>
    </row>
    <row r="32" spans="1:22" s="70" customFormat="1" x14ac:dyDescent="0.45">
      <c r="A32" s="16"/>
      <c r="B32" t="s">
        <v>24</v>
      </c>
      <c r="C32" s="78"/>
      <c r="D32" s="69">
        <f>SUM(D25:D31)</f>
        <v>156261.50177773149</v>
      </c>
      <c r="E32" s="69">
        <f>SUM(E25:E31)</f>
        <v>155133.50669955017</v>
      </c>
      <c r="F32" s="69">
        <f>SUM(F25:F31)</f>
        <v>169075.11448996078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x14ac:dyDescent="0.45">
      <c r="A33" s="16"/>
      <c r="C33" s="78"/>
      <c r="D33" s="69"/>
    </row>
    <row r="34" spans="1:22" x14ac:dyDescent="0.45">
      <c r="A34" s="16"/>
      <c r="B34" t="s">
        <v>83</v>
      </c>
      <c r="C34" s="78"/>
      <c r="D34" s="69">
        <f>'Opening BS'!I16</f>
        <v>10851</v>
      </c>
      <c r="E34" s="63">
        <f>MIN(E76,0)*-1</f>
        <v>0</v>
      </c>
      <c r="F34" s="63">
        <f>MIN(F76,0)*-1</f>
        <v>0</v>
      </c>
    </row>
    <row r="35" spans="1:22" x14ac:dyDescent="0.45">
      <c r="A35" s="16"/>
      <c r="B35" t="s">
        <v>140</v>
      </c>
      <c r="C35" s="78"/>
      <c r="D35" s="69">
        <f>'Opening BS'!I17</f>
        <v>20482.292391780822</v>
      </c>
      <c r="E35" s="63">
        <f>Acquirer!E46+'Target Calendarized (Acqr FX)'!E46</f>
        <v>19086.82415537534</v>
      </c>
      <c r="F35" s="63">
        <f>Acquirer!F46+'Target Calendarized (Acqr FX)'!F46</f>
        <v>19619.240310569785</v>
      </c>
    </row>
    <row r="36" spans="1:22" x14ac:dyDescent="0.45">
      <c r="A36" s="16"/>
      <c r="B36" t="s">
        <v>84</v>
      </c>
      <c r="C36" s="78"/>
      <c r="D36" s="69">
        <f>'Opening BS'!I18</f>
        <v>33619.657334071235</v>
      </c>
      <c r="E36" s="63">
        <f>Acquirer!E47+E56</f>
        <v>33555.89014834501</v>
      </c>
      <c r="F36" s="63">
        <f>Acquirer!F47+F56</f>
        <v>33500.70700685116</v>
      </c>
    </row>
    <row r="37" spans="1:22" x14ac:dyDescent="0.45">
      <c r="A37" s="16"/>
      <c r="B37" t="s">
        <v>85</v>
      </c>
      <c r="C37" s="78"/>
      <c r="D37" s="69">
        <f>'Opening BS'!I19</f>
        <v>19368.701005479452</v>
      </c>
      <c r="E37" s="63">
        <f>Acquirer!E48+'Target Calendarized (Acqr FX)'!E48</f>
        <v>18368.339931199851</v>
      </c>
      <c r="F37" s="63">
        <f>Acquirer!F48+'Target Calendarized (Acqr FX)'!F48</f>
        <v>18876.295365986403</v>
      </c>
    </row>
    <row r="38" spans="1:22" s="70" customFormat="1" x14ac:dyDescent="0.45">
      <c r="A38" s="16"/>
      <c r="B38" t="s">
        <v>27</v>
      </c>
      <c r="C38" s="78"/>
      <c r="D38" s="69">
        <f>SUM(D34:D37)</f>
        <v>84321.650731331509</v>
      </c>
      <c r="E38" s="69">
        <f>SUM(E34:E37)</f>
        <v>71011.054234920201</v>
      </c>
      <c r="F38" s="69">
        <f>SUM(F34:F37)</f>
        <v>71996.242683407341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x14ac:dyDescent="0.45">
      <c r="A39" s="16"/>
      <c r="B39" t="s">
        <v>18</v>
      </c>
      <c r="C39" s="78"/>
      <c r="D39" s="69">
        <f>'Opening BS'!I21</f>
        <v>71939.851046399999</v>
      </c>
      <c r="E39">
        <f>D39+E22</f>
        <v>84122.452464629954</v>
      </c>
      <c r="F39">
        <f>E39+F22</f>
        <v>97078.871806553463</v>
      </c>
    </row>
    <row r="40" spans="1:22" s="70" customFormat="1" x14ac:dyDescent="0.45">
      <c r="A40" s="16"/>
      <c r="B40" t="s">
        <v>95</v>
      </c>
      <c r="C40" s="78"/>
      <c r="D40" s="69">
        <f>SUM(D38:D39)</f>
        <v>156261.50177773152</v>
      </c>
      <c r="E40" s="69">
        <f>SUM(E38:E39)</f>
        <v>155133.50669955014</v>
      </c>
      <c r="F40" s="69">
        <f>SUM(F38:F39)</f>
        <v>169075.1144899608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x14ac:dyDescent="0.45">
      <c r="A41" s="16"/>
      <c r="C41" s="78"/>
      <c r="D41" s="69"/>
    </row>
    <row r="42" spans="1:22" x14ac:dyDescent="0.45">
      <c r="A42" s="16"/>
      <c r="B42" t="s">
        <v>20</v>
      </c>
      <c r="C42" s="78"/>
      <c r="D42" s="69">
        <f>D40-D32</f>
        <v>0</v>
      </c>
      <c r="E42" s="69">
        <f>E40-E32</f>
        <v>0</v>
      </c>
      <c r="F42" s="69">
        <f>F40-F32</f>
        <v>0</v>
      </c>
    </row>
    <row r="43" spans="1:22" x14ac:dyDescent="0.45">
      <c r="A43" s="16"/>
    </row>
    <row r="44" spans="1:22" x14ac:dyDescent="0.45">
      <c r="A44" s="16"/>
      <c r="B44" t="s">
        <v>91</v>
      </c>
      <c r="E44" s="63">
        <f>Acquirer!E$12*AVERAGE(D34:E34)</f>
        <v>271.27500000000003</v>
      </c>
      <c r="F44" s="63">
        <f>Acquirer!F$12*AVERAGE(E34:F34)</f>
        <v>0</v>
      </c>
    </row>
    <row r="45" spans="1:22" x14ac:dyDescent="0.45">
      <c r="A45" s="16"/>
      <c r="B45" t="s">
        <v>92</v>
      </c>
      <c r="E45" s="63">
        <f>Acquirer!E$12*AVERAGE(D36:E36)</f>
        <v>1679.388687060406</v>
      </c>
      <c r="F45" s="63">
        <f>Acquirer!F$12*AVERAGE(E36:F36)</f>
        <v>1676.4149288799044</v>
      </c>
      <c r="R45" s="82"/>
    </row>
    <row r="46" spans="1:22" x14ac:dyDescent="0.45">
      <c r="A46" s="16"/>
      <c r="R46" s="82"/>
    </row>
    <row r="47" spans="1:22" x14ac:dyDescent="0.45">
      <c r="A47" s="16" t="s">
        <v>57</v>
      </c>
    </row>
    <row r="48" spans="1:22" x14ac:dyDescent="0.45">
      <c r="A48" s="16"/>
      <c r="B48" t="s">
        <v>161</v>
      </c>
      <c r="E48">
        <f>D50</f>
        <v>3065.7300829915685</v>
      </c>
      <c r="F48">
        <f>E50</f>
        <v>3065.7300829915685</v>
      </c>
    </row>
    <row r="49" spans="1:23" x14ac:dyDescent="0.45">
      <c r="A49" s="16"/>
      <c r="B49" t="s">
        <v>162</v>
      </c>
      <c r="E49">
        <f>E12</f>
        <v>0</v>
      </c>
      <c r="F49">
        <f>F12</f>
        <v>0</v>
      </c>
    </row>
    <row r="50" spans="1:23" x14ac:dyDescent="0.45">
      <c r="A50" s="16"/>
      <c r="B50" t="s">
        <v>163</v>
      </c>
      <c r="C50" s="78"/>
      <c r="D50">
        <f>D56/D51</f>
        <v>3065.7300829915685</v>
      </c>
      <c r="E50">
        <f>SUM(E48:E49)</f>
        <v>3065.7300829915685</v>
      </c>
      <c r="F50">
        <f>SUM(F48:F49)</f>
        <v>3065.7300829915685</v>
      </c>
    </row>
    <row r="51" spans="1:23" x14ac:dyDescent="0.45">
      <c r="A51" s="16"/>
      <c r="B51" t="s">
        <v>164</v>
      </c>
      <c r="C51" s="78"/>
      <c r="D51" s="74">
        <f>FX</f>
        <v>1.2058</v>
      </c>
      <c r="E51" s="71">
        <v>1.1850000000000001</v>
      </c>
      <c r="F51" s="71">
        <v>1.167</v>
      </c>
      <c r="T51" s="82"/>
      <c r="U51" s="82"/>
      <c r="W51" s="82"/>
    </row>
    <row r="52" spans="1:23" x14ac:dyDescent="0.45">
      <c r="A52" s="16"/>
      <c r="T52" s="83"/>
      <c r="U52" s="82"/>
      <c r="W52" s="82"/>
    </row>
    <row r="53" spans="1:23" x14ac:dyDescent="0.45">
      <c r="A53" s="16"/>
      <c r="B53" t="s">
        <v>118</v>
      </c>
      <c r="E53">
        <f>D56</f>
        <v>3696.657334071233</v>
      </c>
      <c r="F53">
        <f>E56</f>
        <v>3632.8901483450086</v>
      </c>
      <c r="T53" s="83"/>
      <c r="U53" s="82"/>
      <c r="W53" s="82"/>
    </row>
    <row r="54" spans="1:23" x14ac:dyDescent="0.45">
      <c r="A54" s="16"/>
      <c r="B54" t="s">
        <v>121</v>
      </c>
      <c r="E54">
        <f>E49*E51</f>
        <v>0</v>
      </c>
      <c r="F54">
        <f>F49*F51</f>
        <v>0</v>
      </c>
    </row>
    <row r="55" spans="1:23" x14ac:dyDescent="0.45">
      <c r="A55" s="16"/>
      <c r="B55" t="s">
        <v>105</v>
      </c>
      <c r="E55">
        <f>E56-E53-E54</f>
        <v>-63.767185726224398</v>
      </c>
      <c r="F55">
        <f>F56-F53-F54</f>
        <v>-55.18314149384787</v>
      </c>
    </row>
    <row r="56" spans="1:23" x14ac:dyDescent="0.45">
      <c r="A56" s="16"/>
      <c r="B56" t="s">
        <v>119</v>
      </c>
      <c r="C56" s="78"/>
      <c r="D56">
        <f>'Deal Terms'!H24</f>
        <v>3696.657334071233</v>
      </c>
      <c r="E56">
        <f>E50*E51</f>
        <v>3632.8901483450086</v>
      </c>
      <c r="F56">
        <f>F50*F51</f>
        <v>3577.7070068511607</v>
      </c>
    </row>
    <row r="57" spans="1:23" x14ac:dyDescent="0.45">
      <c r="A57" s="16"/>
    </row>
    <row r="58" spans="1:23" x14ac:dyDescent="0.45">
      <c r="A58" s="16" t="s">
        <v>75</v>
      </c>
    </row>
    <row r="59" spans="1:23" x14ac:dyDescent="0.45">
      <c r="A59" s="16"/>
      <c r="B59" t="s">
        <v>25</v>
      </c>
      <c r="E59" s="63">
        <f>E22</f>
        <v>12182.601418229959</v>
      </c>
      <c r="F59" s="63">
        <f>F22</f>
        <v>12956.419341923514</v>
      </c>
    </row>
    <row r="60" spans="1:23" x14ac:dyDescent="0.45">
      <c r="A60" s="16"/>
      <c r="B60" s="77" t="s">
        <v>123</v>
      </c>
      <c r="E60" s="63">
        <f>Acquirer!E78+'Target Calendarized (Acqr FX)'!E78</f>
        <v>5148.1532356580819</v>
      </c>
      <c r="F60" s="63">
        <f>Acquirer!F78+'Target Calendarized (Acqr FX)'!F78</f>
        <v>5240.934432227401</v>
      </c>
    </row>
    <row r="61" spans="1:23" x14ac:dyDescent="0.45">
      <c r="A61" s="16"/>
      <c r="B61" s="77" t="s">
        <v>124</v>
      </c>
      <c r="E61" s="63">
        <f>Acquirer!E79+'Target Calendarized (Acqr FX)'!E79</f>
        <v>2660.1023602739724</v>
      </c>
      <c r="F61" s="63">
        <f>Acquirer!F79+'Target Calendarized (Acqr FX)'!F79</f>
        <v>2390.7324020547949</v>
      </c>
    </row>
    <row r="62" spans="1:23" x14ac:dyDescent="0.45">
      <c r="A62" s="16"/>
      <c r="B62" s="77" t="s">
        <v>125</v>
      </c>
      <c r="E62" s="63">
        <f>E55</f>
        <v>-63.767185726224398</v>
      </c>
      <c r="F62" s="63">
        <f>F55</f>
        <v>-55.18314149384787</v>
      </c>
    </row>
    <row r="63" spans="1:23" x14ac:dyDescent="0.45">
      <c r="A63" s="16"/>
      <c r="B63" t="s">
        <v>49</v>
      </c>
      <c r="E63" s="63">
        <f>D26-E26</f>
        <v>1699.6182961098675</v>
      </c>
      <c r="F63" s="63">
        <f>E26-F26</f>
        <v>-1034.8181030346677</v>
      </c>
    </row>
    <row r="64" spans="1:23" x14ac:dyDescent="0.45">
      <c r="A64" s="16"/>
      <c r="B64" t="s">
        <v>168</v>
      </c>
      <c r="E64" s="63">
        <f>D31-E31</f>
        <v>259.98879468002724</v>
      </c>
      <c r="F64" s="63">
        <f>E31-F31</f>
        <v>-160.82933055328158</v>
      </c>
    </row>
    <row r="65" spans="1:6" x14ac:dyDescent="0.45">
      <c r="A65" s="80"/>
      <c r="B65" t="s">
        <v>50</v>
      </c>
      <c r="E65" s="63">
        <f>E35-D35</f>
        <v>-1395.4682364054825</v>
      </c>
      <c r="F65" s="63">
        <f>F35-E35</f>
        <v>532.41615519444531</v>
      </c>
    </row>
    <row r="66" spans="1:6" x14ac:dyDescent="0.45">
      <c r="A66" s="16"/>
      <c r="B66" t="s">
        <v>51</v>
      </c>
      <c r="E66" s="63">
        <f>E37-D37</f>
        <v>-1000.3610742796009</v>
      </c>
      <c r="F66" s="63">
        <f>F37-E37</f>
        <v>507.95543478655236</v>
      </c>
    </row>
    <row r="67" spans="1:6" x14ac:dyDescent="0.45">
      <c r="A67" s="16"/>
      <c r="B67" t="s">
        <v>23</v>
      </c>
      <c r="E67" s="63">
        <f>SUM(E59:E66)</f>
        <v>19490.8676085406</v>
      </c>
      <c r="F67" s="63">
        <f>SUM(F59:F66)</f>
        <v>20377.627191104908</v>
      </c>
    </row>
    <row r="68" spans="1:6" x14ac:dyDescent="0.45">
      <c r="A68" s="16"/>
    </row>
    <row r="69" spans="1:6" x14ac:dyDescent="0.45">
      <c r="A69" s="16"/>
      <c r="B69" t="s">
        <v>21</v>
      </c>
      <c r="E69" s="63">
        <f>Acquirer!E86+'Target Calendarized (Acqr FX)'!E86</f>
        <v>-5374.7859111828775</v>
      </c>
      <c r="F69" s="63">
        <f>Acquirer!F86+'Target Calendarized (Acqr FX)'!F86</f>
        <v>-5524.7640994043459</v>
      </c>
    </row>
    <row r="70" spans="1:6" x14ac:dyDescent="0.45">
      <c r="A70" s="16"/>
      <c r="B70" t="s">
        <v>28</v>
      </c>
      <c r="E70" s="63">
        <f>SUM(E69)</f>
        <v>-5374.7859111828775</v>
      </c>
      <c r="F70" s="63">
        <f>SUM(F69)</f>
        <v>-5524.7640994043459</v>
      </c>
    </row>
    <row r="71" spans="1:6" x14ac:dyDescent="0.45">
      <c r="A71" s="16"/>
    </row>
    <row r="72" spans="1:6" x14ac:dyDescent="0.45">
      <c r="A72" s="16"/>
      <c r="B72" t="s">
        <v>122</v>
      </c>
      <c r="E72" s="63">
        <f>E36-D36-E55</f>
        <v>-4.5474735088646412E-13</v>
      </c>
      <c r="F72" s="63">
        <f>F36-E36-F55</f>
        <v>-1.8189894035458565E-12</v>
      </c>
    </row>
    <row r="73" spans="1:6" x14ac:dyDescent="0.45">
      <c r="A73" s="16"/>
      <c r="B73" t="s">
        <v>30</v>
      </c>
      <c r="E73" s="63">
        <f>SUM(E72)</f>
        <v>-4.5474735088646412E-13</v>
      </c>
      <c r="F73" s="63">
        <f>SUM(F72)</f>
        <v>-1.8189894035458565E-12</v>
      </c>
    </row>
    <row r="74" spans="1:6" x14ac:dyDescent="0.45">
      <c r="A74" s="16"/>
    </row>
    <row r="75" spans="1:6" x14ac:dyDescent="0.45">
      <c r="A75" s="16"/>
      <c r="B75" t="s">
        <v>31</v>
      </c>
      <c r="E75" s="63">
        <f>SUM(E67,E70,E73)</f>
        <v>14116.081697357724</v>
      </c>
      <c r="F75" s="63">
        <f>SUM(F67,F70,F73)</f>
        <v>14852.863091700559</v>
      </c>
    </row>
    <row r="76" spans="1:6" x14ac:dyDescent="0.45">
      <c r="A76" s="16"/>
      <c r="B76" t="s">
        <v>94</v>
      </c>
      <c r="D76" s="63">
        <f>D25-D34</f>
        <v>-1720</v>
      </c>
      <c r="E76" s="63">
        <f>D76+E75</f>
        <v>12396.081697357724</v>
      </c>
      <c r="F76" s="63">
        <f>E76+F75</f>
        <v>27248.944789058281</v>
      </c>
    </row>
    <row r="78" spans="1:6" x14ac:dyDescent="0.45">
      <c r="A78" s="1" t="s">
        <v>112</v>
      </c>
    </row>
    <row r="79" spans="1:6" x14ac:dyDescent="0.45">
      <c r="B79" t="s">
        <v>109</v>
      </c>
      <c r="D79" s="71">
        <v>656.7</v>
      </c>
    </row>
    <row r="80" spans="1:6" x14ac:dyDescent="0.45">
      <c r="B80" t="s">
        <v>110</v>
      </c>
      <c r="D80">
        <f>Acquirer!D22</f>
        <v>499.41251499999998</v>
      </c>
    </row>
    <row r="81" spans="1:6" x14ac:dyDescent="0.45">
      <c r="B81" t="s">
        <v>111</v>
      </c>
      <c r="D81">
        <f>'Deal Terms'!H25/D79</f>
        <v>4.1919461647632099</v>
      </c>
    </row>
    <row r="82" spans="1:6" x14ac:dyDescent="0.45">
      <c r="B82" t="s">
        <v>108</v>
      </c>
      <c r="D82">
        <f>SUM(D80:D81)</f>
        <v>503.60446116476322</v>
      </c>
    </row>
    <row r="84" spans="1:6" x14ac:dyDescent="0.45">
      <c r="A84" s="1" t="s">
        <v>117</v>
      </c>
    </row>
    <row r="85" spans="1:6" x14ac:dyDescent="0.45">
      <c r="B85" t="s">
        <v>107</v>
      </c>
      <c r="E85">
        <f>E22</f>
        <v>12182.601418229959</v>
      </c>
      <c r="F85">
        <f>F22</f>
        <v>12956.419341923514</v>
      </c>
    </row>
    <row r="86" spans="1:6" x14ac:dyDescent="0.45">
      <c r="B86" t="s">
        <v>108</v>
      </c>
      <c r="E86">
        <f>$D$82</f>
        <v>503.60446116476322</v>
      </c>
      <c r="F86">
        <f>$D$82</f>
        <v>503.60446116476322</v>
      </c>
    </row>
    <row r="87" spans="1:6" x14ac:dyDescent="0.45">
      <c r="B87" t="s">
        <v>113</v>
      </c>
      <c r="E87" s="74">
        <f>E85/E86</f>
        <v>24.190813143420907</v>
      </c>
      <c r="F87" s="74">
        <f>F85/F86</f>
        <v>25.727372056945679</v>
      </c>
    </row>
    <row r="88" spans="1:6" x14ac:dyDescent="0.45">
      <c r="B88" t="s">
        <v>114</v>
      </c>
      <c r="E88" s="74">
        <f>Acquirer!E33</f>
        <v>23.839167693882281</v>
      </c>
      <c r="F88" s="74">
        <f>Acquirer!F33</f>
        <v>25.088846807311537</v>
      </c>
    </row>
    <row r="89" spans="1:6" x14ac:dyDescent="0.45">
      <c r="B89" t="s">
        <v>117</v>
      </c>
      <c r="E89" s="73">
        <f>E87/E88-1</f>
        <v>1.475074356848749E-2</v>
      </c>
      <c r="F89" s="73">
        <f>F87/F88-1</f>
        <v>2.5450561938465066E-2</v>
      </c>
    </row>
    <row r="91" spans="1:6" x14ac:dyDescent="0.45">
      <c r="A91" s="1" t="s">
        <v>165</v>
      </c>
    </row>
    <row r="92" spans="1:6" x14ac:dyDescent="0.45">
      <c r="B92" t="s">
        <v>166</v>
      </c>
      <c r="E92">
        <f>SUM(E16,E60:E61)</f>
        <v>24674.76815774744</v>
      </c>
      <c r="F92">
        <f>SUM(F16,F60:F61)</f>
        <v>25576.510556571011</v>
      </c>
    </row>
    <row r="93" spans="1:6" x14ac:dyDescent="0.45">
      <c r="B93" t="s">
        <v>177</v>
      </c>
      <c r="E93">
        <f>SUM(E34,E36)</f>
        <v>33555.89014834501</v>
      </c>
      <c r="F93">
        <f>SUM(F34,F36)</f>
        <v>33500.70700685116</v>
      </c>
    </row>
    <row r="94" spans="1:6" x14ac:dyDescent="0.45">
      <c r="B94" t="s">
        <v>178</v>
      </c>
      <c r="E94" s="76">
        <f>E93/E92</f>
        <v>1.3599272720140658</v>
      </c>
      <c r="F94" s="76">
        <f>F93/F92</f>
        <v>1.3098232040978826</v>
      </c>
    </row>
    <row r="95" spans="1:6" x14ac:dyDescent="0.45">
      <c r="B95" t="s">
        <v>179</v>
      </c>
      <c r="E95" s="76">
        <f>SUM(Acquirer!E45,Acquirer!E47)/SUM(Acquirer!E26,Acquirer!E78:E79)</f>
        <v>1.2341237676453032</v>
      </c>
      <c r="F95" s="76">
        <f>SUM(Acquirer!F45,Acquirer!F47)/SUM(Acquirer!F26,Acquirer!F78:F79)</f>
        <v>1.1972302361491536</v>
      </c>
    </row>
    <row r="96" spans="1:6" x14ac:dyDescent="0.45">
      <c r="A96" s="1" t="s">
        <v>69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300" verticalDpi="300" r:id="rId1"/>
  <rowBreaks count="3" manualBreakCount="3">
    <brk id="33" max="12" man="1"/>
    <brk id="57" max="12" man="1"/>
    <brk id="77" max="12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2b6fef63d679249b4bcc623f0c88418b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d0df55920a0e65a40b303784eca8fcfc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E24B6C73-365B-440C-B3EA-C297ABD4D5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73AA30-C43F-44D5-836E-2FD58D4DF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D2C86-8BBF-4F0F-8C69-A7D8BB70F01D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Welcome</vt:lpstr>
      <vt:lpstr>Info</vt:lpstr>
      <vt:lpstr>Deal Terms</vt:lpstr>
      <vt:lpstr>Acquirer</vt:lpstr>
      <vt:lpstr>Target (Local FX)</vt:lpstr>
      <vt:lpstr>Target Calendarized (Acqr FX)</vt:lpstr>
      <vt:lpstr>Opening BS</vt:lpstr>
      <vt:lpstr>Proforma</vt:lpstr>
      <vt:lpstr>AcquirerLFY</vt:lpstr>
      <vt:lpstr>Calendar</vt:lpstr>
      <vt:lpstr>FX</vt:lpstr>
      <vt:lpstr>Acquirer!Print_Area</vt:lpstr>
      <vt:lpstr>Proforma!Print_Area</vt:lpstr>
      <vt:lpstr>'Target (Local FX)'!Print_Area</vt:lpstr>
      <vt:lpstr>'Target Calendarized (Acqr FX)'!Print_Area</vt:lpstr>
      <vt:lpstr>switch</vt:lpstr>
      <vt:lpstr>TargetLFY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Edge</dc:creator>
  <cp:lastModifiedBy>Jonathan Rugg</cp:lastModifiedBy>
  <cp:lastPrinted>2025-11-05T21:31:28Z</cp:lastPrinted>
  <dcterms:created xsi:type="dcterms:W3CDTF">2016-02-03T14:06:14Z</dcterms:created>
  <dcterms:modified xsi:type="dcterms:W3CDTF">2025-11-12T20:57:14Z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