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oliver_sealey_fe_training/Documents/Documents/materials development/archive/dec 25 apac LBO models/final/"/>
    </mc:Choice>
  </mc:AlternateContent>
  <xr:revisionPtr revIDLastSave="78" documentId="8_{D3428F96-1F22-4010-B6FF-8A5D75789867}" xr6:coauthVersionLast="47" xr6:coauthVersionMax="47" xr10:uidLastSave="{0B2BB1A3-5E7B-40CB-AB5A-73825B05251B}"/>
  <bookViews>
    <workbookView xWindow="-105" yWindow="0" windowWidth="26010" windowHeight="20985" activeTab="2" xr2:uid="{7D52EE58-5458-4709-94D2-004F45B0B863}"/>
  </bookViews>
  <sheets>
    <sheet name="Welcome" sheetId="1" r:id="rId1"/>
    <sheet name="Info" sheetId="6" r:id="rId2"/>
    <sheet name="LBO" sheetId="27" r:id="rId3"/>
    <sheet name="Input" sheetId="22" r:id="rId4"/>
    <sheet name="Calc" sheetId="23" r:id="rId5"/>
    <sheet name="IS" sheetId="24" r:id="rId6"/>
    <sheet name="BS" sheetId="25" r:id="rId7"/>
    <sheet name="CFS" sheetId="26" r:id="rId8"/>
    <sheet name="Debt" sheetId="28" r:id="rId9"/>
  </sheets>
  <definedNames>
    <definedName name="case">Input!#REF!</definedName>
    <definedName name="CIQWBGuid" hidden="1">"571ab0c3-d74c-43bc-a7ba-442a57d4d174"</definedName>
    <definedName name="date">Info!#REF!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"01/29/2016 15:32:18"</definedName>
    <definedName name="IQ_QTD" hidden="1">750000</definedName>
    <definedName name="IQ_TODAY" hidden="1">0</definedName>
    <definedName name="IQ_YTDMONTH" hidden="1">130000</definedName>
    <definedName name="IQRBWSM104" localSheetId="8" hidden="1">#REF!</definedName>
    <definedName name="IQRBWSM104" localSheetId="2" hidden="1">#REF!</definedName>
    <definedName name="IQRBWSM104" hidden="1">#REF!</definedName>
    <definedName name="IQRDECKM104" localSheetId="8" hidden="1">#REF!</definedName>
    <definedName name="IQRDECKM104" localSheetId="2" hidden="1">#REF!</definedName>
    <definedName name="IQRDECKM104" hidden="1">#REF!</definedName>
    <definedName name="IQRDSWM104" localSheetId="8" hidden="1">#REF!</definedName>
    <definedName name="IQRDSWM104" localSheetId="2" hidden="1">#REF!</definedName>
    <definedName name="IQRDSWM104" hidden="1">#REF!</definedName>
    <definedName name="IQRFINLM104" localSheetId="8" hidden="1">#REF!</definedName>
    <definedName name="IQRFINLM104" localSheetId="2" hidden="1">#REF!</definedName>
    <definedName name="IQRFINLM104" hidden="1">#REF!</definedName>
    <definedName name="IQRGCOM104" localSheetId="8" hidden="1">#REF!</definedName>
    <definedName name="IQRGCOM104" localSheetId="2" hidden="1">#REF!</definedName>
    <definedName name="IQRGCOM104" hidden="1">#REF!</definedName>
    <definedName name="IQRSHOOM104" localSheetId="8" hidden="1">#REF!</definedName>
    <definedName name="IQRSHOOM104" localSheetId="2" hidden="1">#REF!</definedName>
    <definedName name="IQRSHOOM104" hidden="1">#REF!</definedName>
    <definedName name="IQRSKXM104" localSheetId="8" hidden="1">#REF!</definedName>
    <definedName name="IQRSKXM104" localSheetId="2" hidden="1">#REF!</definedName>
    <definedName name="IQRSKXM104" hidden="1">#REF!</definedName>
    <definedName name="IQRTargetM104" localSheetId="8" hidden="1">#REF!</definedName>
    <definedName name="IQRTargetM104" localSheetId="2" hidden="1">#REF!</definedName>
    <definedName name="IQRTargetM104" hidden="1">#REF!</definedName>
    <definedName name="IQRTODM104" localSheetId="8" hidden="1">#REF!</definedName>
    <definedName name="IQRTODM104" localSheetId="2" hidden="1">#REF!</definedName>
    <definedName name="IQRTODM104" hidden="1">#REF!</definedName>
    <definedName name="IQRWWWM104" localSheetId="8" hidden="1">#REF!</definedName>
    <definedName name="IQRWWWM104" localSheetId="2" hidden="1">#REF!</definedName>
    <definedName name="IQRWWWM104" hidden="1">#REF!</definedName>
    <definedName name="switch">Info!$N$11</definedName>
    <definedName name="Switch2">Input!#REF!</definedName>
    <definedName name="target_yrend">Info!$N$8</definedName>
    <definedName name="Title">Info!$A$1</definedName>
  </definedNames>
  <calcPr calcId="191029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7" l="1"/>
  <c r="E29" i="27"/>
  <c r="A3" i="28" a="1"/>
  <c r="A3" i="28" s="1"/>
  <c r="A3" i="26" a="1"/>
  <c r="A3" i="26" s="1"/>
  <c r="A3" i="25" a="1"/>
  <c r="A3" i="25" s="1"/>
  <c r="A3" i="24" a="1"/>
  <c r="A3" i="24" s="1"/>
  <c r="A3" i="23" a="1"/>
  <c r="A3" i="23" s="1"/>
  <c r="A3" i="22" a="1"/>
  <c r="A3" i="22" s="1"/>
  <c r="A3" i="27" a="1"/>
  <c r="A3" i="27" s="1"/>
  <c r="I94" i="27" l="1"/>
  <c r="J94" i="27"/>
  <c r="K94" i="27"/>
  <c r="L94" i="27"/>
  <c r="M94" i="27"/>
  <c r="N94" i="27"/>
  <c r="O94" i="27"/>
  <c r="H94" i="27"/>
  <c r="I17" i="22"/>
  <c r="D13" i="27" l="1"/>
  <c r="D53" i="28"/>
  <c r="P97" i="27" l="1"/>
  <c r="P98" i="27"/>
  <c r="P99" i="27"/>
  <c r="P100" i="27"/>
  <c r="H83" i="27"/>
  <c r="J15" i="22"/>
  <c r="K15" i="22" s="1"/>
  <c r="L15" i="22" s="1"/>
  <c r="J14" i="22"/>
  <c r="K14" i="22" s="1"/>
  <c r="M9" i="22"/>
  <c r="M10" i="22" s="1" a="1"/>
  <c r="M10" i="22" s="1"/>
  <c r="I10" i="22" a="1"/>
  <c r="I10" i="22" s="1"/>
  <c r="J10" i="22" a="1"/>
  <c r="J10" i="22" s="1"/>
  <c r="K10" i="22" a="1"/>
  <c r="K10" i="22" s="1"/>
  <c r="L10" i="22" a="1"/>
  <c r="L10" i="22" s="1"/>
  <c r="H10" i="22" a="1"/>
  <c r="H10" i="22" s="1"/>
  <c r="M8" i="22"/>
  <c r="N8" i="22" s="1"/>
  <c r="O8" i="22" s="1"/>
  <c r="I26" i="28"/>
  <c r="J26" i="28"/>
  <c r="K26" i="28"/>
  <c r="L26" i="28"/>
  <c r="M26" i="28"/>
  <c r="N26" i="28"/>
  <c r="O26" i="28"/>
  <c r="G26" i="28"/>
  <c r="H26" i="28"/>
  <c r="C112" i="27"/>
  <c r="C113" i="27" s="1"/>
  <c r="C110" i="27"/>
  <c r="C109" i="27" s="1"/>
  <c r="D39" i="27"/>
  <c r="C58" i="27" a="1"/>
  <c r="C58" i="27" s="1"/>
  <c r="J16" i="22" l="1" a="1"/>
  <c r="J16" i="22" s="1"/>
  <c r="L14" i="22"/>
  <c r="M14" i="22" s="1"/>
  <c r="N14" i="22" s="1"/>
  <c r="O14" i="22" s="1"/>
  <c r="K16" i="22" a="1"/>
  <c r="K16" i="22" s="1"/>
  <c r="I14" i="22"/>
  <c r="I15" i="22"/>
  <c r="H15" i="22" s="1"/>
  <c r="N9" i="22"/>
  <c r="O9" i="22" s="1"/>
  <c r="O10" i="22" s="1" a="1"/>
  <c r="O10" i="22" s="1"/>
  <c r="M15" i="22"/>
  <c r="N10" i="22" a="1"/>
  <c r="N10" i="22" s="1"/>
  <c r="L16" i="22" l="1" a="1"/>
  <c r="L16" i="22" s="1"/>
  <c r="H14" i="22"/>
  <c r="H16" i="22" s="1" a="1"/>
  <c r="H16" i="22" s="1"/>
  <c r="I16" i="22" a="1"/>
  <c r="I16" i="22" s="1"/>
  <c r="N15" i="22"/>
  <c r="M16" i="22" a="1"/>
  <c r="M16" i="22" s="1"/>
  <c r="O15" i="22" l="1"/>
  <c r="O16" i="22" s="1" a="1"/>
  <c r="O16" i="22" s="1"/>
  <c r="N16" i="22" a="1"/>
  <c r="N16" i="22" s="1"/>
  <c r="K24" i="22" l="1"/>
  <c r="L24" i="22" s="1"/>
  <c r="M24" i="22" s="1"/>
  <c r="N24" i="22" s="1"/>
  <c r="O24" i="22" s="1"/>
  <c r="L18" i="22"/>
  <c r="M18" i="22" s="1"/>
  <c r="N18" i="22" s="1"/>
  <c r="O18" i="22" s="1"/>
  <c r="D26" i="25"/>
  <c r="D28" i="22" s="1"/>
  <c r="H28" i="22" s="1"/>
  <c r="H26" i="25" s="1"/>
  <c r="C26" i="25"/>
  <c r="C28" i="22" s="1"/>
  <c r="D18" i="25"/>
  <c r="D27" i="22" s="1"/>
  <c r="H27" i="22" s="1"/>
  <c r="C18" i="25"/>
  <c r="C27" i="22" s="1"/>
  <c r="D12" i="25"/>
  <c r="D25" i="22" s="1"/>
  <c r="H25" i="22" s="1"/>
  <c r="I25" i="22" s="1"/>
  <c r="J25" i="22" s="1"/>
  <c r="K25" i="22" s="1"/>
  <c r="K12" i="25" s="1"/>
  <c r="C12" i="25"/>
  <c r="C25" i="22" s="1"/>
  <c r="D12" i="24"/>
  <c r="C12" i="24"/>
  <c r="I9" i="24"/>
  <c r="I18" i="24" s="1"/>
  <c r="J9" i="24"/>
  <c r="J18" i="24" s="1"/>
  <c r="K9" i="24"/>
  <c r="K18" i="24" s="1"/>
  <c r="L9" i="24"/>
  <c r="L18" i="24" s="1"/>
  <c r="M9" i="24"/>
  <c r="M18" i="24" s="1"/>
  <c r="N9" i="24"/>
  <c r="N18" i="24" s="1"/>
  <c r="O9" i="24"/>
  <c r="H9" i="24"/>
  <c r="H18" i="24" s="1"/>
  <c r="D13" i="22"/>
  <c r="C13" i="22"/>
  <c r="B55" i="27"/>
  <c r="B23" i="25" s="1"/>
  <c r="B7" i="28" s="1"/>
  <c r="B17" i="28" s="1"/>
  <c r="B54" i="27"/>
  <c r="B22" i="25" s="1"/>
  <c r="J12" i="22"/>
  <c r="K12" i="22" s="1"/>
  <c r="L12" i="22" s="1"/>
  <c r="M12" i="22" s="1"/>
  <c r="N12" i="22" s="1"/>
  <c r="O12" i="22" s="1"/>
  <c r="D17" i="22"/>
  <c r="C19" i="24"/>
  <c r="D19" i="24"/>
  <c r="A1" i="26"/>
  <c r="D3" i="26"/>
  <c r="H3" i="26" s="1"/>
  <c r="I3" i="26" s="1"/>
  <c r="J3" i="26" s="1"/>
  <c r="K3" i="26" s="1"/>
  <c r="L3" i="26" s="1"/>
  <c r="M3" i="26" s="1"/>
  <c r="N3" i="26" s="1"/>
  <c r="O3" i="26" s="1"/>
  <c r="J17" i="22"/>
  <c r="K17" i="22" s="1"/>
  <c r="L17" i="22" s="1"/>
  <c r="M17" i="22" s="1"/>
  <c r="N17" i="22" s="1"/>
  <c r="H5" i="24"/>
  <c r="C12" i="22"/>
  <c r="D12" i="22"/>
  <c r="D10" i="22"/>
  <c r="C11" i="22"/>
  <c r="D11" i="22"/>
  <c r="C64" i="27"/>
  <c r="C56" i="27" a="1"/>
  <c r="C56" i="27" s="1"/>
  <c r="D65" i="27" s="1"/>
  <c r="F29" i="25"/>
  <c r="C54" i="27" a="1"/>
  <c r="C54" i="27" s="1"/>
  <c r="C55" i="27" a="1"/>
  <c r="C55" i="27" s="1"/>
  <c r="F23" i="25" s="1"/>
  <c r="G47" i="28" s="1"/>
  <c r="C53" i="27" a="1"/>
  <c r="C53" i="27" s="1"/>
  <c r="D8" i="27"/>
  <c r="C18" i="24"/>
  <c r="D18" i="24"/>
  <c r="C7" i="24"/>
  <c r="C11" i="24" s="1"/>
  <c r="D7" i="24"/>
  <c r="D11" i="24" s="1"/>
  <c r="C21" i="22"/>
  <c r="D21" i="22"/>
  <c r="H21" i="22" s="1"/>
  <c r="I21" i="22" s="1"/>
  <c r="D3" i="28"/>
  <c r="H3" i="28" s="1"/>
  <c r="I3" i="28" s="1"/>
  <c r="J3" i="28" s="1"/>
  <c r="K3" i="28" s="1"/>
  <c r="L3" i="28" s="1"/>
  <c r="M3" i="28" s="1"/>
  <c r="N3" i="28" s="1"/>
  <c r="O3" i="28" s="1"/>
  <c r="D3" i="25"/>
  <c r="H3" i="25" s="1"/>
  <c r="I3" i="25" s="1"/>
  <c r="J3" i="25" s="1"/>
  <c r="K3" i="25" s="1"/>
  <c r="L3" i="25" s="1"/>
  <c r="M3" i="25" s="1"/>
  <c r="N3" i="25" s="1"/>
  <c r="O3" i="25" s="1"/>
  <c r="D3" i="24"/>
  <c r="C3" i="24" s="1"/>
  <c r="D3" i="23"/>
  <c r="H3" i="23" s="1"/>
  <c r="I3" i="23" s="1"/>
  <c r="J3" i="23" s="1"/>
  <c r="K3" i="23" s="1"/>
  <c r="L3" i="23" s="1"/>
  <c r="M3" i="23" s="1"/>
  <c r="N3" i="23" s="1"/>
  <c r="O3" i="23" s="1"/>
  <c r="D3" i="22"/>
  <c r="C3" i="22" s="1"/>
  <c r="D3" i="27"/>
  <c r="A2" i="6" a="1"/>
  <c r="A2" i="6" s="1"/>
  <c r="A1" i="28"/>
  <c r="A1" i="25"/>
  <c r="A1" i="24"/>
  <c r="A1" i="23"/>
  <c r="A1" i="22"/>
  <c r="A1" i="27"/>
  <c r="D26" i="22"/>
  <c r="H26" i="22" s="1"/>
  <c r="I26" i="22" s="1"/>
  <c r="C26" i="22"/>
  <c r="L11" i="22"/>
  <c r="M11" i="22" s="1"/>
  <c r="N11" i="22" s="1"/>
  <c r="O11" i="22" s="1"/>
  <c r="I74" i="27"/>
  <c r="F21" i="25"/>
  <c r="G21" i="25" s="1"/>
  <c r="H21" i="25" s="1"/>
  <c r="F5" i="25"/>
  <c r="G5" i="25" s="1"/>
  <c r="G26" i="25"/>
  <c r="G17" i="25"/>
  <c r="G26" i="23" s="1"/>
  <c r="G11" i="25"/>
  <c r="G9" i="23" s="1"/>
  <c r="H6" i="23" s="1"/>
  <c r="G8" i="25"/>
  <c r="G25" i="23" s="1"/>
  <c r="G7" i="25"/>
  <c r="G24" i="23" s="1"/>
  <c r="G6" i="25"/>
  <c r="G23" i="23" s="1"/>
  <c r="G54" i="27"/>
  <c r="G55" i="27"/>
  <c r="G53" i="27"/>
  <c r="B43" i="27"/>
  <c r="C44" i="27"/>
  <c r="C24" i="22"/>
  <c r="D24" i="22"/>
  <c r="C23" i="22"/>
  <c r="D23" i="22"/>
  <c r="H23" i="22" s="1"/>
  <c r="I23" i="22" s="1"/>
  <c r="J23" i="22" s="1"/>
  <c r="K23" i="22" s="1"/>
  <c r="C22" i="22"/>
  <c r="D22" i="22"/>
  <c r="H22" i="22" s="1"/>
  <c r="B26" i="23"/>
  <c r="B25" i="23"/>
  <c r="B24" i="23"/>
  <c r="B23" i="23"/>
  <c r="C9" i="25"/>
  <c r="D9" i="25"/>
  <c r="O18" i="24" l="1"/>
  <c r="F16" i="25"/>
  <c r="G16" i="25" s="1"/>
  <c r="G23" i="28" s="1"/>
  <c r="G27" i="28" s="1"/>
  <c r="G28" i="28" s="1"/>
  <c r="I83" i="27"/>
  <c r="I10" i="24"/>
  <c r="C19" i="25"/>
  <c r="C27" i="25" s="1"/>
  <c r="C30" i="25" s="1"/>
  <c r="G12" i="25"/>
  <c r="D14" i="25"/>
  <c r="B43" i="28"/>
  <c r="J10" i="24"/>
  <c r="D19" i="25"/>
  <c r="D27" i="25" s="1"/>
  <c r="D30" i="25" s="1"/>
  <c r="G18" i="25"/>
  <c r="G27" i="23" s="1"/>
  <c r="G28" i="23" s="1"/>
  <c r="H9" i="26"/>
  <c r="C3" i="23"/>
  <c r="C14" i="25"/>
  <c r="C3" i="25"/>
  <c r="C3" i="26"/>
  <c r="C13" i="24"/>
  <c r="C18" i="22" s="1"/>
  <c r="H3" i="24"/>
  <c r="I3" i="24" s="1"/>
  <c r="J3" i="24" s="1"/>
  <c r="K3" i="24" s="1"/>
  <c r="L3" i="24" s="1"/>
  <c r="M3" i="24" s="1"/>
  <c r="N3" i="24" s="1"/>
  <c r="O3" i="24" s="1"/>
  <c r="H17" i="26"/>
  <c r="I21" i="25"/>
  <c r="C17" i="24"/>
  <c r="C20" i="24" s="1"/>
  <c r="I28" i="22"/>
  <c r="H7" i="23"/>
  <c r="H13" i="26" s="1"/>
  <c r="H14" i="26" s="1"/>
  <c r="H12" i="28" s="1"/>
  <c r="H3" i="22"/>
  <c r="I3" i="22" s="1"/>
  <c r="J3" i="22" s="1"/>
  <c r="K3" i="22" s="1"/>
  <c r="L3" i="22" s="1"/>
  <c r="M3" i="22" s="1"/>
  <c r="N3" i="22" s="1"/>
  <c r="O3" i="22" s="1"/>
  <c r="H12" i="25"/>
  <c r="H8" i="25"/>
  <c r="H25" i="23" s="1"/>
  <c r="H6" i="24"/>
  <c r="H7" i="24" s="1"/>
  <c r="H8" i="24"/>
  <c r="I5" i="24"/>
  <c r="B18" i="26"/>
  <c r="B6" i="28"/>
  <c r="B19" i="26"/>
  <c r="C3" i="28"/>
  <c r="G24" i="26"/>
  <c r="H22" i="26" s="1"/>
  <c r="H10" i="28"/>
  <c r="G9" i="25"/>
  <c r="J21" i="22"/>
  <c r="H8" i="23"/>
  <c r="H19" i="24" s="1"/>
  <c r="L23" i="22"/>
  <c r="H44" i="28"/>
  <c r="H45" i="28" s="1"/>
  <c r="H17" i="28" s="1"/>
  <c r="G93" i="27"/>
  <c r="G96" i="27" s="1"/>
  <c r="F24" i="25"/>
  <c r="G24" i="25" s="1"/>
  <c r="D64" i="27"/>
  <c r="G57" i="28"/>
  <c r="H55" i="28" s="1"/>
  <c r="H56" i="28" s="1"/>
  <c r="O17" i="22"/>
  <c r="J26" i="22"/>
  <c r="H3" i="27"/>
  <c r="I3" i="27" s="1"/>
  <c r="J3" i="27" s="1"/>
  <c r="K3" i="27" s="1"/>
  <c r="L3" i="27" s="1"/>
  <c r="M3" i="27" s="1"/>
  <c r="N3" i="27" s="1"/>
  <c r="O3" i="27" s="1"/>
  <c r="C3" i="27"/>
  <c r="G23" i="25"/>
  <c r="I27" i="22"/>
  <c r="H18" i="25"/>
  <c r="H27" i="23" s="1"/>
  <c r="D13" i="24"/>
  <c r="D17" i="24"/>
  <c r="D20" i="24" s="1"/>
  <c r="D15" i="27" s="1"/>
  <c r="F22" i="25"/>
  <c r="L25" i="22"/>
  <c r="J12" i="25"/>
  <c r="K8" i="26" s="1"/>
  <c r="I12" i="25"/>
  <c r="J74" i="27"/>
  <c r="J83" i="27" s="1"/>
  <c r="I22" i="22"/>
  <c r="H6" i="25"/>
  <c r="H23" i="23" s="1"/>
  <c r="G101" i="27"/>
  <c r="G87" i="27"/>
  <c r="H10" i="24"/>
  <c r="K10" i="24"/>
  <c r="D63" i="27" l="1"/>
  <c r="D10" i="27"/>
  <c r="D11" i="27" s="1"/>
  <c r="D32" i="25"/>
  <c r="D70" i="27"/>
  <c r="H8" i="26"/>
  <c r="C32" i="25"/>
  <c r="B16" i="28"/>
  <c r="B34" i="28"/>
  <c r="H11" i="24"/>
  <c r="H17" i="24" s="1"/>
  <c r="H20" i="24" s="1"/>
  <c r="G19" i="25"/>
  <c r="J28" i="22"/>
  <c r="C15" i="24"/>
  <c r="I26" i="25"/>
  <c r="I9" i="26" s="1"/>
  <c r="J21" i="25"/>
  <c r="I17" i="26"/>
  <c r="H9" i="23"/>
  <c r="H11" i="25" s="1"/>
  <c r="I8" i="25"/>
  <c r="I25" i="23" s="1"/>
  <c r="I6" i="24"/>
  <c r="I17" i="25" s="1"/>
  <c r="I26" i="23" s="1"/>
  <c r="J5" i="24"/>
  <c r="J8" i="25" s="1"/>
  <c r="J25" i="23" s="1"/>
  <c r="I8" i="24"/>
  <c r="I7" i="23"/>
  <c r="I13" i="26" s="1"/>
  <c r="I14" i="26" s="1"/>
  <c r="I12" i="28" s="1"/>
  <c r="H17" i="25"/>
  <c r="H26" i="23" s="1"/>
  <c r="H7" i="25"/>
  <c r="H24" i="23" s="1"/>
  <c r="D53" i="27"/>
  <c r="D54" i="27" s="1"/>
  <c r="K21" i="22"/>
  <c r="H57" i="28"/>
  <c r="G38" i="28"/>
  <c r="G66" i="28" s="1"/>
  <c r="G22" i="25"/>
  <c r="K74" i="27"/>
  <c r="K83" i="27" s="1"/>
  <c r="M23" i="22"/>
  <c r="J8" i="26"/>
  <c r="I8" i="26"/>
  <c r="D15" i="24"/>
  <c r="D18" i="22"/>
  <c r="K26" i="22"/>
  <c r="I6" i="25"/>
  <c r="I23" i="23" s="1"/>
  <c r="J22" i="22"/>
  <c r="M25" i="22"/>
  <c r="L12" i="25"/>
  <c r="I18" i="25"/>
  <c r="I27" i="23" s="1"/>
  <c r="J27" i="22"/>
  <c r="H21" i="28"/>
  <c r="H58" i="28" l="1"/>
  <c r="D55" i="27"/>
  <c r="D56" i="27" s="1"/>
  <c r="H5" i="26"/>
  <c r="H64" i="28" s="1"/>
  <c r="H65" i="28" s="1"/>
  <c r="J7" i="23"/>
  <c r="J13" i="26" s="1"/>
  <c r="J14" i="26" s="1"/>
  <c r="J12" i="28" s="1"/>
  <c r="I7" i="24"/>
  <c r="I11" i="24" s="1"/>
  <c r="K28" i="22"/>
  <c r="J26" i="25"/>
  <c r="J9" i="26" s="1"/>
  <c r="I7" i="25"/>
  <c r="I24" i="23" s="1"/>
  <c r="I28" i="23" s="1"/>
  <c r="H75" i="27"/>
  <c r="K21" i="25"/>
  <c r="J17" i="26"/>
  <c r="I6" i="23"/>
  <c r="I8" i="23" s="1"/>
  <c r="I19" i="24" s="1"/>
  <c r="J8" i="24"/>
  <c r="K5" i="24"/>
  <c r="K8" i="25" s="1"/>
  <c r="K25" i="23" s="1"/>
  <c r="J6" i="24"/>
  <c r="J7" i="25" s="1"/>
  <c r="J24" i="23" s="1"/>
  <c r="H28" i="23"/>
  <c r="H10" i="26" s="1"/>
  <c r="D12" i="27"/>
  <c r="H24" i="25"/>
  <c r="H79" i="27"/>
  <c r="H93" i="27" s="1"/>
  <c r="I55" i="28"/>
  <c r="I56" i="28" s="1"/>
  <c r="L74" i="27"/>
  <c r="L83" i="27" s="1"/>
  <c r="L26" i="22"/>
  <c r="K22" i="22"/>
  <c r="J6" i="25"/>
  <c r="J23" i="23" s="1"/>
  <c r="L8" i="26"/>
  <c r="N23" i="22"/>
  <c r="J18" i="25"/>
  <c r="J27" i="23" s="1"/>
  <c r="K27" i="22"/>
  <c r="M12" i="25"/>
  <c r="N25" i="22"/>
  <c r="H35" i="28"/>
  <c r="H36" i="28" s="1"/>
  <c r="H16" i="28" s="1"/>
  <c r="L21" i="22"/>
  <c r="L10" i="24"/>
  <c r="I17" i="24" l="1"/>
  <c r="I20" i="24" s="1"/>
  <c r="L28" i="22"/>
  <c r="K26" i="25"/>
  <c r="K9" i="26" s="1"/>
  <c r="K8" i="24"/>
  <c r="L5" i="24"/>
  <c r="M5" i="24" s="1"/>
  <c r="J17" i="25"/>
  <c r="J26" i="23" s="1"/>
  <c r="J28" i="23" s="1"/>
  <c r="J10" i="26" s="1"/>
  <c r="K7" i="23"/>
  <c r="K13" i="26" s="1"/>
  <c r="K14" i="26" s="1"/>
  <c r="K12" i="28" s="1"/>
  <c r="K17" i="26"/>
  <c r="L21" i="25"/>
  <c r="K6" i="24"/>
  <c r="K7" i="25" s="1"/>
  <c r="K24" i="23" s="1"/>
  <c r="J7" i="24"/>
  <c r="J11" i="24" s="1"/>
  <c r="I10" i="26"/>
  <c r="D14" i="27"/>
  <c r="C43" i="27"/>
  <c r="N12" i="25"/>
  <c r="N8" i="26" s="1"/>
  <c r="O25" i="22"/>
  <c r="O12" i="25" s="1"/>
  <c r="M26" i="22"/>
  <c r="L27" i="22"/>
  <c r="K18" i="25"/>
  <c r="K27" i="23" s="1"/>
  <c r="I57" i="28"/>
  <c r="M21" i="22"/>
  <c r="M74" i="27"/>
  <c r="M83" i="27" s="1"/>
  <c r="O23" i="22"/>
  <c r="M8" i="26"/>
  <c r="K6" i="25"/>
  <c r="K23" i="23" s="1"/>
  <c r="L22" i="22"/>
  <c r="I9" i="23"/>
  <c r="M10" i="24"/>
  <c r="D69" i="27" l="1"/>
  <c r="I58" i="28"/>
  <c r="J17" i="24"/>
  <c r="L8" i="24"/>
  <c r="L7" i="23"/>
  <c r="L13" i="26" s="1"/>
  <c r="L14" i="26" s="1"/>
  <c r="L12" i="28" s="1"/>
  <c r="L6" i="24"/>
  <c r="L7" i="24" s="1"/>
  <c r="L8" i="25"/>
  <c r="L25" i="23" s="1"/>
  <c r="L26" i="25"/>
  <c r="L9" i="26" s="1"/>
  <c r="M28" i="22"/>
  <c r="K7" i="24"/>
  <c r="K17" i="25"/>
  <c r="K26" i="23" s="1"/>
  <c r="K28" i="23" s="1"/>
  <c r="L17" i="26"/>
  <c r="M21" i="25"/>
  <c r="D16" i="27"/>
  <c r="C45" i="27"/>
  <c r="N21" i="22"/>
  <c r="M6" i="24"/>
  <c r="M7" i="24" s="1"/>
  <c r="M7" i="23"/>
  <c r="M13" i="26" s="1"/>
  <c r="M14" i="26" s="1"/>
  <c r="M12" i="28" s="1"/>
  <c r="M8" i="24"/>
  <c r="N5" i="24"/>
  <c r="M8" i="25"/>
  <c r="M25" i="23" s="1"/>
  <c r="J55" i="28"/>
  <c r="J56" i="28" s="1"/>
  <c r="I24" i="25"/>
  <c r="I79" i="27"/>
  <c r="I93" i="27" s="1"/>
  <c r="L18" i="25"/>
  <c r="L27" i="23" s="1"/>
  <c r="M27" i="22"/>
  <c r="I11" i="25"/>
  <c r="J6" i="23"/>
  <c r="I75" i="27"/>
  <c r="I5" i="26"/>
  <c r="I64" i="28" s="1"/>
  <c r="I65" i="28" s="1"/>
  <c r="M22" i="22"/>
  <c r="L6" i="25"/>
  <c r="L23" i="23" s="1"/>
  <c r="O8" i="26"/>
  <c r="N74" i="27"/>
  <c r="N83" i="27" s="1"/>
  <c r="N26" i="22"/>
  <c r="O10" i="24"/>
  <c r="N10" i="24"/>
  <c r="D71" i="27" l="1"/>
  <c r="K11" i="24"/>
  <c r="K17" i="24" s="1"/>
  <c r="L11" i="24"/>
  <c r="L17" i="24" s="1"/>
  <c r="L17" i="25"/>
  <c r="L26" i="23" s="1"/>
  <c r="L7" i="25"/>
  <c r="L24" i="23" s="1"/>
  <c r="N28" i="22"/>
  <c r="M26" i="25"/>
  <c r="M9" i="26" s="1"/>
  <c r="N21" i="25"/>
  <c r="M17" i="26"/>
  <c r="M11" i="24"/>
  <c r="M17" i="24" s="1"/>
  <c r="E29" i="25"/>
  <c r="G29" i="25" s="1"/>
  <c r="G20" i="23" s="1"/>
  <c r="H17" i="23" s="1"/>
  <c r="C46" i="27"/>
  <c r="D17" i="27"/>
  <c r="H76" i="27" s="1"/>
  <c r="K10" i="26"/>
  <c r="J8" i="23"/>
  <c r="J19" i="24" s="1"/>
  <c r="J57" i="28"/>
  <c r="M17" i="25"/>
  <c r="M26" i="23" s="1"/>
  <c r="N22" i="22"/>
  <c r="M6" i="25"/>
  <c r="M23" i="23" s="1"/>
  <c r="M18" i="25"/>
  <c r="M27" i="23" s="1"/>
  <c r="N27" i="22"/>
  <c r="N8" i="24"/>
  <c r="N6" i="24"/>
  <c r="N7" i="24" s="1"/>
  <c r="N7" i="23"/>
  <c r="N13" i="26" s="1"/>
  <c r="N14" i="26" s="1"/>
  <c r="N12" i="28" s="1"/>
  <c r="O5" i="24"/>
  <c r="N8" i="25"/>
  <c r="N25" i="23" s="1"/>
  <c r="M7" i="25"/>
  <c r="M24" i="23" s="1"/>
  <c r="O26" i="22"/>
  <c r="O74" i="27"/>
  <c r="O21" i="22"/>
  <c r="E13" i="25" l="1"/>
  <c r="G13" i="25" s="1"/>
  <c r="J58" i="28"/>
  <c r="O83" i="27"/>
  <c r="L28" i="23"/>
  <c r="L10" i="26" s="1"/>
  <c r="N11" i="24"/>
  <c r="N17" i="24" s="1"/>
  <c r="N26" i="25"/>
  <c r="N9" i="26" s="1"/>
  <c r="O28" i="22"/>
  <c r="N17" i="26"/>
  <c r="O21" i="25"/>
  <c r="C40" i="27"/>
  <c r="C38" i="27" s="1"/>
  <c r="D40" i="27"/>
  <c r="I76" i="27"/>
  <c r="O8" i="24"/>
  <c r="O6" i="24"/>
  <c r="O7" i="23"/>
  <c r="O8" i="25"/>
  <c r="J24" i="25"/>
  <c r="J79" i="27"/>
  <c r="J93" i="27" s="1"/>
  <c r="K55" i="28"/>
  <c r="K56" i="28" s="1"/>
  <c r="N18" i="25"/>
  <c r="N27" i="23" s="1"/>
  <c r="O27" i="22"/>
  <c r="O18" i="25" s="1"/>
  <c r="J20" i="24"/>
  <c r="N7" i="25"/>
  <c r="N24" i="23" s="1"/>
  <c r="N17" i="25"/>
  <c r="N26" i="23" s="1"/>
  <c r="M28" i="23"/>
  <c r="O22" i="22"/>
  <c r="N6" i="25"/>
  <c r="N23" i="23" s="1"/>
  <c r="J9" i="23"/>
  <c r="G14" i="25" l="1"/>
  <c r="H13" i="25"/>
  <c r="I13" i="25" s="1"/>
  <c r="J13" i="25" s="1"/>
  <c r="K13" i="25" s="1"/>
  <c r="L13" i="25" s="1"/>
  <c r="M13" i="25" s="1"/>
  <c r="N13" i="25" s="1"/>
  <c r="O13" i="25" s="1"/>
  <c r="O17" i="26"/>
  <c r="O25" i="23"/>
  <c r="O27" i="23"/>
  <c r="O13" i="26"/>
  <c r="O17" i="25"/>
  <c r="D38" i="27"/>
  <c r="C57" i="27" s="1" a="1"/>
  <c r="C57" i="27" s="1"/>
  <c r="C59" i="27" s="1"/>
  <c r="E57" i="27" s="1"/>
  <c r="O26" i="25"/>
  <c r="O6" i="25"/>
  <c r="O7" i="24"/>
  <c r="O7" i="25"/>
  <c r="K57" i="28"/>
  <c r="J75" i="27"/>
  <c r="J76" i="27" s="1"/>
  <c r="J5" i="26"/>
  <c r="J64" i="28" s="1"/>
  <c r="J65" i="28" s="1"/>
  <c r="J11" i="25"/>
  <c r="K6" i="23"/>
  <c r="N28" i="23"/>
  <c r="N10" i="26" s="1"/>
  <c r="M10" i="26"/>
  <c r="K58" i="28" l="1"/>
  <c r="O9" i="26"/>
  <c r="O14" i="26"/>
  <c r="O24" i="23"/>
  <c r="O11" i="24"/>
  <c r="O26" i="23"/>
  <c r="O23" i="23"/>
  <c r="G14" i="23"/>
  <c r="H12" i="23" s="1"/>
  <c r="H13" i="23" s="1"/>
  <c r="H18" i="23" s="1"/>
  <c r="F25" i="25"/>
  <c r="G25" i="25" s="1"/>
  <c r="G27" i="25" s="1"/>
  <c r="G30" i="25" s="1"/>
  <c r="G32" i="25" s="1"/>
  <c r="G86" i="27"/>
  <c r="G88" i="27" s="1"/>
  <c r="E53" i="27"/>
  <c r="E54" i="27"/>
  <c r="E58" i="27"/>
  <c r="E56" i="27"/>
  <c r="E55" i="27"/>
  <c r="K24" i="25"/>
  <c r="K79" i="27"/>
  <c r="K93" i="27" s="1"/>
  <c r="L55" i="28"/>
  <c r="L56" i="28" s="1"/>
  <c r="K8" i="23"/>
  <c r="K19" i="24" s="1"/>
  <c r="K20" i="24" s="1"/>
  <c r="O17" i="24" l="1"/>
  <c r="O28" i="23"/>
  <c r="O12" i="28"/>
  <c r="H14" i="23"/>
  <c r="H25" i="25" s="1"/>
  <c r="E59" i="27"/>
  <c r="K9" i="23"/>
  <c r="K75" i="27"/>
  <c r="K76" i="27" s="1"/>
  <c r="K5" i="26"/>
  <c r="K64" i="28" s="1"/>
  <c r="K65" i="28" s="1"/>
  <c r="L57" i="28"/>
  <c r="L58" i="28" l="1"/>
  <c r="O10" i="26"/>
  <c r="I12" i="23"/>
  <c r="I13" i="23" s="1"/>
  <c r="I18" i="23" s="1"/>
  <c r="H78" i="27"/>
  <c r="H86" i="27" s="1"/>
  <c r="L24" i="25"/>
  <c r="M55" i="28"/>
  <c r="M56" i="28" s="1"/>
  <c r="L79" i="27"/>
  <c r="L93" i="27" s="1"/>
  <c r="K11" i="25"/>
  <c r="L6" i="23"/>
  <c r="I14" i="23" l="1"/>
  <c r="J12" i="23" s="1"/>
  <c r="J13" i="23" s="1"/>
  <c r="J18" i="23" s="1"/>
  <c r="M57" i="28"/>
  <c r="L8" i="23"/>
  <c r="L19" i="24" s="1"/>
  <c r="L20" i="24" s="1"/>
  <c r="M58" i="28" l="1"/>
  <c r="I78" i="27"/>
  <c r="I86" i="27" s="1"/>
  <c r="J14" i="23"/>
  <c r="K12" i="23" s="1"/>
  <c r="I25" i="25"/>
  <c r="L5" i="26"/>
  <c r="L75" i="27"/>
  <c r="L76" i="27" s="1"/>
  <c r="L9" i="23"/>
  <c r="M79" i="27"/>
  <c r="M93" i="27" s="1"/>
  <c r="N55" i="28"/>
  <c r="N56" i="28" s="1"/>
  <c r="M24" i="25"/>
  <c r="J78" i="27" l="1"/>
  <c r="J86" i="27" s="1"/>
  <c r="J25" i="25"/>
  <c r="M6" i="23"/>
  <c r="L11" i="25"/>
  <c r="K13" i="23"/>
  <c r="K18" i="23" s="1"/>
  <c r="L64" i="28"/>
  <c r="N57" i="28" l="1"/>
  <c r="K14" i="23"/>
  <c r="L65" i="28"/>
  <c r="M8" i="23"/>
  <c r="M19" i="24" s="1"/>
  <c r="M20" i="24" s="1"/>
  <c r="N58" i="28" l="1"/>
  <c r="M5" i="26"/>
  <c r="M75" i="27"/>
  <c r="M76" i="27" s="1"/>
  <c r="L12" i="23"/>
  <c r="K78" i="27"/>
  <c r="K86" i="27" s="1"/>
  <c r="K25" i="25"/>
  <c r="M9" i="23"/>
  <c r="N79" i="27"/>
  <c r="N93" i="27" s="1"/>
  <c r="O55" i="28"/>
  <c r="O56" i="28" s="1"/>
  <c r="N24" i="25"/>
  <c r="N6" i="23" l="1"/>
  <c r="M11" i="25"/>
  <c r="L13" i="23"/>
  <c r="L18" i="23" s="1"/>
  <c r="M64" i="28"/>
  <c r="L14" i="23" l="1"/>
  <c r="L78" i="27" s="1"/>
  <c r="L86" i="27" s="1"/>
  <c r="O57" i="28"/>
  <c r="O58" i="28" s="1"/>
  <c r="M65" i="28"/>
  <c r="N8" i="23"/>
  <c r="N19" i="24" s="1"/>
  <c r="N20" i="24" s="1"/>
  <c r="N9" i="23" l="1"/>
  <c r="M12" i="23"/>
  <c r="M13" i="23" s="1"/>
  <c r="M18" i="23" s="1"/>
  <c r="L25" i="25"/>
  <c r="O79" i="27"/>
  <c r="O24" i="25"/>
  <c r="N75" i="27"/>
  <c r="N76" i="27" s="1"/>
  <c r="N5" i="26"/>
  <c r="O6" i="23" l="1"/>
  <c r="O8" i="23" s="1"/>
  <c r="O93" i="27"/>
  <c r="N11" i="25"/>
  <c r="M14" i="23"/>
  <c r="N12" i="23" s="1"/>
  <c r="N64" i="28"/>
  <c r="O19" i="24" l="1"/>
  <c r="M25" i="25"/>
  <c r="M78" i="27"/>
  <c r="M86" i="27" s="1"/>
  <c r="N13" i="23"/>
  <c r="N18" i="23" s="1"/>
  <c r="N65" i="28"/>
  <c r="O9" i="23"/>
  <c r="O11" i="25" l="1"/>
  <c r="O20" i="24"/>
  <c r="N14" i="23"/>
  <c r="O12" i="23" s="1"/>
  <c r="O5" i="26" l="1"/>
  <c r="O75" i="27"/>
  <c r="N78" i="27"/>
  <c r="N86" i="27" s="1"/>
  <c r="N25" i="25"/>
  <c r="O13" i="23"/>
  <c r="O76" i="27" l="1"/>
  <c r="O64" i="28"/>
  <c r="O18" i="23"/>
  <c r="O14" i="23"/>
  <c r="O65" i="28" l="1"/>
  <c r="O25" i="25"/>
  <c r="O78" i="27"/>
  <c r="O86" i="27" l="1"/>
  <c r="H5" i="25" l="1"/>
  <c r="I5" i="25"/>
  <c r="J5" i="25"/>
  <c r="K5" i="25"/>
  <c r="L5" i="25"/>
  <c r="M5" i="25"/>
  <c r="N5" i="25"/>
  <c r="O5" i="25"/>
  <c r="H9" i="25"/>
  <c r="I9" i="25"/>
  <c r="J9" i="25"/>
  <c r="K9" i="25"/>
  <c r="L9" i="25"/>
  <c r="M9" i="25"/>
  <c r="N9" i="25"/>
  <c r="O9" i="25"/>
  <c r="H14" i="25"/>
  <c r="I14" i="25"/>
  <c r="J14" i="25"/>
  <c r="K14" i="25"/>
  <c r="L14" i="25"/>
  <c r="M14" i="25"/>
  <c r="N14" i="25"/>
  <c r="O14" i="25"/>
  <c r="H16" i="25"/>
  <c r="I16" i="25"/>
  <c r="J16" i="25"/>
  <c r="K16" i="25"/>
  <c r="L16" i="25"/>
  <c r="M16" i="25"/>
  <c r="N16" i="25"/>
  <c r="O16" i="25"/>
  <c r="H19" i="25"/>
  <c r="I19" i="25"/>
  <c r="J19" i="25"/>
  <c r="K19" i="25"/>
  <c r="L19" i="25"/>
  <c r="M19" i="25"/>
  <c r="N19" i="25"/>
  <c r="O19" i="25"/>
  <c r="H22" i="25"/>
  <c r="I22" i="25"/>
  <c r="J22" i="25"/>
  <c r="K22" i="25"/>
  <c r="L22" i="25"/>
  <c r="M22" i="25"/>
  <c r="N22" i="25"/>
  <c r="O22" i="25"/>
  <c r="H23" i="25"/>
  <c r="I23" i="25"/>
  <c r="J23" i="25"/>
  <c r="K23" i="25"/>
  <c r="L23" i="25"/>
  <c r="M23" i="25"/>
  <c r="N23" i="25"/>
  <c r="O23" i="25"/>
  <c r="H27" i="25"/>
  <c r="I27" i="25"/>
  <c r="J27" i="25"/>
  <c r="K27" i="25"/>
  <c r="L27" i="25"/>
  <c r="M27" i="25"/>
  <c r="N27" i="25"/>
  <c r="O27" i="25"/>
  <c r="H29" i="25"/>
  <c r="I29" i="25"/>
  <c r="J29" i="25"/>
  <c r="K29" i="25"/>
  <c r="L29" i="25"/>
  <c r="M29" i="25"/>
  <c r="N29" i="25"/>
  <c r="O29" i="25"/>
  <c r="H30" i="25"/>
  <c r="I30" i="25"/>
  <c r="J30" i="25"/>
  <c r="K30" i="25"/>
  <c r="L30" i="25"/>
  <c r="M30" i="25"/>
  <c r="N30" i="25"/>
  <c r="O30" i="25"/>
  <c r="H32" i="25"/>
  <c r="I32" i="25"/>
  <c r="J32" i="25"/>
  <c r="K32" i="25"/>
  <c r="L32" i="25"/>
  <c r="M32" i="25"/>
  <c r="N32" i="25"/>
  <c r="O32" i="25"/>
  <c r="I17" i="23"/>
  <c r="J17" i="23"/>
  <c r="K17" i="23"/>
  <c r="L17" i="23"/>
  <c r="M17" i="23"/>
  <c r="N17" i="23"/>
  <c r="O17" i="23"/>
  <c r="H19" i="23"/>
  <c r="I19" i="23"/>
  <c r="J19" i="23"/>
  <c r="K19" i="23"/>
  <c r="L19" i="23"/>
  <c r="M19" i="23"/>
  <c r="N19" i="23"/>
  <c r="O19" i="23"/>
  <c r="H20" i="23"/>
  <c r="I20" i="23"/>
  <c r="J20" i="23"/>
  <c r="K20" i="23"/>
  <c r="L20" i="23"/>
  <c r="M20" i="23"/>
  <c r="N20" i="23"/>
  <c r="O20" i="23"/>
  <c r="H6" i="26"/>
  <c r="I6" i="26"/>
  <c r="J6" i="26"/>
  <c r="K6" i="26"/>
  <c r="L6" i="26"/>
  <c r="M6" i="26"/>
  <c r="N6" i="26"/>
  <c r="O6" i="26"/>
  <c r="H7" i="26"/>
  <c r="I7" i="26"/>
  <c r="J7" i="26"/>
  <c r="K7" i="26"/>
  <c r="L7" i="26"/>
  <c r="M7" i="26"/>
  <c r="N7" i="26"/>
  <c r="O7" i="26"/>
  <c r="H11" i="26"/>
  <c r="I11" i="26"/>
  <c r="J11" i="26"/>
  <c r="K11" i="26"/>
  <c r="L11" i="26"/>
  <c r="M11" i="26"/>
  <c r="N11" i="26"/>
  <c r="O11" i="26"/>
  <c r="H16" i="26"/>
  <c r="I16" i="26"/>
  <c r="J16" i="26"/>
  <c r="K16" i="26"/>
  <c r="L16" i="26"/>
  <c r="M16" i="26"/>
  <c r="N16" i="26"/>
  <c r="O16" i="26"/>
  <c r="H18" i="26"/>
  <c r="I18" i="26"/>
  <c r="J18" i="26"/>
  <c r="K18" i="26"/>
  <c r="L18" i="26"/>
  <c r="M18" i="26"/>
  <c r="N18" i="26"/>
  <c r="O18" i="26"/>
  <c r="H19" i="26"/>
  <c r="I19" i="26"/>
  <c r="J19" i="26"/>
  <c r="K19" i="26"/>
  <c r="L19" i="26"/>
  <c r="M19" i="26"/>
  <c r="N19" i="26"/>
  <c r="O19" i="26"/>
  <c r="H20" i="26"/>
  <c r="I20" i="26"/>
  <c r="J20" i="26"/>
  <c r="K20" i="26"/>
  <c r="L20" i="26"/>
  <c r="M20" i="26"/>
  <c r="N20" i="26"/>
  <c r="O20" i="26"/>
  <c r="I22" i="26"/>
  <c r="J22" i="26"/>
  <c r="K22" i="26"/>
  <c r="L22" i="26"/>
  <c r="M22" i="26"/>
  <c r="N22" i="26"/>
  <c r="O22" i="26"/>
  <c r="H23" i="26"/>
  <c r="I23" i="26"/>
  <c r="J23" i="26"/>
  <c r="K23" i="26"/>
  <c r="L23" i="26"/>
  <c r="M23" i="26"/>
  <c r="N23" i="26"/>
  <c r="O23" i="26"/>
  <c r="H24" i="26"/>
  <c r="I24" i="26"/>
  <c r="J24" i="26"/>
  <c r="K24" i="26"/>
  <c r="L24" i="26"/>
  <c r="M24" i="26"/>
  <c r="N24" i="26"/>
  <c r="O24" i="26"/>
  <c r="I10" i="28"/>
  <c r="J10" i="28"/>
  <c r="K10" i="28"/>
  <c r="L10" i="28"/>
  <c r="M10" i="28"/>
  <c r="N10" i="28"/>
  <c r="O10" i="28"/>
  <c r="H11" i="28"/>
  <c r="I11" i="28"/>
  <c r="J11" i="28"/>
  <c r="K11" i="28"/>
  <c r="L11" i="28"/>
  <c r="M11" i="28"/>
  <c r="N11" i="28"/>
  <c r="O11" i="28"/>
  <c r="H13" i="28"/>
  <c r="I13" i="28"/>
  <c r="J13" i="28"/>
  <c r="K13" i="28"/>
  <c r="L13" i="28"/>
  <c r="M13" i="28"/>
  <c r="N13" i="28"/>
  <c r="O13" i="28"/>
  <c r="I16" i="28"/>
  <c r="J16" i="28"/>
  <c r="K16" i="28"/>
  <c r="L16" i="28"/>
  <c r="M16" i="28"/>
  <c r="N16" i="28"/>
  <c r="O16" i="28"/>
  <c r="I17" i="28"/>
  <c r="J17" i="28"/>
  <c r="K17" i="28"/>
  <c r="L17" i="28"/>
  <c r="M17" i="28"/>
  <c r="N17" i="28"/>
  <c r="O17" i="28"/>
  <c r="H18" i="28"/>
  <c r="I18" i="28"/>
  <c r="J18" i="28"/>
  <c r="K18" i="28"/>
  <c r="L18" i="28"/>
  <c r="M18" i="28"/>
  <c r="N18" i="28"/>
  <c r="O18" i="28"/>
  <c r="I21" i="28"/>
  <c r="J21" i="28"/>
  <c r="K21" i="28"/>
  <c r="L21" i="28"/>
  <c r="M21" i="28"/>
  <c r="N21" i="28"/>
  <c r="O21" i="28"/>
  <c r="H22" i="28"/>
  <c r="I22" i="28"/>
  <c r="J22" i="28"/>
  <c r="K22" i="28"/>
  <c r="L22" i="28"/>
  <c r="M22" i="28"/>
  <c r="N22" i="28"/>
  <c r="O22" i="28"/>
  <c r="H23" i="28"/>
  <c r="I23" i="28"/>
  <c r="J23" i="28"/>
  <c r="K23" i="28"/>
  <c r="L23" i="28"/>
  <c r="M23" i="28"/>
  <c r="N23" i="28"/>
  <c r="O23" i="28"/>
  <c r="H24" i="28"/>
  <c r="I24" i="28"/>
  <c r="J24" i="28"/>
  <c r="K24" i="28"/>
  <c r="L24" i="28"/>
  <c r="M24" i="28"/>
  <c r="N24" i="28"/>
  <c r="O24" i="28"/>
  <c r="H27" i="28"/>
  <c r="I27" i="28"/>
  <c r="J27" i="28"/>
  <c r="K27" i="28"/>
  <c r="L27" i="28"/>
  <c r="M27" i="28"/>
  <c r="N27" i="28"/>
  <c r="O27" i="28"/>
  <c r="H28" i="28"/>
  <c r="I28" i="28"/>
  <c r="J28" i="28"/>
  <c r="K28" i="28"/>
  <c r="L28" i="28"/>
  <c r="M28" i="28"/>
  <c r="N28" i="28"/>
  <c r="O28" i="28"/>
  <c r="H29" i="28"/>
  <c r="I29" i="28"/>
  <c r="J29" i="28"/>
  <c r="K29" i="28"/>
  <c r="L29" i="28"/>
  <c r="M29" i="28"/>
  <c r="N29" i="28"/>
  <c r="O29" i="28"/>
  <c r="H30" i="28"/>
  <c r="I30" i="28"/>
  <c r="J30" i="28"/>
  <c r="K30" i="28"/>
  <c r="L30" i="28"/>
  <c r="M30" i="28"/>
  <c r="N30" i="28"/>
  <c r="O30" i="28"/>
  <c r="H32" i="28"/>
  <c r="I32" i="28"/>
  <c r="J32" i="28"/>
  <c r="K32" i="28"/>
  <c r="L32" i="28"/>
  <c r="M32" i="28"/>
  <c r="N32" i="28"/>
  <c r="O32" i="28"/>
  <c r="I35" i="28"/>
  <c r="J35" i="28"/>
  <c r="K35" i="28"/>
  <c r="L35" i="28"/>
  <c r="M35" i="28"/>
  <c r="N35" i="28"/>
  <c r="O35" i="28"/>
  <c r="I36" i="28"/>
  <c r="J36" i="28"/>
  <c r="K36" i="28"/>
  <c r="L36" i="28"/>
  <c r="M36" i="28"/>
  <c r="N36" i="28"/>
  <c r="O36" i="28"/>
  <c r="H37" i="28"/>
  <c r="I37" i="28"/>
  <c r="J37" i="28"/>
  <c r="K37" i="28"/>
  <c r="L37" i="28"/>
  <c r="M37" i="28"/>
  <c r="N37" i="28"/>
  <c r="O37" i="28"/>
  <c r="H38" i="28"/>
  <c r="I38" i="28"/>
  <c r="J38" i="28"/>
  <c r="K38" i="28"/>
  <c r="L38" i="28"/>
  <c r="M38" i="28"/>
  <c r="N38" i="28"/>
  <c r="O38" i="28"/>
  <c r="H39" i="28"/>
  <c r="I39" i="28"/>
  <c r="J39" i="28"/>
  <c r="K39" i="28"/>
  <c r="L39" i="28"/>
  <c r="M39" i="28"/>
  <c r="N39" i="28"/>
  <c r="O39" i="28"/>
  <c r="H41" i="28"/>
  <c r="I41" i="28"/>
  <c r="J41" i="28"/>
  <c r="K41" i="28"/>
  <c r="L41" i="28"/>
  <c r="M41" i="28"/>
  <c r="N41" i="28"/>
  <c r="O41" i="28"/>
  <c r="I44" i="28"/>
  <c r="J44" i="28"/>
  <c r="K44" i="28"/>
  <c r="L44" i="28"/>
  <c r="M44" i="28"/>
  <c r="N44" i="28"/>
  <c r="O44" i="28"/>
  <c r="I45" i="28"/>
  <c r="J45" i="28"/>
  <c r="K45" i="28"/>
  <c r="L45" i="28"/>
  <c r="M45" i="28"/>
  <c r="N45" i="28"/>
  <c r="O45" i="28"/>
  <c r="H46" i="28"/>
  <c r="I46" i="28"/>
  <c r="J46" i="28"/>
  <c r="K46" i="28"/>
  <c r="L46" i="28"/>
  <c r="M46" i="28"/>
  <c r="N46" i="28"/>
  <c r="O46" i="28"/>
  <c r="H47" i="28"/>
  <c r="I47" i="28"/>
  <c r="J47" i="28"/>
  <c r="K47" i="28"/>
  <c r="L47" i="28"/>
  <c r="M47" i="28"/>
  <c r="N47" i="28"/>
  <c r="O47" i="28"/>
  <c r="H48" i="28"/>
  <c r="I48" i="28"/>
  <c r="J48" i="28"/>
  <c r="K48" i="28"/>
  <c r="L48" i="28"/>
  <c r="M48" i="28"/>
  <c r="N48" i="28"/>
  <c r="O48" i="28"/>
  <c r="H60" i="28"/>
  <c r="I60" i="28"/>
  <c r="J60" i="28"/>
  <c r="K60" i="28"/>
  <c r="L60" i="28"/>
  <c r="M60" i="28"/>
  <c r="N60" i="28"/>
  <c r="O60" i="28"/>
  <c r="H61" i="28"/>
  <c r="I61" i="28"/>
  <c r="J61" i="28"/>
  <c r="K61" i="28"/>
  <c r="L61" i="28"/>
  <c r="M61" i="28"/>
  <c r="N61" i="28"/>
  <c r="O61" i="28"/>
  <c r="H66" i="28"/>
  <c r="I66" i="28"/>
  <c r="J66" i="28"/>
  <c r="K66" i="28"/>
  <c r="L66" i="28"/>
  <c r="M66" i="28"/>
  <c r="N66" i="28"/>
  <c r="O66" i="28"/>
  <c r="H68" i="28"/>
  <c r="I68" i="28"/>
  <c r="J68" i="28"/>
  <c r="K68" i="28"/>
  <c r="L68" i="28"/>
  <c r="M68" i="28"/>
  <c r="N68" i="28"/>
  <c r="O68" i="28"/>
  <c r="H69" i="28"/>
  <c r="I69" i="28"/>
  <c r="J69" i="28"/>
  <c r="K69" i="28"/>
  <c r="L69" i="28"/>
  <c r="M69" i="28"/>
  <c r="N69" i="28"/>
  <c r="O69" i="28"/>
  <c r="H70" i="28"/>
  <c r="I70" i="28"/>
  <c r="J70" i="28"/>
  <c r="K70" i="28"/>
  <c r="L70" i="28"/>
  <c r="M70" i="28"/>
  <c r="N70" i="28"/>
  <c r="O70" i="28"/>
  <c r="H71" i="28"/>
  <c r="I71" i="28"/>
  <c r="J71" i="28"/>
  <c r="K71" i="28"/>
  <c r="L71" i="28"/>
  <c r="M71" i="28"/>
  <c r="N71" i="28"/>
  <c r="O71" i="28"/>
  <c r="H72" i="28"/>
  <c r="I72" i="28"/>
  <c r="J72" i="28"/>
  <c r="K72" i="28"/>
  <c r="L72" i="28"/>
  <c r="M72" i="28"/>
  <c r="N72" i="28"/>
  <c r="O72" i="28"/>
  <c r="H12" i="24"/>
  <c r="I12" i="24"/>
  <c r="J12" i="24"/>
  <c r="K12" i="24"/>
  <c r="L12" i="24"/>
  <c r="M12" i="24"/>
  <c r="N12" i="24"/>
  <c r="O12" i="24"/>
  <c r="H13" i="24"/>
  <c r="I13" i="24"/>
  <c r="J13" i="24"/>
  <c r="K13" i="24"/>
  <c r="L13" i="24"/>
  <c r="M13" i="24"/>
  <c r="N13" i="24"/>
  <c r="O13" i="24"/>
  <c r="H14" i="24"/>
  <c r="I14" i="24"/>
  <c r="J14" i="24"/>
  <c r="K14" i="24"/>
  <c r="L14" i="24"/>
  <c r="M14" i="24"/>
  <c r="N14" i="24"/>
  <c r="O14" i="24"/>
  <c r="H15" i="24"/>
  <c r="I15" i="24"/>
  <c r="J15" i="24"/>
  <c r="K15" i="24"/>
  <c r="L15" i="24"/>
  <c r="M15" i="24"/>
  <c r="N15" i="24"/>
  <c r="O15" i="24"/>
  <c r="H77" i="27"/>
  <c r="I77" i="27"/>
  <c r="J77" i="27"/>
  <c r="K77" i="27"/>
  <c r="L77" i="27"/>
  <c r="M77" i="27"/>
  <c r="N77" i="27"/>
  <c r="O77" i="27"/>
  <c r="H80" i="27"/>
  <c r="I80" i="27"/>
  <c r="J80" i="27"/>
  <c r="K80" i="27"/>
  <c r="L80" i="27"/>
  <c r="M80" i="27"/>
  <c r="N80" i="27"/>
  <c r="O80" i="27"/>
  <c r="H81" i="27"/>
  <c r="I81" i="27"/>
  <c r="J81" i="27"/>
  <c r="K81" i="27"/>
  <c r="L81" i="27"/>
  <c r="M81" i="27"/>
  <c r="N81" i="27"/>
  <c r="O81" i="27"/>
  <c r="H87" i="27"/>
  <c r="I87" i="27"/>
  <c r="J87" i="27"/>
  <c r="K87" i="27"/>
  <c r="L87" i="27"/>
  <c r="M87" i="27"/>
  <c r="N87" i="27"/>
  <c r="O87" i="27"/>
  <c r="H88" i="27"/>
  <c r="I88" i="27"/>
  <c r="J88" i="27"/>
  <c r="K88" i="27"/>
  <c r="L88" i="27"/>
  <c r="M88" i="27"/>
  <c r="N88" i="27"/>
  <c r="O88" i="27"/>
  <c r="G89" i="27"/>
  <c r="G90" i="27"/>
  <c r="H95" i="27"/>
  <c r="I95" i="27"/>
  <c r="J95" i="27"/>
  <c r="K95" i="27"/>
  <c r="L95" i="27"/>
  <c r="M95" i="27"/>
  <c r="N95" i="27"/>
  <c r="O95" i="27"/>
  <c r="H96" i="27"/>
  <c r="I96" i="27"/>
  <c r="J96" i="27"/>
  <c r="K96" i="27"/>
  <c r="L96" i="27"/>
  <c r="M96" i="27"/>
  <c r="N96" i="27"/>
  <c r="O96" i="27"/>
  <c r="G97" i="27"/>
  <c r="G98" i="27"/>
  <c r="H101" i="27"/>
  <c r="I101" i="27"/>
  <c r="J101" i="27"/>
  <c r="K101" i="27"/>
  <c r="L101" i="27"/>
  <c r="M101" i="27"/>
  <c r="N101" i="27"/>
  <c r="O101" i="27"/>
  <c r="G102" i="27"/>
  <c r="G103" i="27"/>
  <c r="C108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Financial Edge</author>
  </authors>
  <commentList>
    <comment ref="D22" authorId="0" shapeId="0" xr:uid="{5C7252DF-C897-48AF-B319-BF2854532C6B}">
      <text>
        <r>
          <rPr>
            <b/>
            <sz val="9"/>
            <color indexed="81"/>
            <rFont val="Tahoma"/>
            <charset val="1"/>
          </rPr>
          <t>Financial Edge:</t>
        </r>
        <r>
          <rPr>
            <sz val="9"/>
            <color indexed="81"/>
            <rFont val="Tahoma"/>
            <charset val="1"/>
          </rPr>
          <t xml:space="preserve">
Margin improvement run rate is a single cell to be controlled by data tables. It controls the input tab 3rd year improvements.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Financial Edge</author>
  </authors>
  <commentList>
    <comment ref="K8" authorId="0" shapeId="0" xr:uid="{0D58BE62-A247-449D-9EF6-2F0E417678E9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Factset estimates</t>
        </r>
      </text>
    </comment>
    <comment ref="J11" authorId="0" shapeId="0" xr:uid="{CDE7FC5E-286C-43F7-9BFC-C73FC6216E85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Factset estimates</t>
        </r>
      </text>
    </comment>
    <comment ref="J12" authorId="0" shapeId="0" xr:uid="{144E7629-61A0-421C-955D-E8E93707A975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Factset estimates</t>
        </r>
      </text>
    </comment>
    <comment ref="K18" authorId="0" shapeId="0" xr:uid="{59DA29ED-2E90-42CA-A2B6-FB3D691A8396}">
      <text>
        <r>
          <rPr>
            <b/>
            <sz val="9"/>
            <color indexed="81"/>
            <rFont val="Tahoma"/>
            <family val="2"/>
          </rPr>
          <t>Financial Edge:</t>
        </r>
        <r>
          <rPr>
            <sz val="9"/>
            <color indexed="81"/>
            <rFont val="Tahoma"/>
            <family val="2"/>
          </rPr>
          <t xml:space="preserve">
Factset estimates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<sst xmlns="http://schemas.openxmlformats.org/spreadsheetml/2006/main" count="366" uniqueCount="220">
  <si>
    <t>Features</t>
  </si>
  <si>
    <t>◦</t>
  </si>
  <si>
    <t>Model Details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</si>
  <si>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</si>
  <si>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</si>
  <si>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</si>
  <si>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</si>
  <si>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</si>
  <si>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</si>
  <si>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</si>
  <si>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</si>
  <si>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</si>
  <si>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</si>
  <si>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Goodwill</t>
  </si>
  <si>
    <t>Depreciation</t>
  </si>
  <si>
    <t>Target</t>
  </si>
  <si>
    <t>Figures in MMs</t>
  </si>
  <si>
    <t>Hist.</t>
  </si>
  <si>
    <t>Proj.</t>
  </si>
  <si>
    <t>SG&amp;A % sales</t>
  </si>
  <si>
    <t>Effective tax rate</t>
  </si>
  <si>
    <t>Balance sheet assumptions</t>
  </si>
  <si>
    <t>Inventory days</t>
  </si>
  <si>
    <t>Receivable days</t>
  </si>
  <si>
    <t>Other current assets % of sales</t>
  </si>
  <si>
    <t>Capex % sales</t>
  </si>
  <si>
    <t>Payable days</t>
  </si>
  <si>
    <t>Net PP&amp;E</t>
  </si>
  <si>
    <t>Beginning</t>
  </si>
  <si>
    <t>Capex</t>
  </si>
  <si>
    <t xml:space="preserve"> Ending</t>
  </si>
  <si>
    <t>Equity</t>
  </si>
  <si>
    <t>Net income</t>
  </si>
  <si>
    <t>Operating working capital</t>
  </si>
  <si>
    <t xml:space="preserve"> OWC</t>
  </si>
  <si>
    <t>Beginning cash</t>
  </si>
  <si>
    <t>Net sales</t>
  </si>
  <si>
    <t>SG&amp;A</t>
  </si>
  <si>
    <t>Interest expense</t>
  </si>
  <si>
    <t>Income before tax</t>
  </si>
  <si>
    <t>Provision for income taxes</t>
  </si>
  <si>
    <t>Cash</t>
  </si>
  <si>
    <t>Accounts receivable</t>
  </si>
  <si>
    <t>Inventories</t>
  </si>
  <si>
    <t>Other current assets</t>
  </si>
  <si>
    <t xml:space="preserve"> Total current assets</t>
  </si>
  <si>
    <t>PP&amp;E</t>
  </si>
  <si>
    <t xml:space="preserve"> Total assets</t>
  </si>
  <si>
    <t>Revolver</t>
  </si>
  <si>
    <t>Accounts payable</t>
  </si>
  <si>
    <t xml:space="preserve"> Total current liabilities</t>
  </si>
  <si>
    <t xml:space="preserve"> Total liabilities</t>
  </si>
  <si>
    <t xml:space="preserve"> Total liabilities and equity</t>
  </si>
  <si>
    <t>Balance?</t>
  </si>
  <si>
    <t>(Inc) dec in other LT assets</t>
  </si>
  <si>
    <t>Inc (dec) in other LT liabilities</t>
  </si>
  <si>
    <t>(Inc) dec in OWC</t>
  </si>
  <si>
    <t xml:space="preserve"> Cash flow from operations</t>
  </si>
  <si>
    <t>(Capex)</t>
  </si>
  <si>
    <t xml:space="preserve"> Cash flow from investing activities</t>
  </si>
  <si>
    <t>Inc (dec) in revolver</t>
  </si>
  <si>
    <t xml:space="preserve"> Cash flow from financing activities</t>
  </si>
  <si>
    <t>Net cash flow</t>
  </si>
  <si>
    <t xml:space="preserve"> Ending cash</t>
  </si>
  <si>
    <t>© 2016 Financial Edge Training</t>
  </si>
  <si>
    <t>Other LT assets</t>
  </si>
  <si>
    <t>Debt</t>
  </si>
  <si>
    <t>Other LT liabilities</t>
  </si>
  <si>
    <t>Income statement assumptions</t>
  </si>
  <si>
    <t>Inc (dec) in LT debt</t>
  </si>
  <si>
    <t>Key assumptions</t>
  </si>
  <si>
    <t>Historic EBITDA</t>
  </si>
  <si>
    <t>Acquisition EV</t>
  </si>
  <si>
    <t>Fees % EV</t>
  </si>
  <si>
    <t>Exit year</t>
  </si>
  <si>
    <t>Net debt</t>
  </si>
  <si>
    <t>Acquisition equity value</t>
  </si>
  <si>
    <t>Refinanced net debt</t>
  </si>
  <si>
    <t>Fees</t>
  </si>
  <si>
    <t xml:space="preserve"> Total uses</t>
  </si>
  <si>
    <t>Common equity</t>
  </si>
  <si>
    <t xml:space="preserve"> Total sources</t>
  </si>
  <si>
    <t>Spread</t>
  </si>
  <si>
    <t>Rate</t>
  </si>
  <si>
    <t>Ownership</t>
  </si>
  <si>
    <t>Mezzanine</t>
  </si>
  <si>
    <t>Equity purchase price</t>
  </si>
  <si>
    <t>Net identifable assets</t>
  </si>
  <si>
    <t xml:space="preserve"> Goodwill</t>
  </si>
  <si>
    <t>Accounting</t>
  </si>
  <si>
    <t>Financing</t>
  </si>
  <si>
    <t>Combo</t>
  </si>
  <si>
    <t>Beginning cash balance</t>
  </si>
  <si>
    <t>Cash flow from operations</t>
  </si>
  <si>
    <t>Cash flow from investing</t>
  </si>
  <si>
    <t>Mandatory repayment</t>
  </si>
  <si>
    <t xml:space="preserve"> Cash flow for debt repayment</t>
  </si>
  <si>
    <t>Mandatory repayments</t>
  </si>
  <si>
    <t>Beginning balance</t>
  </si>
  <si>
    <t>Accelerated repayment</t>
  </si>
  <si>
    <t xml:space="preserve"> Ending balance</t>
  </si>
  <si>
    <t xml:space="preserve"> Cash flow for second lien acceleration</t>
  </si>
  <si>
    <t>Cash flow</t>
  </si>
  <si>
    <t>Preference shares</t>
  </si>
  <si>
    <t xml:space="preserve"> Cash flow for revolver</t>
  </si>
  <si>
    <t>Issuance (repayment)</t>
  </si>
  <si>
    <t>Cash flow for first lien acceleration</t>
  </si>
  <si>
    <t>Management</t>
  </si>
  <si>
    <t>Mandatory repayment assumptions</t>
  </si>
  <si>
    <t>Tax expense</t>
  </si>
  <si>
    <t>Credit ratios</t>
  </si>
  <si>
    <t>EBITDA</t>
  </si>
  <si>
    <t>EBITDA - capex</t>
  </si>
  <si>
    <t>Total debt</t>
  </si>
  <si>
    <t>Total debt / EBITDA</t>
  </si>
  <si>
    <t>Total debt / EBITDA - capex</t>
  </si>
  <si>
    <t>EBITDA / cash interest</t>
  </si>
  <si>
    <t>% of total debt repaid</t>
  </si>
  <si>
    <t>EBITDA - capex / cash interest</t>
  </si>
  <si>
    <t>Equity returns</t>
  </si>
  <si>
    <t>Year count</t>
  </si>
  <si>
    <t>% total</t>
  </si>
  <si>
    <t>% cash sweep</t>
  </si>
  <si>
    <t>Enterprise value</t>
  </si>
  <si>
    <t>+ Cash</t>
  </si>
  <si>
    <t>- Preference shares</t>
  </si>
  <si>
    <t xml:space="preserve"> = Equity value</t>
  </si>
  <si>
    <t xml:space="preserve">Other LT assets amount </t>
  </si>
  <si>
    <t>Other LT liabilities amount</t>
  </si>
  <si>
    <t>LBO Model</t>
  </si>
  <si>
    <t>Acquisition date</t>
  </si>
  <si>
    <t>Last target year end</t>
  </si>
  <si>
    <t>Consolidation</t>
  </si>
  <si>
    <t>SOFR</t>
  </si>
  <si>
    <t>Other current liabilities</t>
  </si>
  <si>
    <t>Other current lia % sales</t>
  </si>
  <si>
    <t>Other current lia</t>
  </si>
  <si>
    <t>PIK dividends</t>
  </si>
  <si>
    <t>Ending</t>
  </si>
  <si>
    <t>Total</t>
  </si>
  <si>
    <t>Financing package scenarios</t>
  </si>
  <si>
    <t>COS</t>
  </si>
  <si>
    <t>Gross profit</t>
  </si>
  <si>
    <t>Non-recurring expenses</t>
  </si>
  <si>
    <t>Operating profits</t>
  </si>
  <si>
    <t>Operating profit</t>
  </si>
  <si>
    <t>Share price</t>
  </si>
  <si>
    <t>Premium</t>
  </si>
  <si>
    <t>Acquisition share price</t>
  </si>
  <si>
    <t>Basic shares outstanding</t>
  </si>
  <si>
    <t>Dilution adjustment</t>
  </si>
  <si>
    <t>Diluted shares outstanding</t>
  </si>
  <si>
    <t>Instrument</t>
  </si>
  <si>
    <t>Price</t>
  </si>
  <si>
    <t>Dilution</t>
  </si>
  <si>
    <t>Financing package options</t>
  </si>
  <si>
    <t>Package 1</t>
  </si>
  <si>
    <t>Package 2</t>
  </si>
  <si>
    <t>Entry</t>
  </si>
  <si>
    <t>Exit</t>
  </si>
  <si>
    <t>PE institution</t>
  </si>
  <si>
    <t>Cost of sales % sales</t>
  </si>
  <si>
    <t>PIK interest</t>
  </si>
  <si>
    <t>Cash interest</t>
  </si>
  <si>
    <t xml:space="preserve">Mezzanine </t>
  </si>
  <si>
    <t xml:space="preserve">PE institution </t>
  </si>
  <si>
    <t>IRR</t>
  </si>
  <si>
    <t>Multiple of money</t>
  </si>
  <si>
    <t>Mezzanine debt</t>
  </si>
  <si>
    <t>- Total debt excl mezz</t>
  </si>
  <si>
    <t>-Mezzanine debt</t>
  </si>
  <si>
    <t>Exit mult</t>
  </si>
  <si>
    <t>Hologic LBO model</t>
  </si>
  <si>
    <t>Hologic</t>
  </si>
  <si>
    <t>Millions $</t>
  </si>
  <si>
    <t>Revolver committed amount</t>
  </si>
  <si>
    <t>Revolver commitment fee</t>
  </si>
  <si>
    <t>Subordinated debt</t>
  </si>
  <si>
    <t>Term loan B</t>
  </si>
  <si>
    <t>Mezzanine warrant exit %</t>
  </si>
  <si>
    <t>Hologic LBO</t>
  </si>
  <si>
    <t>Depreciation % of opening PP&amp;E</t>
  </si>
  <si>
    <t xml:space="preserve">Depn </t>
  </si>
  <si>
    <t>Margin improvement run rate</t>
  </si>
  <si>
    <t>EBITDA post cost improvements</t>
  </si>
  <si>
    <t>Revolver facility total commitment</t>
  </si>
  <si>
    <t>Drawn</t>
  </si>
  <si>
    <t>Undrawn</t>
  </si>
  <si>
    <t>Uses</t>
  </si>
  <si>
    <t>Sources</t>
  </si>
  <si>
    <t>Debt/LTM</t>
  </si>
  <si>
    <t>Margin improvement in 3rd yr</t>
  </si>
  <si>
    <t>Fund IRR sensitivity to exit multiple and margin improvement run-rate</t>
  </si>
  <si>
    <t>Margin improvements</t>
  </si>
  <si>
    <t>EBITDA post margin improvements</t>
  </si>
  <si>
    <t>Commitment fee</t>
  </si>
  <si>
    <t>Compliance check</t>
  </si>
  <si>
    <t>Total interest expense (incl fees)</t>
  </si>
  <si>
    <t>Total cash interest (incl fees)</t>
  </si>
  <si>
    <t>Selected case</t>
  </si>
  <si>
    <t>Base</t>
  </si>
  <si>
    <t>Base case sales growth</t>
  </si>
  <si>
    <t>Bank case sales growth</t>
  </si>
  <si>
    <t>Selected case sales growth</t>
  </si>
  <si>
    <t>Bank</t>
  </si>
  <si>
    <t>Base case margin improvement as a % of LTM sales</t>
  </si>
  <si>
    <t>Bank case margin improvement as a % of LTM sales</t>
  </si>
  <si>
    <t>Selected case margin improvement as a % of LTM sales</t>
  </si>
  <si>
    <t>Entry EV/historic EBITDA</t>
  </si>
  <si>
    <t>Exit EV/historic EBITDA</t>
  </si>
  <si>
    <t>Options</t>
  </si>
  <si>
    <t>RSUs</t>
  </si>
  <si>
    <t>Exit year flag</t>
  </si>
  <si>
    <t>Bank and base case assumptions</t>
  </si>
  <si>
    <t>Cash interest reduction</t>
  </si>
  <si>
    <t>Mezz cash int rate</t>
  </si>
  <si>
    <t>Mezzanine cash interest</t>
  </si>
  <si>
    <t>PIK interest switch</t>
  </si>
  <si>
    <t>Number</t>
  </si>
  <si>
    <t>Selected financing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</si>
</sst>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5" formatCode="#,##0.0_);\(#,##0.0\)"/>
    <numFmt numFmtId="176" formatCode="_ \ * #,##0.0_)_%;_ \ * \(#,##0.0\)_%;;_ \ * @_)_%"/>
    <numFmt numFmtId="177" formatCode="#,##0.0_)_%;\(#,##0.0\)_%;#,##0.0_)_%;@_)_%"/>
    <numFmt numFmtId="178" formatCode="0.00%_);\(0.00%\)"/>
    <numFmt numFmtId="179" formatCode="#,##0.00_);\(#,##0.00\);0.00_);@_)"/>
  </numFmts>
  <fonts count="55" x14ac:knownFonts="1">
    <font>
      <sz val="1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808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6"/>
      <color rgb="FF0F2FB5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66CC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0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">
    <xf numFmtId="174" fontId="0" fillId="0" borderId="0" applyFill="0" applyBorder="0" applyAlignment="0" applyProtection="0"/>
    <xf numFmtId="0" fontId="8" fillId="0" borderId="0" applyNumberFormat="0" applyFill="0" applyBorder="0" applyAlignment="0" applyProtection="0"/>
    <xf numFmtId="167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5" applyNumberFormat="0" applyAlignment="0" applyProtection="0"/>
    <xf numFmtId="0" fontId="20" fillId="10" borderId="6" applyNumberFormat="0" applyAlignment="0" applyProtection="0"/>
    <xf numFmtId="0" fontId="21" fillId="10" borderId="5" applyNumberFormat="0" applyAlignment="0" applyProtection="0"/>
    <xf numFmtId="0" fontId="22" fillId="0" borderId="7" applyNumberFormat="0" applyFill="0" applyAlignment="0" applyProtection="0"/>
    <xf numFmtId="0" fontId="23" fillId="11" borderId="8" applyNumberFormat="0" applyAlignment="0" applyProtection="0"/>
    <xf numFmtId="0" fontId="24" fillId="0" borderId="0" applyNumberFormat="0" applyFill="0" applyBorder="0" applyAlignment="0" applyProtection="0"/>
    <xf numFmtId="0" fontId="11" fillId="12" borderId="9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7" fillId="36" borderId="0" applyNumberFormat="0" applyBorder="0" applyAlignment="0" applyProtection="0"/>
    <xf numFmtId="0" fontId="34" fillId="2" borderId="0" applyNumberFormat="0">
      <alignment horizontal="left"/>
    </xf>
    <xf numFmtId="0" fontId="10" fillId="3" borderId="0" applyNumberFormat="0" applyAlignment="0">
      <alignment horizontal="left"/>
    </xf>
    <xf numFmtId="0" fontId="6" fillId="0" borderId="0" applyNumberFormat="0" applyFill="0" applyBorder="0">
      <alignment horizontal="left" vertical="center"/>
    </xf>
    <xf numFmtId="0" fontId="4" fillId="5" borderId="0" applyNumberFormat="0" applyFont="0" applyAlignment="0" applyProtection="0">
      <alignment vertical="top"/>
    </xf>
    <xf numFmtId="168" fontId="30" fillId="3" borderId="0">
      <alignment horizontal="center"/>
    </xf>
    <xf numFmtId="170" fontId="29" fillId="2" borderId="0">
      <alignment horizontal="center"/>
    </xf>
    <xf numFmtId="170" fontId="5" fillId="0" borderId="0">
      <alignment vertical="top"/>
    </xf>
    <xf numFmtId="168" fontId="3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31" fillId="2" borderId="0" applyFont="0" applyFill="0" applyBorder="0" applyAlignment="0" applyProtection="0"/>
    <xf numFmtId="170" fontId="32" fillId="2" borderId="0" applyNumberFormat="0" applyFill="0" applyBorder="0" applyAlignment="0" applyProtection="0"/>
    <xf numFmtId="170" fontId="33" fillId="0" borderId="0" applyNumberFormat="0" applyFill="0" applyBorder="0" applyAlignment="0">
      <alignment vertical="top"/>
    </xf>
    <xf numFmtId="173" fontId="31" fillId="2" borderId="0" applyFont="0" applyFill="0" applyBorder="0" applyAlignment="0" applyProtection="0"/>
    <xf numFmtId="171" fontId="32" fillId="37" borderId="11" applyNumberFormat="0">
      <protection locked="0"/>
    </xf>
    <xf numFmtId="0" fontId="4" fillId="5" borderId="12" applyFont="0" applyAlignment="0" applyProtection="0">
      <alignment vertical="top"/>
    </xf>
    <xf numFmtId="170" fontId="34" fillId="3" borderId="0" applyNumberFormat="0" applyBorder="0">
      <alignment horizontal="center" vertical="top"/>
    </xf>
    <xf numFmtId="170" fontId="5" fillId="38" borderId="0" applyNumberFormat="0" applyFont="0" applyBorder="0" applyAlignment="0" applyProtection="0">
      <alignment vertical="top"/>
    </xf>
    <xf numFmtId="175" fontId="32" fillId="0" borderId="0" applyNumberFormat="0" applyFill="0" applyBorder="0" applyAlignment="0" applyProtection="0"/>
    <xf numFmtId="15" fontId="37" fillId="0" borderId="0" applyFill="0" applyBorder="0" applyAlignment="0" applyProtection="0"/>
    <xf numFmtId="176" fontId="38" fillId="39" borderId="0" applyFill="0" applyBorder="0" applyAlignment="0" applyProtection="0">
      <alignment horizontal="center"/>
    </xf>
    <xf numFmtId="0" fontId="39" fillId="39" borderId="13" applyNumberFormat="0" applyBorder="0" applyAlignment="0" applyProtection="0">
      <alignment horizontal="center"/>
    </xf>
    <xf numFmtId="0" fontId="40" fillId="0" borderId="0" applyNumberFormat="0" applyFill="0" applyBorder="0" applyAlignment="0" applyProtection="0"/>
    <xf numFmtId="171" fontId="2" fillId="0" borderId="0" applyFont="0" applyFill="0" applyBorder="0" applyAlignment="0" applyProtection="0"/>
    <xf numFmtId="177" fontId="41" fillId="0" borderId="0" applyFont="0" applyFill="0" applyBorder="0" applyAlignment="0" applyProtection="0">
      <alignment horizontal="right"/>
    </xf>
    <xf numFmtId="172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77" fontId="43" fillId="0" borderId="14" applyNumberFormat="0" applyFill="0" applyAlignment="0">
      <alignment horizontal="right"/>
    </xf>
    <xf numFmtId="175" fontId="1" fillId="0" borderId="0" applyFont="0" applyFill="0" applyBorder="0" applyAlignment="0" applyProtection="0"/>
    <xf numFmtId="15" fontId="1" fillId="0" borderId="0" applyFont="0" applyFill="0" applyBorder="0" applyAlignment="0" applyProtection="0"/>
    <xf numFmtId="175" fontId="44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4" fontId="46" fillId="0" borderId="0"/>
    <xf numFmtId="0" fontId="47" fillId="0" borderId="0" applyFill="0" applyBorder="0" applyAlignment="0" applyProtection="0"/>
    <xf numFmtId="0" fontId="48" fillId="4" borderId="0" applyNumberFormat="0" applyFill="0" applyBorder="0" applyAlignment="0" applyProtection="0">
      <alignment horizontal="right"/>
    </xf>
  </cellStyleXfs>
  <cellXfs count="102">
    <xf numFmtId="174" fontId="0" fillId="0" borderId="0" xfId="0"/>
    <xf numFmtId="174" fontId="4" fillId="5" borderId="0" xfId="0" applyFont="1" applyFill="1" applyBorder="1"/>
    <xf numFmtId="174" fontId="4" fillId="4" borderId="0" xfId="0" applyFont="1" applyFill="1" applyBorder="1"/>
    <xf numFmtId="174" fontId="4" fillId="5" borderId="0" xfId="0" applyFont="1" applyFill="1" applyBorder="1" applyAlignment="1">
      <alignment vertical="top" wrapText="1"/>
    </xf>
    <xf numFmtId="174" fontId="4" fillId="5" borderId="1" xfId="0" applyFont="1" applyFill="1" applyBorder="1" applyAlignment="1">
      <alignment vertical="top"/>
    </xf>
    <xf numFmtId="170" fontId="34" fillId="2" borderId="0" xfId="48" applyNumberFormat="1">
      <alignment horizontal="left"/>
    </xf>
    <xf numFmtId="174" fontId="27" fillId="2" borderId="0" xfId="0" applyFont="1" applyFill="1" applyBorder="1" applyAlignment="1"/>
    <xf numFmtId="174" fontId="28" fillId="3" borderId="0" xfId="0" applyFont="1" applyFill="1" applyBorder="1" applyAlignment="1"/>
    <xf numFmtId="174" fontId="5" fillId="5" borderId="0" xfId="0" applyFont="1" applyFill="1" applyBorder="1" applyAlignment="1">
      <alignment horizontal="center" vertical="top"/>
    </xf>
    <xf numFmtId="174" fontId="5" fillId="5" borderId="0" xfId="0" applyFont="1" applyFill="1" applyBorder="1" applyAlignment="1">
      <alignment vertical="top"/>
    </xf>
    <xf numFmtId="174" fontId="27" fillId="2" borderId="0" xfId="0" applyFont="1" applyFill="1" applyBorder="1" applyAlignment="1">
      <alignment vertical="center"/>
    </xf>
    <xf numFmtId="168" fontId="30" fillId="3" borderId="0" xfId="52">
      <alignment horizontal="center"/>
    </xf>
    <xf numFmtId="170" fontId="29" fillId="2" borderId="0" xfId="53">
      <alignment horizontal="center"/>
    </xf>
    <xf numFmtId="170" fontId="34" fillId="2" borderId="0" xfId="48" applyNumberFormat="1" applyAlignment="1"/>
    <xf numFmtId="170" fontId="10" fillId="3" borderId="0" xfId="49" applyNumberFormat="1" applyAlignment="1"/>
    <xf numFmtId="174" fontId="4" fillId="5" borderId="0" xfId="0" applyFont="1" applyFill="1" applyBorder="1" applyAlignment="1">
      <alignment horizontal="left" vertical="top"/>
    </xf>
    <xf numFmtId="174" fontId="4" fillId="5" borderId="0" xfId="0" applyFont="1" applyFill="1" applyBorder="1" applyAlignment="1">
      <alignment vertical="top"/>
    </xf>
    <xf numFmtId="174" fontId="4" fillId="0" borderId="0" xfId="0" applyFont="1" applyFill="1" applyBorder="1" applyAlignment="1">
      <alignment vertical="top" wrapText="1"/>
    </xf>
    <xf numFmtId="174" fontId="5" fillId="0" borderId="0" xfId="0" applyFont="1" applyFill="1" applyBorder="1" applyAlignment="1">
      <alignment vertical="top"/>
    </xf>
    <xf numFmtId="174" fontId="4" fillId="0" borderId="0" xfId="0" applyFont="1" applyFill="1" applyBorder="1" applyAlignment="1">
      <alignment horizontal="left" wrapText="1"/>
    </xf>
    <xf numFmtId="174" fontId="4" fillId="0" borderId="0" xfId="0" applyFont="1" applyFill="1" applyBorder="1" applyAlignment="1">
      <alignment vertical="top"/>
    </xf>
    <xf numFmtId="174" fontId="4" fillId="0" borderId="0" xfId="0" applyFont="1" applyFill="1" applyBorder="1"/>
    <xf numFmtId="174" fontId="6" fillId="0" borderId="0" xfId="0" applyFont="1" applyFill="1" applyBorder="1" applyAlignment="1">
      <alignment vertical="center"/>
    </xf>
    <xf numFmtId="174" fontId="7" fillId="0" borderId="0" xfId="0" applyFont="1" applyFill="1" applyBorder="1" applyAlignment="1">
      <alignment vertical="center" wrapText="1"/>
    </xf>
    <xf numFmtId="174" fontId="4" fillId="0" borderId="0" xfId="0" applyFont="1" applyFill="1" applyBorder="1" applyAlignment="1">
      <alignment horizontal="left" vertical="top"/>
    </xf>
    <xf numFmtId="174" fontId="5" fillId="0" borderId="0" xfId="0" applyFont="1" applyFill="1" applyBorder="1" applyAlignment="1">
      <alignment horizontal="center" vertical="top"/>
    </xf>
    <xf numFmtId="174" fontId="9" fillId="0" borderId="0" xfId="0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horizontal="left"/>
    </xf>
    <xf numFmtId="174" fontId="4" fillId="0" borderId="0" xfId="0" applyFont="1" applyFill="1" applyBorder="1" applyAlignment="1">
      <alignment horizontal="left"/>
    </xf>
    <xf numFmtId="169" fontId="4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0" fillId="0" borderId="0" xfId="0" applyFill="1" applyBorder="1"/>
    <xf numFmtId="174" fontId="27" fillId="0" borderId="0" xfId="0" applyFont="1" applyFill="1" applyBorder="1" applyAlignment="1"/>
    <xf numFmtId="174" fontId="28" fillId="0" borderId="0" xfId="0" applyFont="1" applyFill="1" applyBorder="1" applyAlignment="1"/>
    <xf numFmtId="170" fontId="32" fillId="0" borderId="0" xfId="58" applyFill="1" applyBorder="1" applyAlignment="1">
      <alignment vertical="top"/>
    </xf>
    <xf numFmtId="170" fontId="4" fillId="5" borderId="0" xfId="51" applyNumberFormat="1" applyFont="1" applyAlignment="1">
      <alignment horizontal="left" vertical="top"/>
    </xf>
    <xf numFmtId="170" fontId="5" fillId="5" borderId="0" xfId="51" applyNumberFormat="1" applyFont="1" applyAlignment="1">
      <alignment horizontal="center" vertical="top"/>
    </xf>
    <xf numFmtId="170" fontId="4" fillId="5" borderId="0" xfId="51" applyNumberFormat="1" applyFont="1" applyAlignment="1"/>
    <xf numFmtId="170" fontId="7" fillId="5" borderId="0" xfId="51" applyNumberFormat="1" applyFont="1" applyAlignment="1">
      <alignment vertical="center" wrapText="1"/>
    </xf>
    <xf numFmtId="170" fontId="4" fillId="5" borderId="0" xfId="51" applyNumberFormat="1" applyFont="1" applyAlignment="1">
      <alignment vertical="top"/>
    </xf>
    <xf numFmtId="0" fontId="4" fillId="5" borderId="12" xfId="62" applyFont="1" applyAlignment="1">
      <alignment vertical="top"/>
    </xf>
    <xf numFmtId="0" fontId="5" fillId="5" borderId="12" xfId="62" applyFont="1" applyAlignment="1">
      <alignment horizontal="center" vertical="top"/>
    </xf>
    <xf numFmtId="0" fontId="4" fillId="5" borderId="12" xfId="62" applyFont="1" applyAlignment="1"/>
    <xf numFmtId="0" fontId="7" fillId="5" borderId="12" xfId="62" applyFont="1" applyAlignment="1">
      <alignment vertical="center" wrapText="1"/>
    </xf>
    <xf numFmtId="170" fontId="9" fillId="5" borderId="0" xfId="51" applyNumberFormat="1" applyFont="1" applyAlignment="1">
      <alignment vertical="center" wrapText="1"/>
    </xf>
    <xf numFmtId="0" fontId="5" fillId="5" borderId="12" xfId="62" applyFont="1" applyAlignment="1"/>
    <xf numFmtId="0" fontId="4" fillId="5" borderId="12" xfId="62" applyFont="1" applyAlignment="1">
      <alignment horizontal="left"/>
    </xf>
    <xf numFmtId="0" fontId="9" fillId="5" borderId="12" xfId="62" applyFont="1" applyAlignment="1">
      <alignment horizontal="center" vertical="center" wrapText="1"/>
    </xf>
    <xf numFmtId="0" fontId="9" fillId="5" borderId="12" xfId="62" applyFont="1" applyAlignment="1">
      <alignment vertical="center" wrapText="1"/>
    </xf>
    <xf numFmtId="170" fontId="32" fillId="37" borderId="11" xfId="61" applyNumberFormat="1">
      <protection locked="0"/>
    </xf>
    <xf numFmtId="170" fontId="4" fillId="0" borderId="0" xfId="51" applyNumberFormat="1" applyFont="1" applyFill="1" applyAlignment="1"/>
    <xf numFmtId="0" fontId="4" fillId="0" borderId="0" xfId="62" applyFont="1" applyFill="1" applyBorder="1" applyAlignment="1"/>
    <xf numFmtId="174" fontId="0" fillId="5" borderId="0" xfId="51" applyNumberFormat="1" applyFont="1" applyAlignment="1"/>
    <xf numFmtId="174" fontId="4" fillId="5" borderId="0" xfId="51" applyNumberFormat="1" applyFont="1" applyAlignment="1">
      <alignment vertical="top"/>
    </xf>
    <xf numFmtId="0" fontId="0" fillId="5" borderId="12" xfId="62" applyFont="1" applyAlignment="1"/>
    <xf numFmtId="174" fontId="6" fillId="5" borderId="0" xfId="51" applyNumberFormat="1" applyFont="1" applyAlignment="1">
      <alignment vertical="center"/>
    </xf>
    <xf numFmtId="0" fontId="5" fillId="5" borderId="12" xfId="62" applyFont="1" applyAlignment="1">
      <alignment horizontal="left" vertical="top"/>
    </xf>
    <xf numFmtId="170" fontId="4" fillId="5" borderId="0" xfId="51" applyNumberFormat="1" applyFont="1" applyAlignment="1">
      <alignment horizontal="left"/>
    </xf>
    <xf numFmtId="172" fontId="0" fillId="0" borderId="0" xfId="57" applyFont="1" applyFill="1"/>
    <xf numFmtId="174" fontId="32" fillId="0" borderId="0" xfId="65" applyNumberFormat="1"/>
    <xf numFmtId="174" fontId="45" fillId="0" borderId="0" xfId="0" applyFont="1"/>
    <xf numFmtId="172" fontId="32" fillId="0" borderId="0" xfId="57" applyFont="1" applyFill="1"/>
    <xf numFmtId="172" fontId="0" fillId="0" borderId="0" xfId="72" applyFont="1"/>
    <xf numFmtId="174" fontId="0" fillId="0" borderId="0" xfId="0" applyAlignment="1">
      <alignment horizontal="right"/>
    </xf>
    <xf numFmtId="171" fontId="0" fillId="0" borderId="0" xfId="56" applyFont="1"/>
    <xf numFmtId="171" fontId="32" fillId="37" borderId="11" xfId="61">
      <protection locked="0"/>
    </xf>
    <xf numFmtId="174" fontId="32" fillId="37" borderId="11" xfId="61" applyNumberFormat="1">
      <protection locked="0"/>
    </xf>
    <xf numFmtId="172" fontId="32" fillId="37" borderId="11" xfId="72" applyFont="1" applyFill="1" applyBorder="1" applyProtection="1">
      <protection locked="0"/>
    </xf>
    <xf numFmtId="178" fontId="32" fillId="37" borderId="11" xfId="72" applyNumberFormat="1" applyFont="1" applyFill="1" applyBorder="1" applyProtection="1">
      <protection locked="0"/>
    </xf>
    <xf numFmtId="178" fontId="0" fillId="0" borderId="0" xfId="72" applyNumberFormat="1" applyFont="1"/>
    <xf numFmtId="172" fontId="32" fillId="37" borderId="11" xfId="57" applyFont="1" applyFill="1" applyBorder="1" applyProtection="1">
      <protection locked="0"/>
    </xf>
    <xf numFmtId="0" fontId="32" fillId="0" borderId="0" xfId="65" applyNumberFormat="1"/>
    <xf numFmtId="0" fontId="0" fillId="0" borderId="0" xfId="0" applyNumberFormat="1"/>
    <xf numFmtId="174" fontId="0" fillId="0" borderId="0" xfId="0" quotePrefix="1"/>
    <xf numFmtId="174" fontId="49" fillId="4" borderId="0" xfId="0" applyFont="1" applyFill="1" applyBorder="1"/>
    <xf numFmtId="174" fontId="32" fillId="0" borderId="0" xfId="58" applyNumberFormat="1" applyFill="1"/>
    <xf numFmtId="174" fontId="49" fillId="0" borderId="0" xfId="0" applyFont="1"/>
    <xf numFmtId="172" fontId="32" fillId="37" borderId="11" xfId="61" applyNumberFormat="1">
      <protection locked="0"/>
    </xf>
    <xf numFmtId="178" fontId="32" fillId="37" borderId="11" xfId="61" applyNumberFormat="1">
      <protection locked="0"/>
    </xf>
    <xf numFmtId="172" fontId="32" fillId="0" borderId="0" xfId="58" applyNumberFormat="1" applyFill="1"/>
    <xf numFmtId="174" fontId="50" fillId="0" borderId="0" xfId="0" applyFont="1"/>
    <xf numFmtId="171" fontId="0" fillId="0" borderId="0" xfId="70" applyFont="1"/>
    <xf numFmtId="171" fontId="0" fillId="0" borderId="0" xfId="70" applyFont="1" applyFill="1"/>
    <xf numFmtId="171" fontId="29" fillId="2" borderId="0" xfId="70" applyFont="1" applyFill="1" applyAlignment="1">
      <alignment horizontal="center"/>
    </xf>
    <xf numFmtId="172" fontId="29" fillId="2" borderId="0" xfId="57" applyFont="1" applyAlignment="1">
      <alignment horizontal="center"/>
    </xf>
    <xf numFmtId="179" fontId="0" fillId="0" borderId="0" xfId="0" applyNumberFormat="1"/>
    <xf numFmtId="172" fontId="49" fillId="0" borderId="0" xfId="57" applyFont="1" applyFill="1"/>
    <xf numFmtId="174" fontId="32" fillId="0" borderId="0" xfId="65" applyNumberFormat="1" applyFill="1"/>
    <xf numFmtId="174" fontId="51" fillId="0" borderId="0" xfId="0" applyFont="1"/>
    <xf numFmtId="174" fontId="52" fillId="0" borderId="0" xfId="0" applyFont="1"/>
    <xf numFmtId="170" fontId="34" fillId="2" borderId="0" xfId="48" applyNumberFormat="1" applyAlignment="1">
      <alignment horizontal="center"/>
    </xf>
    <xf numFmtId="174" fontId="7" fillId="0" borderId="0" xfId="0" applyFont="1" applyFill="1" applyBorder="1" applyAlignment="1">
      <alignment horizontal="center" vertical="center" wrapText="1"/>
    </xf>
    <xf numFmtId="170" fontId="4" fillId="5" borderId="0" xfId="51" applyNumberFormat="1" applyFont="1" applyAlignment="1">
      <alignment horizontal="left" vertical="top"/>
    </xf>
    <xf numFmtId="170" fontId="34" fillId="3" borderId="0" xfId="49" applyNumberFormat="1" applyFont="1" applyAlignment="1">
      <alignment horizontal="center" vertical="center"/>
    </xf>
    <xf numFmtId="170" fontId="33" fillId="5" borderId="0" xfId="59" applyNumberFormat="1" applyFill="1" applyBorder="1" applyAlignment="1">
      <alignment horizontal="center" vertical="center" wrapText="1"/>
    </xf>
    <xf numFmtId="174" fontId="9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6" fillId="5" borderId="0" xfId="0" applyFont="1" applyFill="1" applyBorder="1" applyAlignment="1">
      <alignment horizontal="left" vertical="center"/>
    </xf>
    <xf numFmtId="174" fontId="6" fillId="5" borderId="0" xfId="50" applyNumberFormat="1" applyFill="1">
      <alignment horizontal="left" vertical="center"/>
    </xf>
    <xf numFmtId="168" fontId="4" fillId="5" borderId="0" xfId="51" applyNumberFormat="1" applyFont="1" applyAlignment="1">
      <alignment horizontal="left"/>
    </xf>
    <xf numFmtId="170" fontId="4" fillId="5" borderId="0" xfId="51" applyNumberFormat="1" applyFont="1" applyAlignment="1">
      <alignment horizontal="left"/>
    </xf>
    <xf numFmtId="0" fontId="4" fillId="5" borderId="0" xfId="51" applyNumberFormat="1" applyFont="1" applyAlignment="1">
      <alignment horizontal="left"/>
    </xf>
  </cellXfs>
  <cellStyles count="82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" xfId="65" xr:uid="{00000000-0005-0000-0000-000018000000}"/>
    <cellStyle name="b 2" xfId="77" xr:uid="{00000000-0005-0000-0000-000019000000}"/>
    <cellStyle name="Background Fill" xfId="51" xr:uid="{00000000-0005-0000-0000-00001A000000}"/>
    <cellStyle name="Bad" xfId="13" builtinId="27" hidden="1"/>
    <cellStyle name="BG Border" xfId="62" xr:uid="{00000000-0005-0000-0000-00001C000000}"/>
    <cellStyle name="Blank" xfId="60" xr:uid="{00000000-0005-0000-0000-00001D000000}"/>
    <cellStyle name="Calculation" xfId="17" builtinId="22" hidden="1"/>
    <cellStyle name="CapIQ_date" xfId="66" xr:uid="{00000000-0005-0000-0000-00001F000000}"/>
    <cellStyle name="Check Cell" xfId="19" builtinId="23" hidden="1"/>
    <cellStyle name="Column_header" xfId="67" xr:uid="{00000000-0005-0000-0000-000021000000}"/>
    <cellStyle name="Comma" xfId="2" builtinId="3" hidden="1"/>
    <cellStyle name="Comma [0]" xfId="3" builtinId="6" hidden="1"/>
    <cellStyle name="Cover Title" xfId="63" xr:uid="{00000000-0005-0000-0000-000024000000}"/>
    <cellStyle name="Currency" xfId="4" builtinId="4" hidden="1"/>
    <cellStyle name="Currency [0]" xfId="5" builtinId="7" hidden="1"/>
    <cellStyle name="d" xfId="76" xr:uid="{00000000-0005-0000-0000-000027000000}"/>
    <cellStyle name="DataOutput" xfId="81" xr:uid="{00000000-0005-0000-0000-000028000000}"/>
    <cellStyle name="Date" xfId="55" xr:uid="{00000000-0005-0000-0000-000029000000}"/>
    <cellStyle name="Date Heading" xfId="52" xr:uid="{00000000-0005-0000-0000-00002A000000}"/>
    <cellStyle name="Explanatory Text" xfId="22" builtinId="53" hidden="1"/>
    <cellStyle name="Good" xfId="12" builtinId="26" hidden="1"/>
    <cellStyle name="Hard Coded Number" xfId="58" xr:uid="{00000000-0005-0000-0000-00002D000000}"/>
    <cellStyle name="Heading" xfId="68" xr:uid="{00000000-0005-0000-0000-00002E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33000000}"/>
    <cellStyle name="Hist Proj Title" xfId="53" xr:uid="{00000000-0005-0000-0000-000034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ain_heading" xfId="69" xr:uid="{00000000-0005-0000-0000-000039000000}"/>
    <cellStyle name="Multiple" xfId="56" xr:uid="{00000000-0005-0000-0000-00003A000000}"/>
    <cellStyle name="Multiple 2" xfId="70" xr:uid="{00000000-0005-0000-0000-00003B000000}"/>
    <cellStyle name="Neutral" xfId="14" builtinId="28" hidden="1"/>
    <cellStyle name="Normal" xfId="0" builtinId="0" customBuiltin="1"/>
    <cellStyle name="Normal 2" xfId="75" xr:uid="{00000000-0005-0000-0000-00003E000000}"/>
    <cellStyle name="Normal 3" xfId="79" xr:uid="{00000000-0005-0000-0000-00003F000000}"/>
    <cellStyle name="Normal 4" xfId="80" xr:uid="{00000000-0005-0000-0000-000040000000}"/>
    <cellStyle name="Note" xfId="21" builtinId="10" hidden="1"/>
    <cellStyle name="Notes and Comments" xfId="59" xr:uid="{00000000-0005-0000-0000-000042000000}"/>
    <cellStyle name="Number_1dp" xfId="71" xr:uid="{00000000-0005-0000-0000-000043000000}"/>
    <cellStyle name="Output" xfId="16" builtinId="21" hidden="1"/>
    <cellStyle name="P" xfId="72" xr:uid="{00000000-0005-0000-0000-000045000000}"/>
    <cellStyle name="p 2" xfId="78" xr:uid="{00000000-0005-0000-0000-000046000000}"/>
    <cellStyle name="Percent" xfId="6" builtinId="5" hidden="1"/>
    <cellStyle name="Percent" xfId="57" builtinId="5" customBuiltin="1"/>
    <cellStyle name="Primary Title" xfId="48" xr:uid="{00000000-0005-0000-0000-000049000000}"/>
    <cellStyle name="Row Label" xfId="54" xr:uid="{00000000-0005-0000-0000-00004A000000}"/>
    <cellStyle name="Secondary Title" xfId="49" xr:uid="{00000000-0005-0000-0000-00004B000000}"/>
    <cellStyle name="Section_heading" xfId="73" xr:uid="{00000000-0005-0000-0000-00004C000000}"/>
    <cellStyle name="Switch" xfId="74" xr:uid="{00000000-0005-0000-0000-00004D000000}"/>
    <cellStyle name="Tertiary Title" xfId="50" xr:uid="{00000000-0005-0000-0000-00004E000000}"/>
    <cellStyle name="Title" xfId="7" builtinId="15" hidden="1"/>
    <cellStyle name="Total" xfId="23" builtinId="25" hidden="1"/>
    <cellStyle name="Warning Text" xfId="20" builtinId="11" hidden="1"/>
  </cellStyles>
  <dxfs count="1">
    <dxf>
      <font>
        <color theme="0"/>
      </font>
      <fill>
        <patternFill>
          <bgColor rgb="FF002060"/>
        </patternFill>
      </fill>
    </dxf>
  </dxfs>
  <tableStyles count="0" defaultTableStyle="TableStyleMedium2" defaultPivotStyle="PivotStyleLight16"/>
  <colors>
    <mruColors>
      <color rgb="FFE2F1FE"/>
      <color rgb="FFF0F8FE"/>
      <color rgb="FF163260"/>
      <color rgb="FF085393"/>
      <color rgb="FFBBDEFB"/>
      <color rgb="FF0000FF"/>
      <color rgb="FFEBF1FB"/>
      <color rgb="FFD3E0F5"/>
      <color rgb="FFC9D9F3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FE Training">
  <a:themeElements>
    <a:clrScheme name="Financial Edge">
      <a:dk1>
        <a:srgbClr val="3F3F3F"/>
      </a:dk1>
      <a:lt1>
        <a:sysClr val="window" lastClr="FFFFFF"/>
      </a:lt1>
      <a:dk2>
        <a:srgbClr val="163260"/>
      </a:dk2>
      <a:lt2>
        <a:srgbClr val="F2F2F2"/>
      </a:lt2>
      <a:accent1>
        <a:srgbClr val="085393"/>
      </a:accent1>
      <a:accent2>
        <a:srgbClr val="8064A2"/>
      </a:accent2>
      <a:accent3>
        <a:srgbClr val="C0504D"/>
      </a:accent3>
      <a:accent4>
        <a:srgbClr val="ED7D31"/>
      </a:accent4>
      <a:accent5>
        <a:srgbClr val="FFC000"/>
      </a:accent5>
      <a:accent6>
        <a:srgbClr val="70AD47"/>
      </a:accent6>
      <a:hlink>
        <a:srgbClr val="085393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workbookViewId="0">
      <selection sqref="A1:N1"/>
    </sheetView>
  </sheetViews>
  <sheetFormatPr defaultColWidth="9.140625" defaultRowHeight="15" x14ac:dyDescent="0.25"/>
  <cols>
    <col min="1" max="1" width="9.85546875" style="30" customWidth="1"/>
    <col min="2" max="13" width="9.140625" style="30" customWidth="1"/>
    <col min="14" max="14" width="9.85546875" style="30" customWidth="1"/>
    <col min="15" max="26" width="9.140625" style="30" customWidth="1"/>
    <col min="27" max="16384" width="9.140625" style="30"/>
  </cols>
  <sheetData>
    <row r="1" spans="1:14" s="32" customFormat="1" ht="189.75" customHeight="1" x14ac:dyDescent="0.4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s="20" customFormat="1" ht="75" customHeight="1" x14ac:dyDescent="0.25">
      <c r="A2" s="93" t="s">
        <v>172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s="21" customFormat="1" ht="7.5" customHeight="1" x14ac:dyDescent="0.25">
      <c r="B3" s="22"/>
      <c r="C3" s="22"/>
      <c r="F3" s="23"/>
      <c r="G3" s="23"/>
      <c r="H3" s="23"/>
      <c r="I3" s="23"/>
      <c r="J3" s="23"/>
      <c r="K3" s="23"/>
    </row>
    <row r="4" spans="1:14" s="21" customFormat="1" ht="15" customHeight="1" x14ac:dyDescent="0.25">
      <c r="A4" s="35"/>
      <c r="B4" s="36"/>
      <c r="C4" s="92"/>
      <c r="D4" s="92"/>
      <c r="E4" s="37"/>
      <c r="F4" s="38"/>
      <c r="G4" s="38"/>
      <c r="H4" s="38"/>
      <c r="I4" s="38"/>
      <c r="J4" s="38"/>
      <c r="K4" s="38"/>
      <c r="L4" s="37"/>
      <c r="M4" s="37"/>
      <c r="N4" s="37"/>
    </row>
    <row r="5" spans="1:14" s="21" customFormat="1" ht="15" customHeight="1" x14ac:dyDescent="0.25">
      <c r="A5" s="94" t="s">
        <v>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s="21" customFormat="1" ht="15" customHeight="1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1:14" s="21" customFormat="1" ht="15" customHeight="1" x14ac:dyDescent="0.25">
      <c r="A7" s="94" t="s">
        <v>64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4" s="21" customFormat="1" ht="15" customHeight="1" thickBot="1" x14ac:dyDescent="0.3">
      <c r="A8" s="40"/>
      <c r="B8" s="41"/>
      <c r="C8" s="40"/>
      <c r="D8" s="40"/>
      <c r="E8" s="42"/>
      <c r="F8" s="43"/>
      <c r="G8" s="43"/>
      <c r="H8" s="43"/>
      <c r="I8" s="43"/>
      <c r="J8" s="43"/>
      <c r="K8" s="43"/>
      <c r="L8" s="42"/>
      <c r="M8" s="42"/>
      <c r="N8" s="42"/>
    </row>
    <row r="9" spans="1:14" s="21" customFormat="1" ht="15" customHeight="1" x14ac:dyDescent="0.25">
      <c r="F9" s="26"/>
      <c r="G9" s="95"/>
      <c r="H9" s="95"/>
      <c r="I9" s="95"/>
      <c r="J9" s="95"/>
      <c r="K9" s="26"/>
    </row>
    <row r="10" spans="1:14" s="21" customFormat="1" ht="15" customHeight="1" x14ac:dyDescent="0.25">
      <c r="B10" s="22"/>
      <c r="C10" s="22"/>
      <c r="F10" s="26"/>
      <c r="G10" s="95"/>
      <c r="H10" s="95"/>
      <c r="I10" s="95"/>
      <c r="J10" s="95"/>
      <c r="K10" s="26"/>
    </row>
    <row r="11" spans="1:14" s="21" customFormat="1" ht="15" customHeight="1" x14ac:dyDescent="0.25">
      <c r="B11" s="18"/>
      <c r="C11" s="18"/>
      <c r="D11" s="19"/>
      <c r="F11" s="23"/>
      <c r="G11" s="23"/>
      <c r="H11" s="23"/>
      <c r="I11" s="23"/>
      <c r="J11" s="23"/>
      <c r="K11" s="23"/>
    </row>
    <row r="12" spans="1:14" s="21" customFormat="1" ht="15" customHeight="1" x14ac:dyDescent="0.25">
      <c r="A12" s="24"/>
      <c r="B12" s="18"/>
      <c r="C12" s="18"/>
      <c r="D12" s="27"/>
      <c r="F12" s="23"/>
      <c r="G12" s="91"/>
      <c r="H12" s="91"/>
      <c r="I12" s="91"/>
      <c r="J12" s="91"/>
      <c r="K12" s="23"/>
    </row>
    <row r="13" spans="1:14" s="21" customFormat="1" ht="15" customHeight="1" x14ac:dyDescent="0.25">
      <c r="A13" s="17"/>
      <c r="B13" s="18"/>
      <c r="C13" s="18"/>
      <c r="D13" s="28"/>
      <c r="F13" s="23"/>
      <c r="G13" s="91"/>
      <c r="H13" s="91"/>
      <c r="I13" s="91"/>
      <c r="J13" s="91"/>
      <c r="K13" s="23"/>
    </row>
    <row r="14" spans="1:14" s="21" customFormat="1" ht="15" customHeight="1" x14ac:dyDescent="0.25">
      <c r="A14" s="20"/>
      <c r="B14" s="18"/>
      <c r="C14" s="18"/>
      <c r="D14" s="28"/>
      <c r="F14" s="23"/>
      <c r="G14" s="91"/>
      <c r="H14" s="91"/>
      <c r="I14" s="91"/>
      <c r="J14" s="91"/>
      <c r="K14" s="23"/>
    </row>
    <row r="15" spans="1:14" s="21" customFormat="1" ht="15" customHeight="1" x14ac:dyDescent="0.25">
      <c r="A15" s="20"/>
      <c r="B15" s="18"/>
      <c r="C15" s="18"/>
      <c r="D15" s="28"/>
      <c r="F15" s="23"/>
      <c r="G15" s="23"/>
      <c r="H15" s="23"/>
      <c r="I15" s="23"/>
      <c r="J15" s="23"/>
      <c r="K15" s="23"/>
    </row>
    <row r="16" spans="1:14" s="21" customFormat="1" ht="15" customHeight="1" x14ac:dyDescent="0.25">
      <c r="A16" s="20"/>
      <c r="B16" s="18"/>
      <c r="C16" s="18"/>
      <c r="D16" s="29"/>
      <c r="F16" s="23"/>
      <c r="G16" s="91"/>
      <c r="H16" s="91"/>
      <c r="I16" s="91"/>
      <c r="J16" s="91"/>
      <c r="K16" s="23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showGridLines="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140625" customWidth="1"/>
    <col min="4" max="4" width="2.85546875" customWidth="1"/>
    <col min="5" max="7" width="1.42578125" customWidth="1"/>
    <col min="8" max="8" width="2.85546875" customWidth="1"/>
    <col min="9" max="9" width="42.85546875" customWidth="1"/>
    <col min="10" max="11" width="1.42578125" customWidth="1"/>
    <col min="12" max="12" width="31.42578125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85546875" bestFit="1" customWidth="1"/>
  </cols>
  <sheetData>
    <row r="1" spans="1:19" s="32" customFormat="1" ht="45" customHeight="1" x14ac:dyDescent="0.45">
      <c r="A1" s="13" t="s">
        <v>180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9" s="33" customFormat="1" ht="30" customHeight="1" x14ac:dyDescent="0.35">
      <c r="A2" s="14" t="str" cm="1">
        <f t="array" aca="1" ref="A2" ca="1">MID(CELL("filename",C1),FIND("]",CELL("filename",C1))+1,255)</f>
        <v>Info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9" s="2" customFormat="1" ht="7.5" customHeight="1" x14ac:dyDescent="0.25"/>
    <row r="4" spans="1:19" s="2" customFormat="1" ht="22.5" customHeight="1" x14ac:dyDescent="0.25">
      <c r="A4" s="1"/>
      <c r="B4" s="97" t="s">
        <v>0</v>
      </c>
      <c r="C4" s="97"/>
      <c r="D4" s="97"/>
      <c r="E4" s="97"/>
      <c r="F4" s="97"/>
      <c r="G4" s="97"/>
      <c r="H4" s="97"/>
      <c r="I4" s="97"/>
      <c r="K4" s="1"/>
      <c r="L4" s="97" t="s">
        <v>2</v>
      </c>
      <c r="M4" s="97"/>
      <c r="N4" s="97"/>
      <c r="O4" s="97"/>
      <c r="P4" s="97"/>
      <c r="Q4" s="38"/>
      <c r="R4" s="38"/>
    </row>
    <row r="5" spans="1:19" s="2" customFormat="1" ht="15" customHeight="1" x14ac:dyDescent="0.25">
      <c r="A5" s="15"/>
      <c r="B5" s="8" t="s">
        <v>1</v>
      </c>
      <c r="C5" s="52" t="s">
        <v>129</v>
      </c>
      <c r="D5" s="16"/>
      <c r="E5" s="16"/>
      <c r="F5" s="16"/>
      <c r="G5" s="16"/>
      <c r="H5" s="16"/>
      <c r="I5" s="16"/>
      <c r="K5" s="1"/>
      <c r="L5" s="9"/>
      <c r="M5" s="9"/>
      <c r="N5" s="100"/>
      <c r="O5" s="100"/>
      <c r="P5" s="100"/>
      <c r="Q5" s="100"/>
      <c r="R5" s="38"/>
    </row>
    <row r="6" spans="1:19" s="2" customFormat="1" ht="15" customHeight="1" x14ac:dyDescent="0.25">
      <c r="A6" s="15"/>
      <c r="B6" s="8" t="s">
        <v>1</v>
      </c>
      <c r="C6" s="52" t="s">
        <v>132</v>
      </c>
      <c r="D6" s="16"/>
      <c r="E6" s="16"/>
      <c r="F6" s="16"/>
      <c r="G6" s="16"/>
      <c r="H6" s="16"/>
      <c r="I6" s="16"/>
      <c r="K6" s="1"/>
      <c r="L6" s="9" t="s">
        <v>15</v>
      </c>
      <c r="M6" s="9"/>
      <c r="N6" s="9" t="s">
        <v>173</v>
      </c>
      <c r="O6" s="9"/>
      <c r="P6" s="57"/>
      <c r="Q6" s="57"/>
      <c r="R6" s="38"/>
    </row>
    <row r="7" spans="1:19" s="2" customFormat="1" ht="15" customHeight="1" x14ac:dyDescent="0.25">
      <c r="A7" s="3"/>
      <c r="B7" s="8" t="s">
        <v>1</v>
      </c>
      <c r="C7" s="52" t="s">
        <v>140</v>
      </c>
      <c r="D7" s="16"/>
      <c r="E7" s="16"/>
      <c r="F7" s="16"/>
      <c r="G7" s="16"/>
      <c r="H7" s="16"/>
      <c r="I7" s="16"/>
      <c r="K7" s="15"/>
      <c r="L7" s="9" t="s">
        <v>130</v>
      </c>
      <c r="M7" s="9"/>
      <c r="N7" s="99">
        <v>45930</v>
      </c>
      <c r="O7" s="99"/>
      <c r="P7" s="99"/>
      <c r="Q7" s="99"/>
      <c r="R7" s="38"/>
    </row>
    <row r="8" spans="1:19" s="2" customFormat="1" ht="15" customHeight="1" x14ac:dyDescent="0.25">
      <c r="A8" s="16"/>
      <c r="B8" s="8" t="s">
        <v>1</v>
      </c>
      <c r="C8" s="52" t="s">
        <v>176</v>
      </c>
      <c r="D8" s="16"/>
      <c r="E8" s="16"/>
      <c r="F8" s="16"/>
      <c r="G8" s="16"/>
      <c r="H8" s="16"/>
      <c r="I8" s="16"/>
      <c r="K8" s="3"/>
      <c r="L8" s="9" t="s">
        <v>131</v>
      </c>
      <c r="M8" s="9"/>
      <c r="N8" s="99">
        <v>45930</v>
      </c>
      <c r="O8" s="99"/>
      <c r="P8" s="99"/>
      <c r="Q8" s="99"/>
      <c r="R8" s="38"/>
      <c r="S8" s="74"/>
    </row>
    <row r="9" spans="1:19" s="2" customFormat="1" ht="15" customHeight="1" x14ac:dyDescent="0.25">
      <c r="A9" s="16"/>
      <c r="B9" s="8" t="s">
        <v>1</v>
      </c>
      <c r="C9" s="52" t="s">
        <v>213</v>
      </c>
      <c r="D9" s="16"/>
      <c r="E9" s="16"/>
      <c r="F9" s="16"/>
      <c r="G9" s="16"/>
      <c r="H9" s="16"/>
      <c r="I9" s="16"/>
      <c r="K9" s="16"/>
      <c r="L9" s="9" t="s">
        <v>3</v>
      </c>
      <c r="M9" s="9"/>
      <c r="N9" s="100" t="s">
        <v>174</v>
      </c>
      <c r="O9" s="100"/>
      <c r="P9" s="100"/>
      <c r="Q9" s="100"/>
      <c r="R9" s="38"/>
    </row>
    <row r="10" spans="1:19" s="2" customFormat="1" ht="15" customHeight="1" x14ac:dyDescent="0.25">
      <c r="A10" s="39"/>
      <c r="B10" s="36"/>
      <c r="C10" s="39"/>
      <c r="D10" s="39"/>
      <c r="E10" s="39"/>
      <c r="F10" s="39"/>
      <c r="G10" s="39"/>
      <c r="H10" s="39"/>
      <c r="I10" s="39"/>
      <c r="K10" s="16"/>
      <c r="L10" s="9" t="s">
        <v>4</v>
      </c>
      <c r="M10" s="9"/>
      <c r="N10" s="100" t="s">
        <v>6</v>
      </c>
      <c r="O10" s="100"/>
      <c r="P10" s="100"/>
      <c r="Q10" s="100"/>
      <c r="R10" s="38"/>
    </row>
    <row r="11" spans="1:19" s="2" customFormat="1" ht="15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K11" s="16"/>
      <c r="L11" s="9" t="s">
        <v>5</v>
      </c>
      <c r="M11" s="9"/>
      <c r="N11" s="101">
        <v>1</v>
      </c>
      <c r="O11" s="101"/>
      <c r="P11" s="101"/>
      <c r="Q11" s="101"/>
      <c r="R11" s="44"/>
    </row>
    <row r="12" spans="1:19" s="2" customFormat="1" ht="15" customHeight="1" thickBot="1" x14ac:dyDescent="0.3">
      <c r="A12" s="42"/>
      <c r="B12" s="42"/>
      <c r="C12" s="42"/>
      <c r="D12" s="42"/>
      <c r="E12" s="42"/>
      <c r="F12" s="42"/>
      <c r="G12" s="42"/>
      <c r="H12" s="42"/>
      <c r="I12" s="42"/>
      <c r="K12" s="4"/>
      <c r="L12" s="56"/>
      <c r="M12" s="56"/>
      <c r="N12" s="45"/>
      <c r="O12" s="46"/>
      <c r="P12" s="46"/>
      <c r="Q12" s="47"/>
      <c r="R12" s="48"/>
    </row>
    <row r="13" spans="1:19" s="2" customFormat="1" ht="7.5" customHeight="1" x14ac:dyDescent="0.25">
      <c r="K13" s="23"/>
      <c r="L13" s="23"/>
      <c r="M13" s="23"/>
      <c r="N13" s="23"/>
      <c r="O13" s="23"/>
      <c r="P13" s="23"/>
      <c r="Q13" s="23"/>
      <c r="R13" s="23"/>
    </row>
    <row r="14" spans="1:19" s="2" customFormat="1" ht="22.5" customHeight="1" x14ac:dyDescent="0.25">
      <c r="A14" s="52"/>
      <c r="B14" s="98" t="s">
        <v>12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N14" s="1"/>
      <c r="O14" s="97" t="s">
        <v>8</v>
      </c>
      <c r="P14" s="97"/>
      <c r="Q14" s="97"/>
      <c r="R14" s="55"/>
    </row>
    <row r="15" spans="1:19" s="2" customFormat="1" ht="15" customHeight="1" x14ac:dyDescent="0.25">
      <c r="A15" s="53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N15" s="15"/>
      <c r="O15" s="25"/>
      <c r="P15" s="20"/>
      <c r="Q15" s="20"/>
      <c r="R15" s="53"/>
    </row>
    <row r="16" spans="1:19" s="2" customFormat="1" ht="15" customHeight="1" x14ac:dyDescent="0.25">
      <c r="A16" s="53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N16" s="3"/>
      <c r="O16" s="25"/>
      <c r="P16" s="49" t="s">
        <v>9</v>
      </c>
      <c r="Q16" s="20"/>
      <c r="R16" s="53"/>
    </row>
    <row r="17" spans="1:18" s="2" customFormat="1" ht="15" customHeight="1" x14ac:dyDescent="0.25">
      <c r="A17" s="53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N17" s="16"/>
      <c r="O17" s="25"/>
      <c r="P17" s="34" t="s">
        <v>10</v>
      </c>
      <c r="Q17" s="20"/>
      <c r="R17" s="53"/>
    </row>
    <row r="18" spans="1:18" s="2" customFormat="1" ht="15" customHeight="1" x14ac:dyDescent="0.25">
      <c r="A18" s="53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N18" s="16"/>
      <c r="O18" s="25"/>
      <c r="P18" t="s">
        <v>11</v>
      </c>
      <c r="Q18" s="20"/>
      <c r="R18" s="53"/>
    </row>
    <row r="19" spans="1:18" s="2" customFormat="1" ht="15" customHeight="1" x14ac:dyDescent="0.25">
      <c r="A19" s="37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N19" s="37"/>
      <c r="O19" s="50"/>
      <c r="P19" s="50"/>
      <c r="Q19" s="50"/>
      <c r="R19" s="37"/>
    </row>
    <row r="20" spans="1:18" ht="15.75" thickBot="1" x14ac:dyDescent="0.3">
      <c r="A20" s="42"/>
      <c r="B20" s="42"/>
      <c r="C20" s="42"/>
      <c r="D20" s="54"/>
      <c r="E20" s="54"/>
      <c r="F20" s="54"/>
      <c r="G20" s="54"/>
      <c r="H20" s="54"/>
      <c r="I20" s="54"/>
      <c r="J20" s="54"/>
      <c r="K20" s="54"/>
      <c r="L20" s="54"/>
      <c r="N20" s="42"/>
      <c r="O20" s="42"/>
      <c r="P20" s="42"/>
      <c r="Q20" s="42"/>
      <c r="R20" s="42"/>
    </row>
    <row r="21" spans="1:18" x14ac:dyDescent="0.25">
      <c r="Q21" s="51"/>
      <c r="R21" s="31"/>
    </row>
    <row r="22" spans="1:18" x14ac:dyDescent="0.25"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x14ac:dyDescent="0.25"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x14ac:dyDescent="0.25">
      <c r="F24" s="31"/>
      <c r="G24" s="31"/>
      <c r="H24" s="31"/>
      <c r="I24" s="31"/>
      <c r="J24" s="31"/>
      <c r="K24" s="31"/>
      <c r="L24" s="31"/>
      <c r="M24" s="31"/>
      <c r="N24" s="30"/>
      <c r="O24" s="30"/>
      <c r="P24" s="30"/>
      <c r="Q24" s="30"/>
    </row>
    <row r="25" spans="1:18" x14ac:dyDescent="0.25"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x14ac:dyDescent="0.25"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x14ac:dyDescent="0.25"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</sheetData>
  <mergeCells count="20">
    <mergeCell ref="B19:C19"/>
    <mergeCell ref="D17:L17"/>
    <mergeCell ref="D18:L18"/>
    <mergeCell ref="D19:L19"/>
    <mergeCell ref="N5:Q5"/>
    <mergeCell ref="N8:Q8"/>
    <mergeCell ref="N9:Q9"/>
    <mergeCell ref="N10:Q10"/>
    <mergeCell ref="N11:Q11"/>
    <mergeCell ref="O14:Q14"/>
    <mergeCell ref="D15:L15"/>
    <mergeCell ref="D16:L16"/>
    <mergeCell ref="B15:C15"/>
    <mergeCell ref="B16:C16"/>
    <mergeCell ref="B17:C17"/>
    <mergeCell ref="B18:C18"/>
    <mergeCell ref="L4:P4"/>
    <mergeCell ref="B4:I4"/>
    <mergeCell ref="B14:L14"/>
    <mergeCell ref="N7:Q7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3"/>
  <sheetViews>
    <sheetView tabSelected="1"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LBO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A5" s="60" t="s">
        <v>70</v>
      </c>
    </row>
    <row r="6" spans="1:15" x14ac:dyDescent="0.25">
      <c r="A6" s="60"/>
      <c r="B6" t="s">
        <v>146</v>
      </c>
      <c r="D6" s="66">
        <v>54.1</v>
      </c>
    </row>
    <row r="7" spans="1:15" x14ac:dyDescent="0.25">
      <c r="A7" s="60"/>
      <c r="B7" t="s">
        <v>147</v>
      </c>
      <c r="D7" s="77">
        <v>0.46</v>
      </c>
    </row>
    <row r="8" spans="1:15" x14ac:dyDescent="0.25">
      <c r="A8" s="60"/>
      <c r="B8" t="s">
        <v>148</v>
      </c>
      <c r="D8" s="85">
        <f>D6*(1+D7)</f>
        <v>78.986000000000004</v>
      </c>
    </row>
    <row r="9" spans="1:15" x14ac:dyDescent="0.25">
      <c r="A9" s="60"/>
      <c r="B9" t="s">
        <v>149</v>
      </c>
      <c r="D9" s="66">
        <v>222.9</v>
      </c>
    </row>
    <row r="10" spans="1:15" x14ac:dyDescent="0.25">
      <c r="A10" s="60"/>
      <c r="B10" t="s">
        <v>150</v>
      </c>
      <c r="D10">
        <f>SUM(E29:E30)</f>
        <v>2.8261464056921479</v>
      </c>
    </row>
    <row r="11" spans="1:15" x14ac:dyDescent="0.25">
      <c r="A11" s="60"/>
      <c r="B11" t="s">
        <v>151</v>
      </c>
      <c r="D11">
        <f>SUM(D9:D10)</f>
        <v>225.72614640569216</v>
      </c>
    </row>
    <row r="12" spans="1:15" x14ac:dyDescent="0.25">
      <c r="B12" t="s">
        <v>76</v>
      </c>
      <c r="D12">
        <f>D8*D11</f>
        <v>17829.205400000003</v>
      </c>
    </row>
    <row r="13" spans="1:15" x14ac:dyDescent="0.25">
      <c r="B13" t="s">
        <v>75</v>
      </c>
      <c r="D13">
        <f>BS!D16+BS!D21-BS!D5</f>
        <v>423.40000000000009</v>
      </c>
    </row>
    <row r="14" spans="1:15" x14ac:dyDescent="0.25">
      <c r="B14" t="s">
        <v>72</v>
      </c>
      <c r="D14">
        <f>D12+D13</f>
        <v>18252.605400000004</v>
      </c>
    </row>
    <row r="15" spans="1:15" x14ac:dyDescent="0.25">
      <c r="B15" t="s">
        <v>71</v>
      </c>
      <c r="D15">
        <f>IS!D20</f>
        <v>1077.7000000000003</v>
      </c>
    </row>
    <row r="16" spans="1:15" x14ac:dyDescent="0.25">
      <c r="B16" t="s">
        <v>208</v>
      </c>
      <c r="D16" s="81">
        <f>D14/D15</f>
        <v>16.936629303145587</v>
      </c>
    </row>
    <row r="17" spans="1:5" x14ac:dyDescent="0.25">
      <c r="B17" t="s">
        <v>209</v>
      </c>
      <c r="D17" s="65">
        <f>D16</f>
        <v>16.936629303145587</v>
      </c>
    </row>
    <row r="18" spans="1:5" x14ac:dyDescent="0.25">
      <c r="B18" t="s">
        <v>73</v>
      </c>
      <c r="D18" s="67">
        <v>0.02</v>
      </c>
    </row>
    <row r="19" spans="1:5" x14ac:dyDescent="0.25">
      <c r="B19" t="s">
        <v>133</v>
      </c>
      <c r="D19" s="67">
        <v>4.0500000000000001E-2</v>
      </c>
    </row>
    <row r="20" spans="1:5" x14ac:dyDescent="0.25">
      <c r="B20" t="s">
        <v>74</v>
      </c>
      <c r="D20" s="66">
        <v>5</v>
      </c>
    </row>
    <row r="21" spans="1:5" x14ac:dyDescent="0.25">
      <c r="B21" t="s">
        <v>122</v>
      </c>
      <c r="D21" s="67">
        <v>0.75</v>
      </c>
    </row>
    <row r="22" spans="1:5" x14ac:dyDescent="0.25">
      <c r="B22" t="s">
        <v>191</v>
      </c>
      <c r="D22" s="67">
        <v>0.03</v>
      </c>
    </row>
    <row r="23" spans="1:5" x14ac:dyDescent="0.25">
      <c r="B23" t="s">
        <v>175</v>
      </c>
      <c r="D23" s="66">
        <v>750</v>
      </c>
    </row>
    <row r="24" spans="1:5" x14ac:dyDescent="0.25">
      <c r="B24" t="s">
        <v>176</v>
      </c>
      <c r="D24" s="70">
        <v>5.0000000000000001E-3</v>
      </c>
    </row>
    <row r="25" spans="1:5" x14ac:dyDescent="0.25">
      <c r="B25" t="s">
        <v>179</v>
      </c>
      <c r="D25" s="70">
        <v>0.05</v>
      </c>
    </row>
    <row r="27" spans="1:5" x14ac:dyDescent="0.25">
      <c r="A27" s="60" t="s">
        <v>150</v>
      </c>
      <c r="C27" s="89"/>
    </row>
    <row r="28" spans="1:5" x14ac:dyDescent="0.25">
      <c r="B28" s="60" t="s">
        <v>152</v>
      </c>
      <c r="C28" s="60" t="s">
        <v>218</v>
      </c>
      <c r="D28" s="60" t="s">
        <v>153</v>
      </c>
      <c r="E28" s="60" t="s">
        <v>154</v>
      </c>
    </row>
    <row r="29" spans="1:5" x14ac:dyDescent="0.25">
      <c r="B29" t="s">
        <v>210</v>
      </c>
      <c r="C29" s="66">
        <v>4.3</v>
      </c>
      <c r="D29" s="66">
        <v>58.3</v>
      </c>
      <c r="E29">
        <f>C29*MAX(0,($D$8-D29)/$D$8)</f>
        <v>1.1261464056921482</v>
      </c>
    </row>
    <row r="30" spans="1:5" x14ac:dyDescent="0.25">
      <c r="B30" t="s">
        <v>211</v>
      </c>
      <c r="C30" s="66">
        <v>1.7</v>
      </c>
      <c r="D30" s="66">
        <v>0</v>
      </c>
      <c r="E30">
        <f>C30*MAX(0,($D$8-D30)/$D$8)</f>
        <v>1.7</v>
      </c>
    </row>
    <row r="32" spans="1:5" x14ac:dyDescent="0.25">
      <c r="A32" s="60" t="s">
        <v>155</v>
      </c>
    </row>
    <row r="33" spans="1:4" x14ac:dyDescent="0.25">
      <c r="B33" t="s">
        <v>152</v>
      </c>
      <c r="C33" t="s">
        <v>156</v>
      </c>
      <c r="D33" t="s">
        <v>157</v>
      </c>
    </row>
    <row r="34" spans="1:4" x14ac:dyDescent="0.25">
      <c r="B34" t="s">
        <v>48</v>
      </c>
      <c r="C34" s="66">
        <v>0</v>
      </c>
      <c r="D34" s="66">
        <v>0</v>
      </c>
    </row>
    <row r="35" spans="1:4" x14ac:dyDescent="0.25">
      <c r="B35" t="s">
        <v>178</v>
      </c>
      <c r="C35" s="66">
        <v>9500</v>
      </c>
      <c r="D35" s="66">
        <v>5000</v>
      </c>
    </row>
    <row r="36" spans="1:4" x14ac:dyDescent="0.25">
      <c r="B36" t="s">
        <v>177</v>
      </c>
      <c r="C36" s="66">
        <v>2000</v>
      </c>
      <c r="D36" s="66">
        <v>2000</v>
      </c>
    </row>
    <row r="37" spans="1:4" x14ac:dyDescent="0.25">
      <c r="B37" t="s">
        <v>85</v>
      </c>
      <c r="C37" s="66">
        <v>0</v>
      </c>
      <c r="D37" s="66">
        <v>1500</v>
      </c>
    </row>
    <row r="38" spans="1:4" x14ac:dyDescent="0.25">
      <c r="B38" t="s">
        <v>103</v>
      </c>
      <c r="C38">
        <f>C40-C39-SUM(C34:C37)</f>
        <v>3117.6575080000039</v>
      </c>
      <c r="D38">
        <f>D40-D39-SUM(D34:D37)</f>
        <v>6117.6575080000039</v>
      </c>
    </row>
    <row r="39" spans="1:4" x14ac:dyDescent="0.25">
      <c r="B39" t="s">
        <v>80</v>
      </c>
      <c r="C39" s="66">
        <v>4000</v>
      </c>
      <c r="D39" s="66">
        <f>C39</f>
        <v>4000</v>
      </c>
    </row>
    <row r="40" spans="1:4" x14ac:dyDescent="0.25">
      <c r="B40" t="s">
        <v>81</v>
      </c>
      <c r="C40">
        <f>$C$46</f>
        <v>18617.657508000004</v>
      </c>
      <c r="D40">
        <f>$C$46</f>
        <v>18617.657508000004</v>
      </c>
    </row>
    <row r="42" spans="1:4" x14ac:dyDescent="0.25">
      <c r="A42" s="60" t="s">
        <v>188</v>
      </c>
    </row>
    <row r="43" spans="1:4" x14ac:dyDescent="0.25">
      <c r="B43" t="str">
        <f>B12</f>
        <v>Acquisition equity value</v>
      </c>
      <c r="C43">
        <f>D12</f>
        <v>17829.205400000003</v>
      </c>
    </row>
    <row r="44" spans="1:4" x14ac:dyDescent="0.25">
      <c r="B44" t="s">
        <v>77</v>
      </c>
      <c r="C44">
        <f>D13</f>
        <v>423.40000000000009</v>
      </c>
    </row>
    <row r="45" spans="1:4" x14ac:dyDescent="0.25">
      <c r="B45" t="s">
        <v>78</v>
      </c>
      <c r="C45">
        <f>D18*D14</f>
        <v>365.05210800000009</v>
      </c>
    </row>
    <row r="46" spans="1:4" x14ac:dyDescent="0.25">
      <c r="B46" t="s">
        <v>79</v>
      </c>
      <c r="C46">
        <f>SUM(C43:C45)</f>
        <v>18617.657508000004</v>
      </c>
    </row>
    <row r="48" spans="1:4" x14ac:dyDescent="0.25">
      <c r="A48" s="60" t="s">
        <v>189</v>
      </c>
    </row>
    <row r="49" spans="1:7" x14ac:dyDescent="0.25">
      <c r="B49" t="s">
        <v>219</v>
      </c>
      <c r="D49" s="66">
        <v>2</v>
      </c>
    </row>
    <row r="51" spans="1:7" x14ac:dyDescent="0.25">
      <c r="D51" s="63" t="s">
        <v>190</v>
      </c>
    </row>
    <row r="52" spans="1:7" x14ac:dyDescent="0.25">
      <c r="C52" t="s">
        <v>186</v>
      </c>
      <c r="D52" s="63" t="s">
        <v>111</v>
      </c>
      <c r="E52" s="63" t="s">
        <v>121</v>
      </c>
      <c r="F52" s="63" t="s">
        <v>82</v>
      </c>
      <c r="G52" s="63" t="s">
        <v>83</v>
      </c>
    </row>
    <row r="53" spans="1:7" x14ac:dyDescent="0.25">
      <c r="B53" t="s">
        <v>48</v>
      </c>
      <c r="C53" cm="1">
        <f t="array" ref="C53">INDEX(C34:D34,,$D$49)</f>
        <v>0</v>
      </c>
      <c r="D53" s="64">
        <f>C53/$D$15</f>
        <v>0</v>
      </c>
      <c r="E53" s="62">
        <f t="shared" ref="E53:E58" si="1">C53/$C$59</f>
        <v>0</v>
      </c>
      <c r="F53" s="68">
        <v>2.75E-2</v>
      </c>
      <c r="G53" s="69">
        <f>F53+$D$19</f>
        <v>6.8000000000000005E-2</v>
      </c>
    </row>
    <row r="54" spans="1:7" x14ac:dyDescent="0.25">
      <c r="B54" t="str">
        <f>B35</f>
        <v>Term loan B</v>
      </c>
      <c r="C54" cm="1">
        <f t="array" ref="C54">INDEX(C35:D35,,$D$49)</f>
        <v>5000</v>
      </c>
      <c r="D54" s="64">
        <f>C54/$D$15+D53</f>
        <v>4.6395100677368459</v>
      </c>
      <c r="E54" s="62">
        <f t="shared" si="1"/>
        <v>0.26856225053294169</v>
      </c>
      <c r="F54" s="68">
        <v>2.75E-2</v>
      </c>
      <c r="G54" s="69">
        <f>F54+$D$19</f>
        <v>6.8000000000000005E-2</v>
      </c>
    </row>
    <row r="55" spans="1:7" x14ac:dyDescent="0.25">
      <c r="B55" t="str">
        <f>B36</f>
        <v>Subordinated debt</v>
      </c>
      <c r="C55" cm="1">
        <f t="array" ref="C55">INDEX(C36:D36,,$D$49)</f>
        <v>2000</v>
      </c>
      <c r="D55" s="64">
        <f>C55/$D$15+D54</f>
        <v>6.495314094831584</v>
      </c>
      <c r="E55" s="62">
        <f t="shared" si="1"/>
        <v>0.10742490021317667</v>
      </c>
      <c r="F55" s="68">
        <v>0.04</v>
      </c>
      <c r="G55" s="69">
        <f>F55+$D$19</f>
        <v>8.0500000000000002E-2</v>
      </c>
    </row>
    <row r="56" spans="1:7" x14ac:dyDescent="0.25">
      <c r="B56" t="s">
        <v>85</v>
      </c>
      <c r="C56" cm="1">
        <f t="array" ref="C56">INDEX(C37:D37,,$D$49)</f>
        <v>1500</v>
      </c>
      <c r="D56" s="64">
        <f>C56/$D$15+D55</f>
        <v>7.8871671151526375</v>
      </c>
      <c r="E56" s="62">
        <f t="shared" si="1"/>
        <v>8.0568675159882502E-2</v>
      </c>
      <c r="G56" s="78">
        <v>0.12</v>
      </c>
    </row>
    <row r="57" spans="1:7" x14ac:dyDescent="0.25">
      <c r="B57" t="s">
        <v>103</v>
      </c>
      <c r="C57" cm="1">
        <f t="array" ref="C57">INDEX(C38:D38,,$D$49)</f>
        <v>6117.6575080000039</v>
      </c>
      <c r="D57" s="64"/>
      <c r="E57" s="62">
        <f t="shared" si="1"/>
        <v>0.32859437366764577</v>
      </c>
      <c r="G57" s="68">
        <v>0.12</v>
      </c>
    </row>
    <row r="58" spans="1:7" x14ac:dyDescent="0.25">
      <c r="B58" t="s">
        <v>80</v>
      </c>
      <c r="C58" cm="1">
        <f t="array" ref="C58">INDEX(C39:D39,,$D$49)</f>
        <v>4000</v>
      </c>
      <c r="E58" s="62">
        <f t="shared" si="1"/>
        <v>0.21484980042635335</v>
      </c>
    </row>
    <row r="59" spans="1:7" x14ac:dyDescent="0.25">
      <c r="B59" t="s">
        <v>81</v>
      </c>
      <c r="C59">
        <f>SUM(C53:C58)</f>
        <v>18617.657508000004</v>
      </c>
      <c r="E59" s="58">
        <f>SUM(E53:E58)</f>
        <v>1</v>
      </c>
    </row>
    <row r="60" spans="1:7" x14ac:dyDescent="0.25">
      <c r="F60" s="58"/>
    </row>
    <row r="61" spans="1:7" x14ac:dyDescent="0.25">
      <c r="A61" s="60" t="s">
        <v>84</v>
      </c>
      <c r="F61" s="58"/>
    </row>
    <row r="62" spans="1:7" x14ac:dyDescent="0.25">
      <c r="A62" s="60"/>
      <c r="C62" t="s">
        <v>158</v>
      </c>
      <c r="D62" t="s">
        <v>159</v>
      </c>
      <c r="F62" s="58"/>
    </row>
    <row r="63" spans="1:7" x14ac:dyDescent="0.25">
      <c r="A63" s="60"/>
      <c r="B63" t="s">
        <v>107</v>
      </c>
      <c r="C63" s="77">
        <v>0.05</v>
      </c>
      <c r="D63" s="58">
        <f>D66-D64-D65</f>
        <v>4.7500000000000028E-2</v>
      </c>
    </row>
    <row r="64" spans="1:7" x14ac:dyDescent="0.25">
      <c r="A64" s="60"/>
      <c r="B64" t="s">
        <v>160</v>
      </c>
      <c r="C64" s="58">
        <f>C66-C63</f>
        <v>0.95</v>
      </c>
      <c r="D64" s="58">
        <f>C64*(1-D65)</f>
        <v>0.90249999999999997</v>
      </c>
      <c r="F64" s="58"/>
    </row>
    <row r="65" spans="1:18" x14ac:dyDescent="0.25">
      <c r="A65" s="60"/>
      <c r="B65" t="s">
        <v>85</v>
      </c>
      <c r="C65" s="61">
        <v>0</v>
      </c>
      <c r="D65" s="58">
        <f>IF(C56&gt;0,D25,0)</f>
        <v>0.05</v>
      </c>
      <c r="F65" s="86"/>
    </row>
    <row r="66" spans="1:18" x14ac:dyDescent="0.25">
      <c r="A66" s="60"/>
      <c r="B66" t="s">
        <v>139</v>
      </c>
      <c r="C66" s="79">
        <v>1</v>
      </c>
      <c r="D66" s="79">
        <v>1</v>
      </c>
      <c r="F66" s="58"/>
    </row>
    <row r="68" spans="1:18" x14ac:dyDescent="0.25">
      <c r="A68" s="60" t="s">
        <v>13</v>
      </c>
    </row>
    <row r="69" spans="1:18" x14ac:dyDescent="0.25">
      <c r="B69" t="s">
        <v>86</v>
      </c>
      <c r="D69">
        <f>C43</f>
        <v>17829.205400000003</v>
      </c>
    </row>
    <row r="70" spans="1:18" x14ac:dyDescent="0.25">
      <c r="B70" t="s">
        <v>87</v>
      </c>
      <c r="D70">
        <f>BS!D14-BS!D13-BS!D27</f>
        <v>1407</v>
      </c>
    </row>
    <row r="71" spans="1:18" x14ac:dyDescent="0.25">
      <c r="B71" t="s">
        <v>88</v>
      </c>
      <c r="D71">
        <f>D69-D70</f>
        <v>16422.205400000003</v>
      </c>
    </row>
    <row r="73" spans="1:18" x14ac:dyDescent="0.25">
      <c r="A73" s="60" t="s">
        <v>119</v>
      </c>
    </row>
    <row r="74" spans="1:18" x14ac:dyDescent="0.25">
      <c r="B74" t="s">
        <v>120</v>
      </c>
      <c r="H74" s="71">
        <v>1</v>
      </c>
      <c r="I74" s="72">
        <f>H74+1</f>
        <v>2</v>
      </c>
      <c r="J74" s="72">
        <f t="shared" ref="J74:O74" si="2">I74+1</f>
        <v>3</v>
      </c>
      <c r="K74" s="72">
        <f t="shared" si="2"/>
        <v>4</v>
      </c>
      <c r="L74" s="72">
        <f t="shared" si="2"/>
        <v>5</v>
      </c>
      <c r="M74" s="72">
        <f t="shared" si="2"/>
        <v>6</v>
      </c>
      <c r="N74" s="72">
        <f t="shared" si="2"/>
        <v>7</v>
      </c>
      <c r="O74" s="72">
        <f t="shared" si="2"/>
        <v>8</v>
      </c>
    </row>
    <row r="75" spans="1:18" x14ac:dyDescent="0.25">
      <c r="B75" t="s">
        <v>184</v>
      </c>
      <c r="H75">
        <f>IS!H20</f>
        <v>1500.1218625000001</v>
      </c>
      <c r="I75">
        <f>IS!I20</f>
        <v>1620.5045861999997</v>
      </c>
      <c r="J75">
        <f>IS!J20</f>
        <v>1714.5898904447497</v>
      </c>
      <c r="K75">
        <f>IS!K20</f>
        <v>1737.1979915920515</v>
      </c>
      <c r="L75">
        <f>IS!L20</f>
        <v>1801.6299870067082</v>
      </c>
      <c r="M75">
        <f>IS!M20</f>
        <v>1868.6622673602856</v>
      </c>
      <c r="N75">
        <f>IS!N20</f>
        <v>1938.3949331795434</v>
      </c>
      <c r="O75">
        <f>IS!O20</f>
        <v>2010.9327538603479</v>
      </c>
    </row>
    <row r="76" spans="1:18" x14ac:dyDescent="0.25">
      <c r="B76" t="s">
        <v>123</v>
      </c>
      <c r="H76">
        <f t="shared" ref="H76:O76" si="3">H75*$D$17</f>
        <v>25407.007894706836</v>
      </c>
      <c r="I76">
        <f t="shared" si="3"/>
        <v>27445.885460516729</v>
      </c>
      <c r="J76">
        <f t="shared" si="3"/>
        <v>29039.373381383728</v>
      </c>
      <c r="K76">
        <f t="shared" si="3"/>
        <v>29422.278409763599</v>
      </c>
      <c r="L76">
        <f t="shared" si="3"/>
        <v>30513.539231363618</v>
      </c>
      <c r="M76">
        <f t="shared" si="3"/>
        <v>31648.840115056686</v>
      </c>
      <c r="N76">
        <f t="shared" si="3"/>
        <v>32829.876426357587</v>
      </c>
      <c r="O76">
        <f t="shared" si="3"/>
        <v>34058.422605686421</v>
      </c>
    </row>
    <row r="77" spans="1:18" x14ac:dyDescent="0.25">
      <c r="B77" s="73" t="s">
        <v>124</v>
      </c>
      <c r="H77">
        <f ca="1">BS!H5</f>
        <v>185.86237195026126</v>
      </c>
      <c r="I77">
        <f ca="1">BS!I5</f>
        <v>259.9134072263621</v>
      </c>
      <c r="J77">
        <f ca="1">BS!J5</f>
        <v>309.75022983359952</v>
      </c>
      <c r="K77">
        <f ca="1">BS!K5</f>
        <v>334.17795529080297</v>
      </c>
      <c r="L77">
        <f ca="1">BS!L5</f>
        <v>371.74718769711524</v>
      </c>
      <c r="M77">
        <f ca="1">BS!M5</f>
        <v>411.66535055429961</v>
      </c>
      <c r="N77">
        <f ca="1">BS!N5</f>
        <v>456.32670440324421</v>
      </c>
      <c r="O77">
        <f ca="1">BS!O5</f>
        <v>1963.1306576835154</v>
      </c>
    </row>
    <row r="78" spans="1:18" x14ac:dyDescent="0.25">
      <c r="B78" s="73" t="s">
        <v>125</v>
      </c>
      <c r="H78">
        <f>Calc!H14*-1</f>
        <v>-6851.7764089600041</v>
      </c>
      <c r="I78">
        <f>Calc!I14*-1</f>
        <v>-7673.9895780352044</v>
      </c>
      <c r="J78">
        <f>Calc!J14*-1</f>
        <v>-8594.8683273994284</v>
      </c>
      <c r="K78">
        <f>Calc!K14*-1</f>
        <v>-9626.2525266873599</v>
      </c>
      <c r="L78">
        <f>Calc!L14*-1</f>
        <v>-10781.402829889843</v>
      </c>
      <c r="M78">
        <f>Calc!M14*-1</f>
        <v>-12075.171169476624</v>
      </c>
      <c r="N78">
        <f>Calc!N14*-1</f>
        <v>-13524.191709813818</v>
      </c>
      <c r="O78">
        <f>Calc!O14*-1</f>
        <v>-15147.094714991475</v>
      </c>
    </row>
    <row r="79" spans="1:18" x14ac:dyDescent="0.25">
      <c r="B79" s="73" t="s">
        <v>170</v>
      </c>
      <c r="H79">
        <f>Debt!H57*-1</f>
        <v>-1680</v>
      </c>
      <c r="I79">
        <f>Debt!I57*-1</f>
        <v>-1881.6</v>
      </c>
      <c r="J79">
        <f>Debt!J57*-1</f>
        <v>-2107.3919999999998</v>
      </c>
      <c r="K79">
        <f>Debt!K57*-1</f>
        <v>-2360.2790399999999</v>
      </c>
      <c r="L79">
        <f>Debt!L57*-1</f>
        <v>-2643.5125247999999</v>
      </c>
      <c r="M79">
        <f>Debt!M57*-1</f>
        <v>-2960.7340277759999</v>
      </c>
      <c r="N79">
        <f>Debt!N57*-1</f>
        <v>-3316.02211110912</v>
      </c>
      <c r="O79">
        <f>Debt!O57*-1</f>
        <v>-3713.9447644422144</v>
      </c>
    </row>
    <row r="80" spans="1:18" x14ac:dyDescent="0.25">
      <c r="B80" s="73" t="s">
        <v>169</v>
      </c>
      <c r="H80">
        <f ca="1">(Debt!H23+Debt!H38+Debt!H47)*-1</f>
        <v>-6442.4128841492166</v>
      </c>
      <c r="I80">
        <f ca="1">(Debt!I23+Debt!I38+Debt!I47)*-1</f>
        <v>-5662.6726624701296</v>
      </c>
      <c r="J80">
        <f ca="1">(Debt!J23+Debt!J38+Debt!J47)*-1</f>
        <v>-4733.4219729693314</v>
      </c>
      <c r="K80">
        <f ca="1">(Debt!K23+Debt!K38+Debt!K47)*-1</f>
        <v>-3730.8881070969219</v>
      </c>
      <c r="L80">
        <f ca="1">(Debt!L23+Debt!L38+Debt!L47)*-1</f>
        <v>-2615.6465440055781</v>
      </c>
      <c r="M80">
        <f ca="1">(Debt!M23+Debt!M38+Debt!M47)*-1</f>
        <v>-1380.6504923394109</v>
      </c>
      <c r="N80">
        <f ca="1">(Debt!N23+Debt!N38+Debt!N47)*-1</f>
        <v>-11.670381557648625</v>
      </c>
      <c r="O80">
        <f ca="1">(Debt!O23+Debt!O38+Debt!O47)*-1</f>
        <v>0</v>
      </c>
      <c r="R80" s="76"/>
    </row>
    <row r="81" spans="1:15" x14ac:dyDescent="0.25">
      <c r="B81" t="s">
        <v>126</v>
      </c>
      <c r="H81">
        <f t="shared" ref="H81:O81" ca="1" si="4">SUM(H76:H80)</f>
        <v>10618.680973547878</v>
      </c>
      <c r="I81">
        <f t="shared" ca="1" si="4"/>
        <v>12487.536627237758</v>
      </c>
      <c r="J81">
        <f t="shared" ca="1" si="4"/>
        <v>13913.441310848568</v>
      </c>
      <c r="K81">
        <f t="shared" ca="1" si="4"/>
        <v>14039.036691270121</v>
      </c>
      <c r="L81">
        <f t="shared" ca="1" si="4"/>
        <v>14844.724520365309</v>
      </c>
      <c r="M81">
        <f t="shared" ca="1" si="4"/>
        <v>15643.94977601895</v>
      </c>
      <c r="N81">
        <f t="shared" ca="1" si="4"/>
        <v>16434.318928280249</v>
      </c>
      <c r="O81">
        <f t="shared" ca="1" si="4"/>
        <v>17160.513783936243</v>
      </c>
    </row>
    <row r="83" spans="1:15" x14ac:dyDescent="0.25">
      <c r="A83" s="60"/>
      <c r="B83" t="s">
        <v>212</v>
      </c>
      <c r="H83">
        <f t="shared" ref="H83:O83" si="5">IF(H74=$D$20,1,0)</f>
        <v>0</v>
      </c>
      <c r="I83">
        <f t="shared" si="5"/>
        <v>0</v>
      </c>
      <c r="J83">
        <f t="shared" si="5"/>
        <v>0</v>
      </c>
      <c r="K83">
        <f t="shared" si="5"/>
        <v>0</v>
      </c>
      <c r="L83">
        <f t="shared" si="5"/>
        <v>1</v>
      </c>
      <c r="M83">
        <f t="shared" si="5"/>
        <v>0</v>
      </c>
      <c r="N83">
        <f t="shared" si="5"/>
        <v>0</v>
      </c>
      <c r="O83">
        <f t="shared" si="5"/>
        <v>0</v>
      </c>
    </row>
    <row r="85" spans="1:15" x14ac:dyDescent="0.25">
      <c r="A85" s="60" t="s">
        <v>165</v>
      </c>
    </row>
    <row r="86" spans="1:15" x14ac:dyDescent="0.25">
      <c r="B86" t="s">
        <v>103</v>
      </c>
      <c r="G86">
        <f>C57*-1</f>
        <v>-6117.6575080000039</v>
      </c>
      <c r="H86">
        <f t="shared" ref="H86:O86" si="6">H83*H78*-1</f>
        <v>0</v>
      </c>
      <c r="I86">
        <f t="shared" si="6"/>
        <v>0</v>
      </c>
      <c r="J86">
        <f t="shared" si="6"/>
        <v>0</v>
      </c>
      <c r="K86">
        <f t="shared" si="6"/>
        <v>0</v>
      </c>
      <c r="L86">
        <f t="shared" si="6"/>
        <v>10781.402829889843</v>
      </c>
      <c r="M86">
        <f t="shared" si="6"/>
        <v>0</v>
      </c>
      <c r="N86">
        <f t="shared" si="6"/>
        <v>0</v>
      </c>
      <c r="O86">
        <f t="shared" si="6"/>
        <v>0</v>
      </c>
    </row>
    <row r="87" spans="1:15" x14ac:dyDescent="0.25">
      <c r="B87" t="s">
        <v>31</v>
      </c>
      <c r="G87">
        <f>C58*C64*-1</f>
        <v>-3800</v>
      </c>
      <c r="H87">
        <f t="shared" ref="H87:O87" ca="1" si="7">H83*H81*$D$64</f>
        <v>0</v>
      </c>
      <c r="I87">
        <f t="shared" ca="1" si="7"/>
        <v>0</v>
      </c>
      <c r="J87">
        <f t="shared" ca="1" si="7"/>
        <v>0</v>
      </c>
      <c r="K87">
        <f t="shared" ca="1" si="7"/>
        <v>0</v>
      </c>
      <c r="L87">
        <f t="shared" ca="1" si="7"/>
        <v>13397.363879629691</v>
      </c>
      <c r="M87">
        <f t="shared" ca="1" si="7"/>
        <v>0</v>
      </c>
      <c r="N87">
        <f t="shared" ca="1" si="7"/>
        <v>0</v>
      </c>
      <c r="O87">
        <f t="shared" ca="1" si="7"/>
        <v>0</v>
      </c>
    </row>
    <row r="88" spans="1:15" x14ac:dyDescent="0.25">
      <c r="B88" t="s">
        <v>139</v>
      </c>
      <c r="G88">
        <f>SUM(G86:G87)</f>
        <v>-9917.6575080000039</v>
      </c>
      <c r="H88">
        <f t="shared" ref="H88:O88" ca="1" si="8">SUM(H86:H87)</f>
        <v>0</v>
      </c>
      <c r="I88">
        <f t="shared" ca="1" si="8"/>
        <v>0</v>
      </c>
      <c r="J88">
        <f t="shared" ca="1" si="8"/>
        <v>0</v>
      </c>
      <c r="K88">
        <f t="shared" ca="1" si="8"/>
        <v>0</v>
      </c>
      <c r="L88">
        <f t="shared" ca="1" si="8"/>
        <v>24178.766709519536</v>
      </c>
      <c r="M88">
        <f t="shared" ca="1" si="8"/>
        <v>0</v>
      </c>
      <c r="N88">
        <f t="shared" ca="1" si="8"/>
        <v>0</v>
      </c>
      <c r="O88">
        <f t="shared" ca="1" si="8"/>
        <v>0</v>
      </c>
    </row>
    <row r="89" spans="1:15" x14ac:dyDescent="0.25">
      <c r="B89" t="s">
        <v>166</v>
      </c>
      <c r="G89" s="58">
        <f ca="1">IRR(G88:O88)</f>
        <v>0.19510209495429387</v>
      </c>
    </row>
    <row r="90" spans="1:15" x14ac:dyDescent="0.25">
      <c r="B90" t="s">
        <v>167</v>
      </c>
      <c r="G90" s="82">
        <f ca="1">SUM(H88:O88)/G88*-1</f>
        <v>2.4379513700705955</v>
      </c>
    </row>
    <row r="91" spans="1:15" x14ac:dyDescent="0.25">
      <c r="G91" s="58"/>
    </row>
    <row r="92" spans="1:15" x14ac:dyDescent="0.25">
      <c r="A92" s="60" t="s">
        <v>164</v>
      </c>
    </row>
    <row r="93" spans="1:15" x14ac:dyDescent="0.25">
      <c r="B93" t="s">
        <v>168</v>
      </c>
      <c r="G93">
        <f>C56*-1</f>
        <v>-1500</v>
      </c>
      <c r="H93">
        <f>H83*H79*-1</f>
        <v>0</v>
      </c>
      <c r="I93">
        <f t="shared" ref="I93:O93" si="9">I83*I79*-1</f>
        <v>0</v>
      </c>
      <c r="J93">
        <f t="shared" si="9"/>
        <v>0</v>
      </c>
      <c r="K93">
        <f t="shared" si="9"/>
        <v>0</v>
      </c>
      <c r="L93">
        <f t="shared" si="9"/>
        <v>2643.5125247999999</v>
      </c>
      <c r="M93">
        <f t="shared" si="9"/>
        <v>0</v>
      </c>
      <c r="N93">
        <f t="shared" si="9"/>
        <v>0</v>
      </c>
      <c r="O93">
        <f t="shared" si="9"/>
        <v>0</v>
      </c>
    </row>
    <row r="94" spans="1:15" x14ac:dyDescent="0.25">
      <c r="B94" t="s">
        <v>216</v>
      </c>
      <c r="H94">
        <f>IF(H74&lt;=$D$20,Debt!H58*-1,0)</f>
        <v>0</v>
      </c>
      <c r="I94">
        <f>IF(I74&lt;=$D$20,Debt!I58*-1,0)</f>
        <v>0</v>
      </c>
      <c r="J94">
        <f>IF(J74&lt;=$D$20,Debt!J58*-1,0)</f>
        <v>0</v>
      </c>
      <c r="K94">
        <f>IF(K74&lt;=$D$20,Debt!K58*-1,0)</f>
        <v>0</v>
      </c>
      <c r="L94">
        <f>IF(L74&lt;=$D$20,Debt!L58*-1,0)</f>
        <v>0</v>
      </c>
      <c r="M94">
        <f>IF(M74&lt;=$D$20,Debt!M58*-1,0)</f>
        <v>0</v>
      </c>
      <c r="N94">
        <f>IF(N74&lt;=$D$20,Debt!N58*-1,0)</f>
        <v>0</v>
      </c>
      <c r="O94">
        <f>IF(O74&lt;=$D$20,Debt!O58*-1,0)</f>
        <v>0</v>
      </c>
    </row>
    <row r="95" spans="1:15" x14ac:dyDescent="0.25">
      <c r="B95" t="s">
        <v>31</v>
      </c>
      <c r="H95">
        <f ca="1">H83*H81*$D$65</f>
        <v>0</v>
      </c>
      <c r="I95">
        <f t="shared" ref="I95:O95" ca="1" si="10">I83*I81*$D$65</f>
        <v>0</v>
      </c>
      <c r="J95">
        <f t="shared" ca="1" si="10"/>
        <v>0</v>
      </c>
      <c r="K95">
        <f t="shared" ca="1" si="10"/>
        <v>0</v>
      </c>
      <c r="L95">
        <f t="shared" ca="1" si="10"/>
        <v>742.23622601826548</v>
      </c>
      <c r="M95">
        <f t="shared" ca="1" si="10"/>
        <v>0</v>
      </c>
      <c r="N95">
        <f t="shared" ca="1" si="10"/>
        <v>0</v>
      </c>
      <c r="O95">
        <f t="shared" ca="1" si="10"/>
        <v>0</v>
      </c>
    </row>
    <row r="96" spans="1:15" x14ac:dyDescent="0.25">
      <c r="B96" t="s">
        <v>139</v>
      </c>
      <c r="G96">
        <f>SUM(G93:G95)</f>
        <v>-1500</v>
      </c>
      <c r="H96">
        <f t="shared" ref="H96:O96" ca="1" si="11">SUM(H93:H95)</f>
        <v>0</v>
      </c>
      <c r="I96">
        <f t="shared" ca="1" si="11"/>
        <v>0</v>
      </c>
      <c r="J96">
        <f t="shared" ca="1" si="11"/>
        <v>0</v>
      </c>
      <c r="K96">
        <f t="shared" ca="1" si="11"/>
        <v>0</v>
      </c>
      <c r="L96">
        <f t="shared" ca="1" si="11"/>
        <v>3385.7487508182653</v>
      </c>
      <c r="M96">
        <f t="shared" ca="1" si="11"/>
        <v>0</v>
      </c>
      <c r="N96">
        <f t="shared" ca="1" si="11"/>
        <v>0</v>
      </c>
      <c r="O96">
        <f t="shared" ca="1" si="11"/>
        <v>0</v>
      </c>
    </row>
    <row r="97" spans="1:16" x14ac:dyDescent="0.25">
      <c r="B97" t="s">
        <v>166</v>
      </c>
      <c r="G97" s="58">
        <f ca="1">IFERROR(IRR(G96:O96),"na")</f>
        <v>0.1768271888560824</v>
      </c>
      <c r="P97" t="str">
        <f t="shared" ref="P97:P100" ca="1" si="12">IF(ISBLANK(O97),"",_xlfn.FORMULATEXT(O97))</f>
        <v/>
      </c>
    </row>
    <row r="98" spans="1:16" x14ac:dyDescent="0.25">
      <c r="B98" t="s">
        <v>167</v>
      </c>
      <c r="G98" s="82">
        <f ca="1">IFERROR(SUM(H96:O96)/G96*-1,"na")</f>
        <v>2.2571658338788434</v>
      </c>
      <c r="P98" t="str">
        <f t="shared" ca="1" si="12"/>
        <v/>
      </c>
    </row>
    <row r="99" spans="1:16" x14ac:dyDescent="0.25">
      <c r="P99" t="str">
        <f t="shared" ca="1" si="12"/>
        <v/>
      </c>
    </row>
    <row r="100" spans="1:16" x14ac:dyDescent="0.25">
      <c r="A100" s="60" t="s">
        <v>107</v>
      </c>
      <c r="P100" t="str">
        <f t="shared" ca="1" si="12"/>
        <v/>
      </c>
    </row>
    <row r="101" spans="1:16" x14ac:dyDescent="0.25">
      <c r="B101" t="s">
        <v>31</v>
      </c>
      <c r="G101">
        <f>C63*C58*-1</f>
        <v>-200</v>
      </c>
      <c r="H101">
        <f ca="1">H83*H81*$D$63</f>
        <v>0</v>
      </c>
      <c r="I101">
        <f t="shared" ref="I101:O101" ca="1" si="13">I83*I81*$D$63</f>
        <v>0</v>
      </c>
      <c r="J101">
        <f t="shared" ca="1" si="13"/>
        <v>0</v>
      </c>
      <c r="K101">
        <f t="shared" ca="1" si="13"/>
        <v>0</v>
      </c>
      <c r="L101">
        <f t="shared" ca="1" si="13"/>
        <v>705.12441471735258</v>
      </c>
      <c r="M101">
        <f t="shared" ca="1" si="13"/>
        <v>0</v>
      </c>
      <c r="N101">
        <f t="shared" ca="1" si="13"/>
        <v>0</v>
      </c>
      <c r="O101">
        <f t="shared" ca="1" si="13"/>
        <v>0</v>
      </c>
    </row>
    <row r="102" spans="1:16" x14ac:dyDescent="0.25">
      <c r="B102" t="s">
        <v>166</v>
      </c>
      <c r="G102" s="58">
        <f ca="1">IRR(G101:O101)</f>
        <v>0.28661067766296</v>
      </c>
    </row>
    <row r="103" spans="1:16" x14ac:dyDescent="0.25">
      <c r="B103" t="s">
        <v>167</v>
      </c>
      <c r="G103" s="82">
        <f ca="1">SUM(H101:O101)/G101*-1</f>
        <v>3.5256220735867627</v>
      </c>
    </row>
    <row r="104" spans="1:16" x14ac:dyDescent="0.25">
      <c r="I104" s="82"/>
    </row>
    <row r="105" spans="1:16" x14ac:dyDescent="0.25">
      <c r="A105" s="60" t="s">
        <v>192</v>
      </c>
    </row>
    <row r="107" spans="1:16" x14ac:dyDescent="0.25">
      <c r="D107" s="60" t="s">
        <v>183</v>
      </c>
    </row>
    <row r="108" spans="1:16" x14ac:dyDescent="0.25">
      <c r="C108" s="58">
        <f ca="1">G89</f>
        <v>0.19510209495429387</v>
      </c>
      <c r="D108" s="84">
        <v>0.02</v>
      </c>
      <c r="E108" s="84">
        <v>2.5000000000000001E-2</v>
      </c>
      <c r="F108" s="84">
        <v>0.03</v>
      </c>
      <c r="G108" s="84">
        <v>3.5000000000000003E-2</v>
      </c>
      <c r="H108" s="84">
        <v>0.04</v>
      </c>
    </row>
    <row r="109" spans="1:16" x14ac:dyDescent="0.25">
      <c r="C109" s="83">
        <f>C110-1</f>
        <v>14.936629303145587</v>
      </c>
      <c r="D109" s="58">
        <f t="dataTable" ref="D109:H113" dt2D="1" dtr="1" r1="D22" r2="D17" ca="1"/>
        <v>0.15293566900370492</v>
      </c>
      <c r="E109" s="58">
        <v>0.15703202624786727</v>
      </c>
      <c r="F109" s="58">
        <v>0.16107118081835137</v>
      </c>
      <c r="G109" s="58">
        <v>0.16505489921972072</v>
      </c>
      <c r="H109" s="58">
        <v>0.16898486452629813</v>
      </c>
    </row>
    <row r="110" spans="1:16" x14ac:dyDescent="0.25">
      <c r="C110" s="83">
        <f>C111-1</f>
        <v>15.936629303145587</v>
      </c>
      <c r="D110" s="58">
        <v>0.17052557165582805</v>
      </c>
      <c r="E110" s="58">
        <v>0.17457928505771281</v>
      </c>
      <c r="F110" s="58">
        <v>0.17857779809447738</v>
      </c>
      <c r="G110" s="58">
        <v>0.18252277377470172</v>
      </c>
      <c r="H110" s="58">
        <v>0.18641579845750766</v>
      </c>
    </row>
    <row r="111" spans="1:16" x14ac:dyDescent="0.25">
      <c r="B111" s="60" t="s">
        <v>171</v>
      </c>
      <c r="C111" s="83">
        <v>16.936629303145587</v>
      </c>
      <c r="D111" s="58">
        <v>0.18711760535321864</v>
      </c>
      <c r="E111" s="58">
        <v>0.19113661072823085</v>
      </c>
      <c r="F111" s="58">
        <v>0.19510209495429387</v>
      </c>
      <c r="G111" s="58">
        <v>0.19901563548488577</v>
      </c>
      <c r="H111" s="58">
        <v>0.20287873861431227</v>
      </c>
    </row>
    <row r="112" spans="1:16" x14ac:dyDescent="0.25">
      <c r="C112" s="83">
        <f>C111+1</f>
        <v>17.936629303145587</v>
      </c>
      <c r="D112" s="58">
        <v>0.20283075794049688</v>
      </c>
      <c r="E112" s="58">
        <v>0.20682143321163537</v>
      </c>
      <c r="F112" s="58">
        <v>0.21076001126382526</v>
      </c>
      <c r="G112" s="58">
        <v>0.21464799782534794</v>
      </c>
      <c r="H112" s="58">
        <v>0.21848683199644126</v>
      </c>
    </row>
    <row r="113" spans="3:8" x14ac:dyDescent="0.25">
      <c r="C113" s="83">
        <f>C112+1</f>
        <v>18.936629303145587</v>
      </c>
      <c r="D113" s="58">
        <v>0.21776330978165803</v>
      </c>
      <c r="E113" s="58">
        <v>0.22173084551826872</v>
      </c>
      <c r="F113" s="58">
        <v>0.2256475030011329</v>
      </c>
      <c r="G113" s="58">
        <v>0.22951472710610799</v>
      </c>
      <c r="H113" s="58">
        <v>0.23333389987045483</v>
      </c>
    </row>
  </sheetData>
  <dataValidations count="1">
    <dataValidation type="list" allowBlank="1" showInputMessage="1" showErrorMessage="1" sqref="D49" xr:uid="{9E965CFA-8736-4997-ABC6-8A2CF349343F}">
      <formula1>"1,2"</formula1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  <col min="16" max="17" width="10.57031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Input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L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ref="M3" si="1">EDATE(L3,12)</f>
        <v>48121</v>
      </c>
      <c r="N3" s="11">
        <f t="shared" ref="N3" si="2">EDATE(M3,12)</f>
        <v>48487</v>
      </c>
      <c r="O3" s="11">
        <f t="shared" ref="O3" si="3">EDATE(N3,12)</f>
        <v>48852</v>
      </c>
    </row>
    <row r="4" spans="1:15" x14ac:dyDescent="0.25">
      <c r="D4" s="58"/>
      <c r="E4" s="58"/>
      <c r="F4" s="58"/>
    </row>
    <row r="5" spans="1:15" x14ac:dyDescent="0.25">
      <c r="B5" t="s">
        <v>199</v>
      </c>
      <c r="C5" s="66">
        <v>1</v>
      </c>
      <c r="E5">
        <v>1</v>
      </c>
      <c r="F5" t="s">
        <v>200</v>
      </c>
    </row>
    <row r="6" spans="1:15" x14ac:dyDescent="0.25">
      <c r="E6">
        <v>2</v>
      </c>
      <c r="F6" t="s">
        <v>204</v>
      </c>
    </row>
    <row r="7" spans="1:15" x14ac:dyDescent="0.25">
      <c r="A7" s="60" t="s">
        <v>68</v>
      </c>
      <c r="D7" s="58"/>
      <c r="E7" s="58"/>
      <c r="F7" s="58"/>
    </row>
    <row r="8" spans="1:15" x14ac:dyDescent="0.25">
      <c r="A8" s="60"/>
      <c r="B8" t="s">
        <v>201</v>
      </c>
      <c r="D8" s="58"/>
      <c r="F8" s="58"/>
      <c r="H8" s="70">
        <v>4.4999999999999998E-2</v>
      </c>
      <c r="I8" s="70">
        <v>5.2999999999999999E-2</v>
      </c>
      <c r="J8" s="70">
        <v>4.9000000000000002E-2</v>
      </c>
      <c r="K8" s="70">
        <v>4.5999999999999999E-2</v>
      </c>
      <c r="L8" s="70">
        <v>0.04</v>
      </c>
      <c r="M8" s="70">
        <f t="shared" ref="M8" si="4">L8</f>
        <v>0.04</v>
      </c>
      <c r="N8" s="70">
        <f t="shared" ref="N8" si="5">M8</f>
        <v>0.04</v>
      </c>
      <c r="O8" s="70">
        <f t="shared" ref="O8" si="6">N8</f>
        <v>0.04</v>
      </c>
    </row>
    <row r="9" spans="1:15" x14ac:dyDescent="0.25">
      <c r="A9" s="60"/>
      <c r="B9" t="s">
        <v>202</v>
      </c>
      <c r="D9" s="58"/>
      <c r="F9" s="58"/>
      <c r="H9" s="70">
        <v>0.03</v>
      </c>
      <c r="I9" s="70">
        <v>0.04</v>
      </c>
      <c r="J9" s="70">
        <v>0.04</v>
      </c>
      <c r="K9" s="70">
        <v>0.04</v>
      </c>
      <c r="L9" s="70">
        <v>0.03</v>
      </c>
      <c r="M9" s="70">
        <f t="shared" ref="M9" si="7">L9</f>
        <v>0.03</v>
      </c>
      <c r="N9" s="70">
        <f t="shared" ref="N9" si="8">M9</f>
        <v>0.03</v>
      </c>
      <c r="O9" s="70">
        <f t="shared" ref="O9" si="9">N9</f>
        <v>0.03</v>
      </c>
    </row>
    <row r="10" spans="1:15" x14ac:dyDescent="0.25">
      <c r="A10" s="60"/>
      <c r="B10" t="s">
        <v>203</v>
      </c>
      <c r="C10" s="58"/>
      <c r="D10" s="58">
        <f>IS!D5/IS!C5-1</f>
        <v>1.7418058209066167E-2</v>
      </c>
      <c r="H10" s="58" cm="1">
        <f t="array" ref="H10">INDEX(H8:H9,$C$5,)</f>
        <v>4.4999999999999998E-2</v>
      </c>
      <c r="I10" s="58" cm="1">
        <f t="array" ref="I10">INDEX(I8:I9,$C$5,)</f>
        <v>5.2999999999999999E-2</v>
      </c>
      <c r="J10" s="58" cm="1">
        <f t="array" ref="J10">INDEX(J8:J9,$C$5,)</f>
        <v>4.9000000000000002E-2</v>
      </c>
      <c r="K10" s="58" cm="1">
        <f t="array" ref="K10">INDEX(K8:K9,$C$5,)</f>
        <v>4.5999999999999999E-2</v>
      </c>
      <c r="L10" s="58" cm="1">
        <f t="array" ref="L10">INDEX(L8:L9,$C$5,)</f>
        <v>0.04</v>
      </c>
      <c r="M10" s="58" cm="1">
        <f t="array" ref="M10">INDEX(M8:M9,$C$5,)</f>
        <v>0.04</v>
      </c>
      <c r="N10" s="58" cm="1">
        <f t="array" ref="N10">INDEX(N8:N9,$C$5,)</f>
        <v>0.04</v>
      </c>
      <c r="O10" s="58" cm="1">
        <f t="array" ref="O10">INDEX(O8:O9,$C$5,)</f>
        <v>0.04</v>
      </c>
    </row>
    <row r="11" spans="1:15" x14ac:dyDescent="0.25">
      <c r="A11" s="60"/>
      <c r="B11" t="s">
        <v>161</v>
      </c>
      <c r="C11" s="58">
        <f>IS!C6/IS!C5</f>
        <v>-0.44475597350073193</v>
      </c>
      <c r="D11" s="58">
        <f>IS!D6/IS!D5</f>
        <v>-0.44228752591147419</v>
      </c>
      <c r="H11" s="70">
        <v>-0.4</v>
      </c>
      <c r="I11" s="70">
        <v>-0.39</v>
      </c>
      <c r="J11" s="70">
        <v>-0.39</v>
      </c>
      <c r="K11" s="70">
        <v>-0.4</v>
      </c>
      <c r="L11" s="70">
        <f t="shared" ref="L11:O11" si="10">K11</f>
        <v>-0.4</v>
      </c>
      <c r="M11" s="70">
        <f t="shared" si="10"/>
        <v>-0.4</v>
      </c>
      <c r="N11" s="70">
        <f t="shared" si="10"/>
        <v>-0.4</v>
      </c>
      <c r="O11" s="70">
        <f t="shared" si="10"/>
        <v>-0.4</v>
      </c>
    </row>
    <row r="12" spans="1:15" x14ac:dyDescent="0.25">
      <c r="A12" s="60"/>
      <c r="B12" t="s">
        <v>19</v>
      </c>
      <c r="C12" s="58">
        <f>IS!C8/IS!C5</f>
        <v>-0.3145175297124283</v>
      </c>
      <c r="D12" s="58">
        <f>IS!D8/IS!D5</f>
        <v>-0.32144860382880136</v>
      </c>
      <c r="H12" s="70">
        <v>-0.29499999999999998</v>
      </c>
      <c r="I12" s="70">
        <v>-0.3</v>
      </c>
      <c r="J12" s="70">
        <f>I12</f>
        <v>-0.3</v>
      </c>
      <c r="K12" s="70">
        <f t="shared" ref="K12:O12" si="11">J12</f>
        <v>-0.3</v>
      </c>
      <c r="L12" s="70">
        <f t="shared" si="11"/>
        <v>-0.3</v>
      </c>
      <c r="M12" s="70">
        <f t="shared" si="11"/>
        <v>-0.3</v>
      </c>
      <c r="N12" s="70">
        <f t="shared" si="11"/>
        <v>-0.3</v>
      </c>
      <c r="O12" s="70">
        <f t="shared" si="11"/>
        <v>-0.3</v>
      </c>
    </row>
    <row r="13" spans="1:15" x14ac:dyDescent="0.25">
      <c r="A13" s="60"/>
      <c r="B13" t="s">
        <v>143</v>
      </c>
      <c r="C13">
        <f>IS!C9</f>
        <v>-107.7</v>
      </c>
      <c r="D13">
        <f>IS!D9</f>
        <v>-247.2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</row>
    <row r="14" spans="1:15" x14ac:dyDescent="0.25">
      <c r="A14" s="60"/>
      <c r="B14" t="s">
        <v>205</v>
      </c>
      <c r="H14" s="77">
        <f>I14-0.005</f>
        <v>1.9999999999999997E-2</v>
      </c>
      <c r="I14" s="77">
        <f>J14-0.005</f>
        <v>2.4999999999999998E-2</v>
      </c>
      <c r="J14" s="77">
        <f>LBO!D22</f>
        <v>0.03</v>
      </c>
      <c r="K14" s="77">
        <f>J14</f>
        <v>0.03</v>
      </c>
      <c r="L14" s="77">
        <f t="shared" ref="L14" si="12">K14</f>
        <v>0.03</v>
      </c>
      <c r="M14" s="77">
        <f t="shared" ref="M14" si="13">L14</f>
        <v>0.03</v>
      </c>
      <c r="N14" s="77">
        <f t="shared" ref="N14" si="14">M14</f>
        <v>0.03</v>
      </c>
      <c r="O14" s="77">
        <f t="shared" ref="O14" si="15">N14</f>
        <v>0.03</v>
      </c>
    </row>
    <row r="15" spans="1:15" x14ac:dyDescent="0.25">
      <c r="A15" s="60"/>
      <c r="B15" t="s">
        <v>206</v>
      </c>
      <c r="H15" s="77">
        <f>I15-0.005</f>
        <v>0</v>
      </c>
      <c r="I15" s="77">
        <f>J15-0.005</f>
        <v>4.9999999999999984E-3</v>
      </c>
      <c r="J15" s="70">
        <f>LBO!D22-0.02</f>
        <v>9.9999999999999985E-3</v>
      </c>
      <c r="K15" s="77">
        <f>J15</f>
        <v>9.9999999999999985E-3</v>
      </c>
      <c r="L15" s="77">
        <f t="shared" ref="L15" si="16">K15</f>
        <v>9.9999999999999985E-3</v>
      </c>
      <c r="M15" s="77">
        <f t="shared" ref="M15" si="17">L15</f>
        <v>9.9999999999999985E-3</v>
      </c>
      <c r="N15" s="77">
        <f t="shared" ref="N15" si="18">M15</f>
        <v>9.9999999999999985E-3</v>
      </c>
      <c r="O15" s="77">
        <f t="shared" ref="O15" si="19">N15</f>
        <v>9.9999999999999985E-3</v>
      </c>
    </row>
    <row r="16" spans="1:15" x14ac:dyDescent="0.25">
      <c r="A16" s="60"/>
      <c r="B16" t="s">
        <v>207</v>
      </c>
      <c r="C16" s="58"/>
      <c r="D16" s="58"/>
      <c r="H16" s="58" cm="1">
        <f t="array" ref="H16">INDEX(H14:H15,$C$5,)</f>
        <v>1.9999999999999997E-2</v>
      </c>
      <c r="I16" s="58" cm="1">
        <f t="array" ref="I16">INDEX(I14:I15,$C$5,)</f>
        <v>2.4999999999999998E-2</v>
      </c>
      <c r="J16" s="58" cm="1">
        <f t="array" ref="J16">INDEX(J14:J15,$C$5,)</f>
        <v>0.03</v>
      </c>
      <c r="K16" s="58" cm="1">
        <f t="array" ref="K16">INDEX(K14:K15,$C$5,)</f>
        <v>0.03</v>
      </c>
      <c r="L16" s="58" cm="1">
        <f t="array" ref="L16">INDEX(L14:L15,$C$5,)</f>
        <v>0.03</v>
      </c>
      <c r="M16" s="58" cm="1">
        <f t="array" ref="M16">INDEX(M14:M15,$C$5,)</f>
        <v>0.03</v>
      </c>
      <c r="N16" s="58" cm="1">
        <f t="array" ref="N16">INDEX(N14:N15,$C$5,)</f>
        <v>0.03</v>
      </c>
      <c r="O16" s="58" cm="1">
        <f t="array" ref="O16">INDEX(O14:O15,$C$5,)</f>
        <v>0.03</v>
      </c>
    </row>
    <row r="17" spans="1:15" x14ac:dyDescent="0.25">
      <c r="B17" t="s">
        <v>181</v>
      </c>
      <c r="C17" s="58"/>
      <c r="D17" s="58">
        <f>Calc!D8/Calc!C9</f>
        <v>-0.17285714285714288</v>
      </c>
      <c r="G17" s="58"/>
      <c r="H17" s="77">
        <v>-0.17</v>
      </c>
      <c r="I17" s="77">
        <f>H17</f>
        <v>-0.17</v>
      </c>
      <c r="J17" s="77">
        <f t="shared" ref="J17:O18" si="20">I17</f>
        <v>-0.17</v>
      </c>
      <c r="K17" s="77">
        <f t="shared" si="20"/>
        <v>-0.17</v>
      </c>
      <c r="L17" s="77">
        <f t="shared" si="20"/>
        <v>-0.17</v>
      </c>
      <c r="M17" s="77">
        <f t="shared" si="20"/>
        <v>-0.17</v>
      </c>
      <c r="N17" s="77">
        <f t="shared" si="20"/>
        <v>-0.17</v>
      </c>
      <c r="O17" s="77">
        <f t="shared" si="20"/>
        <v>-0.17</v>
      </c>
    </row>
    <row r="18" spans="1:15" x14ac:dyDescent="0.25">
      <c r="B18" t="s">
        <v>20</v>
      </c>
      <c r="C18" s="58">
        <f>IS!C14/IS!C13</f>
        <v>-8.7388741185990021E-2</v>
      </c>
      <c r="D18" s="58">
        <f>IS!D14/IS!D13</f>
        <v>-0.16955372871403401</v>
      </c>
      <c r="G18" s="58"/>
      <c r="H18" s="77">
        <v>-0.19</v>
      </c>
      <c r="I18" s="77">
        <v>-0.19</v>
      </c>
      <c r="J18" s="77">
        <v>-0.18</v>
      </c>
      <c r="K18" s="77">
        <v>-0.19</v>
      </c>
      <c r="L18" s="77">
        <f>K18</f>
        <v>-0.19</v>
      </c>
      <c r="M18" s="77">
        <f t="shared" si="20"/>
        <v>-0.19</v>
      </c>
      <c r="N18" s="77">
        <f t="shared" si="20"/>
        <v>-0.19</v>
      </c>
      <c r="O18" s="77">
        <f t="shared" si="20"/>
        <v>-0.19</v>
      </c>
    </row>
    <row r="20" spans="1:15" x14ac:dyDescent="0.25">
      <c r="A20" s="60" t="s">
        <v>21</v>
      </c>
    </row>
    <row r="21" spans="1:15" x14ac:dyDescent="0.25">
      <c r="B21" t="s">
        <v>22</v>
      </c>
      <c r="C21">
        <f>BS!C7/IS!C6*365</f>
        <v>-138.46582984658298</v>
      </c>
      <c r="D21">
        <f>BS!D7/IS!D6*365</f>
        <v>-136.65361711513012</v>
      </c>
      <c r="H21" s="66">
        <f>D21</f>
        <v>-136.65361711513012</v>
      </c>
      <c r="I21" s="66">
        <f>H21</f>
        <v>-136.65361711513012</v>
      </c>
      <c r="J21" s="66">
        <f t="shared" ref="J21:O21" si="21">I21</f>
        <v>-136.65361711513012</v>
      </c>
      <c r="K21" s="66">
        <f t="shared" si="21"/>
        <v>-136.65361711513012</v>
      </c>
      <c r="L21" s="66">
        <f t="shared" si="21"/>
        <v>-136.65361711513012</v>
      </c>
      <c r="M21" s="66">
        <f t="shared" si="21"/>
        <v>-136.65361711513012</v>
      </c>
      <c r="N21" s="66">
        <f t="shared" si="21"/>
        <v>-136.65361711513012</v>
      </c>
      <c r="O21" s="66">
        <f t="shared" si="21"/>
        <v>-136.65361711513012</v>
      </c>
    </row>
    <row r="22" spans="1:15" x14ac:dyDescent="0.25">
      <c r="B22" t="s">
        <v>23</v>
      </c>
      <c r="C22">
        <f>BS!C6/IS!C5*365</f>
        <v>54.338386720591515</v>
      </c>
      <c r="D22">
        <f>BS!D6/IS!D5*365</f>
        <v>53.497134495793198</v>
      </c>
      <c r="H22" s="66">
        <f>D22</f>
        <v>53.497134495793198</v>
      </c>
      <c r="I22" s="66">
        <f>H22</f>
        <v>53.497134495793198</v>
      </c>
      <c r="J22" s="66">
        <f t="shared" ref="J22:O24" si="22">I22</f>
        <v>53.497134495793198</v>
      </c>
      <c r="K22" s="66">
        <f t="shared" si="22"/>
        <v>53.497134495793198</v>
      </c>
      <c r="L22" s="66">
        <f t="shared" si="22"/>
        <v>53.497134495793198</v>
      </c>
      <c r="M22" s="66">
        <f t="shared" si="22"/>
        <v>53.497134495793198</v>
      </c>
      <c r="N22" s="66">
        <f t="shared" si="22"/>
        <v>53.497134495793198</v>
      </c>
      <c r="O22" s="66">
        <f t="shared" si="22"/>
        <v>53.497134495793198</v>
      </c>
    </row>
    <row r="23" spans="1:15" x14ac:dyDescent="0.25">
      <c r="B23" t="s">
        <v>24</v>
      </c>
      <c r="C23" s="62">
        <f>BS!C8/IS!C5</f>
        <v>5.210530233481378E-2</v>
      </c>
      <c r="D23" s="62">
        <f>BS!D8/IS!D5</f>
        <v>4.5116449213510545E-2</v>
      </c>
      <c r="G23" s="62"/>
      <c r="H23" s="77">
        <f>D23</f>
        <v>4.5116449213510545E-2</v>
      </c>
      <c r="I23" s="77">
        <f>H23</f>
        <v>4.5116449213510545E-2</v>
      </c>
      <c r="J23" s="77">
        <f t="shared" si="22"/>
        <v>4.5116449213510545E-2</v>
      </c>
      <c r="K23" s="77">
        <f t="shared" si="22"/>
        <v>4.5116449213510545E-2</v>
      </c>
      <c r="L23" s="77">
        <f t="shared" si="22"/>
        <v>4.5116449213510545E-2</v>
      </c>
      <c r="M23" s="77">
        <f t="shared" si="22"/>
        <v>4.5116449213510545E-2</v>
      </c>
      <c r="N23" s="77">
        <f t="shared" si="22"/>
        <v>4.5116449213510545E-2</v>
      </c>
      <c r="O23" s="77">
        <f t="shared" si="22"/>
        <v>4.5116449213510545E-2</v>
      </c>
    </row>
    <row r="24" spans="1:15" x14ac:dyDescent="0.25">
      <c r="B24" t="s">
        <v>25</v>
      </c>
      <c r="C24" s="62">
        <f>Calc!C7/IS!C5</f>
        <v>3.4786492320670916E-2</v>
      </c>
      <c r="D24" s="62">
        <f>Calc!D7/IS!D5</f>
        <v>3.7166199243994634E-2</v>
      </c>
      <c r="G24" s="76"/>
      <c r="H24" s="77">
        <v>3.6999999999999998E-2</v>
      </c>
      <c r="I24" s="77">
        <v>3.3000000000000002E-2</v>
      </c>
      <c r="J24" s="77">
        <v>3.2000000000000001E-2</v>
      </c>
      <c r="K24" s="77">
        <f>J24</f>
        <v>3.2000000000000001E-2</v>
      </c>
      <c r="L24" s="77">
        <f>K24</f>
        <v>3.2000000000000001E-2</v>
      </c>
      <c r="M24" s="77">
        <f t="shared" si="22"/>
        <v>3.2000000000000001E-2</v>
      </c>
      <c r="N24" s="77">
        <f t="shared" si="22"/>
        <v>3.2000000000000001E-2</v>
      </c>
      <c r="O24" s="77">
        <f t="shared" si="22"/>
        <v>3.2000000000000001E-2</v>
      </c>
    </row>
    <row r="25" spans="1:15" x14ac:dyDescent="0.25">
      <c r="B25" t="s">
        <v>127</v>
      </c>
      <c r="C25">
        <f>BS!C12</f>
        <v>1261</v>
      </c>
      <c r="D25">
        <f>BS!D12</f>
        <v>1053</v>
      </c>
      <c r="H25" s="66">
        <f>D25</f>
        <v>1053</v>
      </c>
      <c r="I25" s="66">
        <f t="shared" ref="I25:I28" si="23">H25</f>
        <v>1053</v>
      </c>
      <c r="J25" s="66">
        <f t="shared" ref="J25:O28" si="24">I25</f>
        <v>1053</v>
      </c>
      <c r="K25" s="66">
        <f t="shared" si="24"/>
        <v>1053</v>
      </c>
      <c r="L25" s="66">
        <f t="shared" si="24"/>
        <v>1053</v>
      </c>
      <c r="M25" s="66">
        <f t="shared" si="24"/>
        <v>1053</v>
      </c>
      <c r="N25" s="66">
        <f t="shared" si="24"/>
        <v>1053</v>
      </c>
      <c r="O25" s="66">
        <f t="shared" si="24"/>
        <v>1053</v>
      </c>
    </row>
    <row r="26" spans="1:15" x14ac:dyDescent="0.25">
      <c r="B26" t="s">
        <v>26</v>
      </c>
      <c r="C26">
        <f>BS!C17/IS!C6*365</f>
        <v>-41.499023709902374</v>
      </c>
      <c r="D26">
        <f>BS!D17/IS!D6*365</f>
        <v>-38.923136303484789</v>
      </c>
      <c r="H26" s="66">
        <f>D26</f>
        <v>-38.923136303484789</v>
      </c>
      <c r="I26" s="66">
        <f t="shared" si="23"/>
        <v>-38.923136303484789</v>
      </c>
      <c r="J26" s="66">
        <f t="shared" si="24"/>
        <v>-38.923136303484789</v>
      </c>
      <c r="K26" s="66">
        <f t="shared" si="24"/>
        <v>-38.923136303484789</v>
      </c>
      <c r="L26" s="66">
        <f t="shared" si="24"/>
        <v>-38.923136303484789</v>
      </c>
      <c r="M26" s="66">
        <f t="shared" si="24"/>
        <v>-38.923136303484789</v>
      </c>
      <c r="N26" s="66">
        <f t="shared" si="24"/>
        <v>-38.923136303484789</v>
      </c>
      <c r="O26" s="66">
        <f t="shared" si="24"/>
        <v>-38.923136303484789</v>
      </c>
    </row>
    <row r="27" spans="1:15" x14ac:dyDescent="0.25">
      <c r="B27" t="s">
        <v>135</v>
      </c>
      <c r="C27" s="58">
        <f>BS!C18/IS!C5</f>
        <v>0.19070540654541845</v>
      </c>
      <c r="D27" s="58">
        <f>BS!D18/IS!D5</f>
        <v>0.18300207291793683</v>
      </c>
      <c r="H27" s="70">
        <f>D27</f>
        <v>0.18300207291793683</v>
      </c>
      <c r="I27" s="70">
        <f t="shared" si="23"/>
        <v>0.18300207291793683</v>
      </c>
      <c r="J27" s="70">
        <f t="shared" si="24"/>
        <v>0.18300207291793683</v>
      </c>
      <c r="K27" s="70">
        <f t="shared" si="24"/>
        <v>0.18300207291793683</v>
      </c>
      <c r="L27" s="70">
        <f t="shared" si="24"/>
        <v>0.18300207291793683</v>
      </c>
      <c r="M27" s="70">
        <f t="shared" si="24"/>
        <v>0.18300207291793683</v>
      </c>
      <c r="N27" s="70">
        <f t="shared" si="24"/>
        <v>0.18300207291793683</v>
      </c>
      <c r="O27" s="70">
        <f t="shared" si="24"/>
        <v>0.18300207291793683</v>
      </c>
    </row>
    <row r="28" spans="1:15" x14ac:dyDescent="0.25">
      <c r="B28" t="s">
        <v>128</v>
      </c>
      <c r="C28">
        <f>BS!C26</f>
        <v>397.8</v>
      </c>
      <c r="D28">
        <f>BS!D26</f>
        <v>397.8</v>
      </c>
      <c r="H28" s="66">
        <f>D28</f>
        <v>397.8</v>
      </c>
      <c r="I28" s="66">
        <f t="shared" si="23"/>
        <v>397.8</v>
      </c>
      <c r="J28" s="66">
        <f t="shared" si="24"/>
        <v>397.8</v>
      </c>
      <c r="K28" s="66">
        <f t="shared" si="24"/>
        <v>397.8</v>
      </c>
      <c r="L28" s="66">
        <f t="shared" si="24"/>
        <v>397.8</v>
      </c>
      <c r="M28" s="66">
        <f t="shared" si="24"/>
        <v>397.8</v>
      </c>
      <c r="N28" s="66">
        <f t="shared" si="24"/>
        <v>397.8</v>
      </c>
      <c r="O28" s="66">
        <f t="shared" si="24"/>
        <v>397.8</v>
      </c>
    </row>
  </sheetData>
  <conditionalFormatting sqref="E5:F6">
    <cfRule type="expression" dxfId="0" priority="1">
      <formula>$C$5=$E5</formula>
    </cfRule>
  </conditionalFormatting>
  <dataValidations count="1">
    <dataValidation type="list" allowBlank="1" showInputMessage="1" showErrorMessage="1" sqref="C5" xr:uid="{A97C3495-A12C-4C2A-AE63-2E9CB2034A3A}">
      <formula1>"1,2"</formula1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8"/>
  <sheetViews>
    <sheetView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Calc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A5" s="60" t="s">
        <v>27</v>
      </c>
    </row>
    <row r="6" spans="1:15" x14ac:dyDescent="0.25">
      <c r="B6" t="s">
        <v>28</v>
      </c>
      <c r="H6">
        <f>G9</f>
        <v>654</v>
      </c>
      <c r="I6">
        <f>H9</f>
        <v>701.3658324999999</v>
      </c>
      <c r="J6">
        <f t="shared" ref="J6:O6" si="1">I9</f>
        <v>731.03388782749994</v>
      </c>
      <c r="K6">
        <f t="shared" si="1"/>
        <v>758.2212628466649</v>
      </c>
      <c r="L6">
        <f t="shared" si="1"/>
        <v>787.75408836626445</v>
      </c>
      <c r="M6">
        <f t="shared" si="1"/>
        <v>818.60355115567347</v>
      </c>
      <c r="N6">
        <f t="shared" si="1"/>
        <v>850.79931158334989</v>
      </c>
      <c r="O6">
        <f t="shared" si="1"/>
        <v>884.37612730328681</v>
      </c>
    </row>
    <row r="7" spans="1:15" x14ac:dyDescent="0.25">
      <c r="B7" t="s">
        <v>29</v>
      </c>
      <c r="C7" s="59">
        <v>140.19999999999999</v>
      </c>
      <c r="D7" s="59">
        <v>152.4</v>
      </c>
      <c r="H7">
        <f>Input!H24*IS!H5</f>
        <v>158.54583249999999</v>
      </c>
      <c r="I7">
        <f>Input!I24*IS!I5</f>
        <v>148.9002468525</v>
      </c>
      <c r="J7">
        <f>Input!J24*IS!J5</f>
        <v>151.46313594983999</v>
      </c>
      <c r="K7">
        <f>Input!K24*IS!K5</f>
        <v>158.43044020353264</v>
      </c>
      <c r="L7">
        <f>Input!L24*IS!L5</f>
        <v>164.76765781167396</v>
      </c>
      <c r="M7">
        <f>Input!M24*IS!M5</f>
        <v>171.35836412414091</v>
      </c>
      <c r="N7">
        <f>Input!N24*IS!N5</f>
        <v>178.21269868910656</v>
      </c>
      <c r="O7">
        <f>Input!O24*IS!O5</f>
        <v>185.34120663667085</v>
      </c>
    </row>
    <row r="8" spans="1:15" x14ac:dyDescent="0.25">
      <c r="B8" t="s">
        <v>14</v>
      </c>
      <c r="C8" s="59">
        <v>-99.3</v>
      </c>
      <c r="D8" s="59">
        <v>-108.9</v>
      </c>
      <c r="H8">
        <f>Input!H17*Calc!H6</f>
        <v>-111.18</v>
      </c>
      <c r="I8">
        <f>Input!I17*Calc!I6</f>
        <v>-119.23219152499999</v>
      </c>
      <c r="J8">
        <f>Input!J17*Calc!J6</f>
        <v>-124.27576093067501</v>
      </c>
      <c r="K8">
        <f>Input!K17*Calc!K6</f>
        <v>-128.89761468393303</v>
      </c>
      <c r="L8">
        <f>Input!L17*Calc!L6</f>
        <v>-133.91819502226497</v>
      </c>
      <c r="M8">
        <f>Input!M17*Calc!M6</f>
        <v>-139.16260369646449</v>
      </c>
      <c r="N8">
        <f>Input!N17*Calc!N6</f>
        <v>-144.6358829691695</v>
      </c>
      <c r="O8">
        <f>Input!O17*Calc!O6</f>
        <v>-150.34394164155876</v>
      </c>
    </row>
    <row r="9" spans="1:15" x14ac:dyDescent="0.25">
      <c r="B9" t="s">
        <v>30</v>
      </c>
      <c r="C9" s="75">
        <v>630</v>
      </c>
      <c r="D9" s="75">
        <v>654</v>
      </c>
      <c r="G9">
        <f>BS!G11</f>
        <v>654</v>
      </c>
      <c r="H9">
        <f t="shared" ref="H9:O9" si="2">SUM(H6:H8)</f>
        <v>701.3658324999999</v>
      </c>
      <c r="I9">
        <f t="shared" si="2"/>
        <v>731.03388782749994</v>
      </c>
      <c r="J9">
        <f t="shared" si="2"/>
        <v>758.2212628466649</v>
      </c>
      <c r="K9">
        <f t="shared" si="2"/>
        <v>787.75408836626445</v>
      </c>
      <c r="L9">
        <f t="shared" si="2"/>
        <v>818.60355115567347</v>
      </c>
      <c r="M9">
        <f t="shared" si="2"/>
        <v>850.79931158334989</v>
      </c>
      <c r="N9">
        <f t="shared" si="2"/>
        <v>884.37612730328681</v>
      </c>
      <c r="O9">
        <f t="shared" si="2"/>
        <v>919.37339229839881</v>
      </c>
    </row>
    <row r="10" spans="1:15" x14ac:dyDescent="0.25">
      <c r="D10" s="75"/>
      <c r="I10" s="58"/>
      <c r="J10" s="58"/>
      <c r="K10" s="58"/>
      <c r="L10" s="58"/>
      <c r="M10" s="58"/>
      <c r="N10" s="58"/>
      <c r="O10" s="58"/>
    </row>
    <row r="11" spans="1:15" x14ac:dyDescent="0.25">
      <c r="A11" s="60" t="s">
        <v>103</v>
      </c>
    </row>
    <row r="12" spans="1:15" x14ac:dyDescent="0.25">
      <c r="B12" t="s">
        <v>28</v>
      </c>
      <c r="H12">
        <f>G14</f>
        <v>6117.6575080000039</v>
      </c>
      <c r="I12">
        <f t="shared" ref="I12:O12" si="3">H14</f>
        <v>6851.7764089600041</v>
      </c>
      <c r="J12">
        <f t="shared" si="3"/>
        <v>7673.9895780352044</v>
      </c>
      <c r="K12">
        <f t="shared" si="3"/>
        <v>8594.8683273994284</v>
      </c>
      <c r="L12">
        <f t="shared" si="3"/>
        <v>9626.2525266873599</v>
      </c>
      <c r="M12">
        <f t="shared" si="3"/>
        <v>10781.402829889843</v>
      </c>
      <c r="N12">
        <f t="shared" si="3"/>
        <v>12075.171169476624</v>
      </c>
      <c r="O12">
        <f t="shared" si="3"/>
        <v>13524.191709813818</v>
      </c>
    </row>
    <row r="13" spans="1:15" x14ac:dyDescent="0.25">
      <c r="B13" t="s">
        <v>137</v>
      </c>
      <c r="H13">
        <f>H12*LBO!$G$57</f>
        <v>734.11890096000047</v>
      </c>
      <c r="I13">
        <f>I12*LBO!$G$57</f>
        <v>822.21316907520043</v>
      </c>
      <c r="J13">
        <f>J12*LBO!$G$57</f>
        <v>920.87874936422452</v>
      </c>
      <c r="K13">
        <f>K12*LBO!$G$57</f>
        <v>1031.3841992879313</v>
      </c>
      <c r="L13">
        <f>L12*LBO!$G$57</f>
        <v>1155.1503032024832</v>
      </c>
      <c r="M13">
        <f>M12*LBO!$G$57</f>
        <v>1293.7683395867812</v>
      </c>
      <c r="N13">
        <f>N12*LBO!$G$57</f>
        <v>1449.0205403371947</v>
      </c>
      <c r="O13">
        <f>O12*LBO!$G$57</f>
        <v>1622.9030051776581</v>
      </c>
    </row>
    <row r="14" spans="1:15" x14ac:dyDescent="0.25">
      <c r="B14" t="s">
        <v>138</v>
      </c>
      <c r="G14">
        <f>LBO!C57</f>
        <v>6117.6575080000039</v>
      </c>
      <c r="H14">
        <f>SUM(H12:H13)</f>
        <v>6851.7764089600041</v>
      </c>
      <c r="I14">
        <f t="shared" ref="I14:O14" si="4">SUM(I12:I13)</f>
        <v>7673.9895780352044</v>
      </c>
      <c r="J14">
        <f t="shared" si="4"/>
        <v>8594.8683273994284</v>
      </c>
      <c r="K14">
        <f t="shared" si="4"/>
        <v>9626.2525266873599</v>
      </c>
      <c r="L14">
        <f t="shared" si="4"/>
        <v>10781.402829889843</v>
      </c>
      <c r="M14">
        <f t="shared" si="4"/>
        <v>12075.171169476624</v>
      </c>
      <c r="N14">
        <f t="shared" si="4"/>
        <v>13524.191709813818</v>
      </c>
      <c r="O14">
        <f t="shared" si="4"/>
        <v>15147.094714991475</v>
      </c>
    </row>
    <row r="16" spans="1:15" x14ac:dyDescent="0.25">
      <c r="A16" s="60" t="s">
        <v>31</v>
      </c>
    </row>
    <row r="17" spans="1:15" x14ac:dyDescent="0.25">
      <c r="B17" t="s">
        <v>28</v>
      </c>
      <c r="H17">
        <f>G20</f>
        <v>3634.9478920000001</v>
      </c>
      <c r="I17">
        <f ca="1">H20</f>
        <v>3486.5803488355305</v>
      </c>
      <c r="J17">
        <f t="shared" ref="J17:O17" ca="1" si="5">I20</f>
        <v>3360.440263493183</v>
      </c>
      <c r="K17">
        <f t="shared" ca="1" si="5"/>
        <v>3245.0515418944478</v>
      </c>
      <c r="L17">
        <f t="shared" ca="1" si="5"/>
        <v>3055.1575458970678</v>
      </c>
      <c r="M17">
        <f t="shared" ca="1" si="5"/>
        <v>2823.3636072226209</v>
      </c>
      <c r="N17">
        <f t="shared" ca="1" si="5"/>
        <v>2543.3305142946024</v>
      </c>
      <c r="O17">
        <f t="shared" ca="1" si="5"/>
        <v>2211.0408158095997</v>
      </c>
    </row>
    <row r="18" spans="1:15" x14ac:dyDescent="0.25">
      <c r="B18" t="s">
        <v>137</v>
      </c>
      <c r="H18">
        <f>H13*-1</f>
        <v>-734.11890096000047</v>
      </c>
      <c r="I18">
        <f t="shared" ref="I18:O18" si="6">I13*-1</f>
        <v>-822.21316907520043</v>
      </c>
      <c r="J18">
        <f t="shared" si="6"/>
        <v>-920.87874936422452</v>
      </c>
      <c r="K18">
        <f t="shared" si="6"/>
        <v>-1031.3841992879313</v>
      </c>
      <c r="L18">
        <f t="shared" si="6"/>
        <v>-1155.1503032024832</v>
      </c>
      <c r="M18">
        <f t="shared" si="6"/>
        <v>-1293.7683395867812</v>
      </c>
      <c r="N18">
        <f t="shared" si="6"/>
        <v>-1449.0205403371947</v>
      </c>
      <c r="O18">
        <f t="shared" si="6"/>
        <v>-1622.9030051776581</v>
      </c>
    </row>
    <row r="19" spans="1:15" x14ac:dyDescent="0.25">
      <c r="B19" t="s">
        <v>32</v>
      </c>
      <c r="H19">
        <f ca="1">IS!H15</f>
        <v>585.75135779553057</v>
      </c>
      <c r="I19">
        <f ca="1">IS!I15</f>
        <v>696.07308373285298</v>
      </c>
      <c r="J19">
        <f ca="1">IS!J15</f>
        <v>805.49002776548912</v>
      </c>
      <c r="K19">
        <f ca="1">IS!K15</f>
        <v>841.49020329055145</v>
      </c>
      <c r="L19">
        <f ca="1">IS!L15</f>
        <v>923.35636452803601</v>
      </c>
      <c r="M19">
        <f ca="1">IS!M15</f>
        <v>1013.7352466587272</v>
      </c>
      <c r="N19">
        <f ca="1">IS!N15</f>
        <v>1116.7308418780624</v>
      </c>
      <c r="O19">
        <f ca="1">IS!O15</f>
        <v>1181.3416050813939</v>
      </c>
    </row>
    <row r="20" spans="1:15" x14ac:dyDescent="0.25">
      <c r="B20" t="s">
        <v>30</v>
      </c>
      <c r="G20">
        <f>BS!G29</f>
        <v>3634.9478920000001</v>
      </c>
      <c r="H20">
        <f t="shared" ref="H20:O20" ca="1" si="7">SUM(H17:H19)</f>
        <v>3486.5803488355305</v>
      </c>
      <c r="I20">
        <f t="shared" ca="1" si="7"/>
        <v>3360.440263493183</v>
      </c>
      <c r="J20">
        <f t="shared" ca="1" si="7"/>
        <v>3245.0515418944478</v>
      </c>
      <c r="K20">
        <f t="shared" ca="1" si="7"/>
        <v>3055.1575458970678</v>
      </c>
      <c r="L20">
        <f t="shared" ca="1" si="7"/>
        <v>2823.3636072226209</v>
      </c>
      <c r="M20">
        <f t="shared" ca="1" si="7"/>
        <v>2543.3305142945669</v>
      </c>
      <c r="N20">
        <f t="shared" ca="1" si="7"/>
        <v>2211.0408158354703</v>
      </c>
      <c r="O20">
        <f t="shared" ca="1" si="7"/>
        <v>1769.4794157133356</v>
      </c>
    </row>
    <row r="22" spans="1:15" x14ac:dyDescent="0.25">
      <c r="A22" s="60" t="s">
        <v>33</v>
      </c>
    </row>
    <row r="23" spans="1:15" x14ac:dyDescent="0.25">
      <c r="B23" t="str">
        <f>BS!B6</f>
        <v>Accounts receivable</v>
      </c>
      <c r="G23">
        <f>BS!G6</f>
        <v>601</v>
      </c>
      <c r="H23">
        <f>BS!H6</f>
        <v>628.04499999999996</v>
      </c>
      <c r="I23">
        <f>BS!I6</f>
        <v>661.33138499999995</v>
      </c>
      <c r="J23">
        <f>BS!J6</f>
        <v>693.73662286499996</v>
      </c>
      <c r="K23">
        <f>BS!K6</f>
        <v>725.64850751679</v>
      </c>
      <c r="L23">
        <f>BS!L6</f>
        <v>754.67444781746156</v>
      </c>
      <c r="M23">
        <f>BS!M6</f>
        <v>784.86142573016002</v>
      </c>
      <c r="N23">
        <f>BS!N6</f>
        <v>816.25588275936661</v>
      </c>
      <c r="O23">
        <f>BS!O6</f>
        <v>848.9061180697413</v>
      </c>
    </row>
    <row r="24" spans="1:15" x14ac:dyDescent="0.25">
      <c r="B24" t="str">
        <f>BS!B7</f>
        <v>Inventories</v>
      </c>
      <c r="G24">
        <f>BS!G7</f>
        <v>679</v>
      </c>
      <c r="H24">
        <f>BS!H7</f>
        <v>641.71377977503312</v>
      </c>
      <c r="I24">
        <f>BS!I7</f>
        <v>658.83149485053207</v>
      </c>
      <c r="J24">
        <f>BS!J7</f>
        <v>691.11423809820815</v>
      </c>
      <c r="K24">
        <f>BS!K7</f>
        <v>741.44153133407769</v>
      </c>
      <c r="L24">
        <f>BS!L7</f>
        <v>771.09919258744083</v>
      </c>
      <c r="M24">
        <f>BS!M7</f>
        <v>801.94316029093841</v>
      </c>
      <c r="N24">
        <f>BS!N7</f>
        <v>834.02088670257615</v>
      </c>
      <c r="O24">
        <f>BS!O7</f>
        <v>867.38172217067915</v>
      </c>
    </row>
    <row r="25" spans="1:15" x14ac:dyDescent="0.25">
      <c r="B25" t="str">
        <f>BS!B8</f>
        <v>Other current assets</v>
      </c>
      <c r="G25">
        <f>BS!G8</f>
        <v>185</v>
      </c>
      <c r="H25">
        <f>BS!H8</f>
        <v>193.32499999999999</v>
      </c>
      <c r="I25">
        <f>BS!I8</f>
        <v>203.57122499999997</v>
      </c>
      <c r="J25">
        <f>BS!J8</f>
        <v>213.54621502499998</v>
      </c>
      <c r="K25">
        <f>BS!K8</f>
        <v>223.36934091614998</v>
      </c>
      <c r="L25">
        <f>BS!L8</f>
        <v>232.30411455279599</v>
      </c>
      <c r="M25">
        <f>BS!M8</f>
        <v>241.59627913490783</v>
      </c>
      <c r="N25">
        <f>BS!N8</f>
        <v>251.26013030030418</v>
      </c>
      <c r="O25">
        <f>BS!O8</f>
        <v>261.31053551231633</v>
      </c>
    </row>
    <row r="26" spans="1:15" x14ac:dyDescent="0.25">
      <c r="B26" t="str">
        <f>BS!B17</f>
        <v>Accounts payable</v>
      </c>
      <c r="G26">
        <f>BS!G17</f>
        <v>193.4</v>
      </c>
      <c r="H26">
        <f>BS!H17</f>
        <v>182.779742280547</v>
      </c>
      <c r="I26">
        <f>BS!I17</f>
        <v>187.65539190588058</v>
      </c>
      <c r="J26">
        <f>BS!J17</f>
        <v>196.85050610926874</v>
      </c>
      <c r="K26">
        <f>BS!K17</f>
        <v>211.18526091312319</v>
      </c>
      <c r="L26">
        <f>BS!L17</f>
        <v>219.63267134964815</v>
      </c>
      <c r="M26">
        <f>BS!M17</f>
        <v>228.41797820363402</v>
      </c>
      <c r="N26">
        <f>BS!N17</f>
        <v>237.55469733177947</v>
      </c>
      <c r="O26">
        <f>BS!O17</f>
        <v>247.05688522505062</v>
      </c>
    </row>
    <row r="27" spans="1:15" x14ac:dyDescent="0.25">
      <c r="B27" t="s">
        <v>136</v>
      </c>
      <c r="G27">
        <f>BS!G18</f>
        <v>750.4</v>
      </c>
      <c r="H27">
        <f>BS!H18</f>
        <v>784.16800000000001</v>
      </c>
      <c r="I27">
        <f>BS!I18</f>
        <v>825.72890399999983</v>
      </c>
      <c r="J27">
        <f>BS!J18</f>
        <v>866.18962029599982</v>
      </c>
      <c r="K27">
        <f>BS!K18</f>
        <v>906.03434282961587</v>
      </c>
      <c r="L27">
        <f>BS!L18</f>
        <v>942.27571654280052</v>
      </c>
      <c r="M27">
        <f>BS!M18</f>
        <v>979.96674520451256</v>
      </c>
      <c r="N27">
        <f>BS!N18</f>
        <v>1019.1654150126932</v>
      </c>
      <c r="O27">
        <f>BS!O18</f>
        <v>1059.9320316132009</v>
      </c>
    </row>
    <row r="28" spans="1:15" x14ac:dyDescent="0.25">
      <c r="B28" t="s">
        <v>34</v>
      </c>
      <c r="G28">
        <f>SUM(G23:G25)-SUM(G26:G27)</f>
        <v>521.20000000000005</v>
      </c>
      <c r="H28">
        <f t="shared" ref="H28:O28" si="8">SUM(H23:H25)-SUM(H26:H27)</f>
        <v>496.136037494486</v>
      </c>
      <c r="I28">
        <f t="shared" si="8"/>
        <v>510.34980894465161</v>
      </c>
      <c r="J28">
        <f t="shared" si="8"/>
        <v>535.35694958293971</v>
      </c>
      <c r="K28">
        <f t="shared" si="8"/>
        <v>573.2397760242784</v>
      </c>
      <c r="L28">
        <f t="shared" si="8"/>
        <v>596.16936706524962</v>
      </c>
      <c r="M28">
        <f t="shared" si="8"/>
        <v>620.01614174785959</v>
      </c>
      <c r="N28">
        <f t="shared" si="8"/>
        <v>644.81678741777432</v>
      </c>
      <c r="O28">
        <f t="shared" si="8"/>
        <v>670.60945891448523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0"/>
  <sheetViews>
    <sheetView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8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8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8" ht="21" x14ac:dyDescent="0.35">
      <c r="A3" s="14" t="str" cm="1">
        <f t="array" aca="1" ref="A3" ca="1">MID(CELL("filename",A3),FIND("]",CELL("filename",A3))+1,255)</f>
        <v>IS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8" x14ac:dyDescent="0.25">
      <c r="B5" t="s">
        <v>36</v>
      </c>
      <c r="C5" s="75">
        <v>4030.3</v>
      </c>
      <c r="D5" s="75">
        <v>4100.5</v>
      </c>
      <c r="H5">
        <f>(1+Input!H10)*IS!D5</f>
        <v>4285.0225</v>
      </c>
      <c r="I5">
        <f>(1+Input!I10)*IS!H5</f>
        <v>4512.1286924999995</v>
      </c>
      <c r="J5">
        <f>(1+Input!J10)*IS!I5</f>
        <v>4733.2229984324995</v>
      </c>
      <c r="K5">
        <f>(1+Input!K10)*IS!J5</f>
        <v>4950.9512563603948</v>
      </c>
      <c r="L5">
        <f>(1+Input!L10)*IS!K5</f>
        <v>5148.9893066148106</v>
      </c>
      <c r="M5">
        <f>(1+Input!M10)*IS!L5</f>
        <v>5354.9488788794033</v>
      </c>
      <c r="N5">
        <f>(1+Input!N10)*IS!M5</f>
        <v>5569.14683403458</v>
      </c>
      <c r="O5">
        <f>(1+Input!O10)*IS!N5</f>
        <v>5791.9127073959635</v>
      </c>
    </row>
    <row r="6" spans="1:18" x14ac:dyDescent="0.25">
      <c r="B6" t="s">
        <v>141</v>
      </c>
      <c r="C6" s="75">
        <v>-1792.5</v>
      </c>
      <c r="D6" s="75">
        <v>-1813.6</v>
      </c>
      <c r="F6" s="58"/>
      <c r="G6" s="58"/>
      <c r="H6">
        <f>H5*Input!H11</f>
        <v>-1714.009</v>
      </c>
      <c r="I6">
        <f>I5*Input!I11</f>
        <v>-1759.7301900749999</v>
      </c>
      <c r="J6">
        <f>J5*Input!J11</f>
        <v>-1845.9569693886749</v>
      </c>
      <c r="K6">
        <f>K5*Input!K11</f>
        <v>-1980.3805025441579</v>
      </c>
      <c r="L6">
        <f>L5*Input!L11</f>
        <v>-2059.5957226459245</v>
      </c>
      <c r="M6">
        <f>M5*Input!M11</f>
        <v>-2141.9795515517612</v>
      </c>
      <c r="N6">
        <f>N5*Input!N11</f>
        <v>-2227.6587336138323</v>
      </c>
      <c r="O6">
        <f>O5*Input!O11</f>
        <v>-2316.7650829583854</v>
      </c>
      <c r="R6" s="76"/>
    </row>
    <row r="7" spans="1:18" x14ac:dyDescent="0.25">
      <c r="B7" t="s">
        <v>142</v>
      </c>
      <c r="C7">
        <f>SUM(C5:C6)</f>
        <v>2237.8000000000002</v>
      </c>
      <c r="D7">
        <f>SUM(D5:D6)</f>
        <v>2286.9</v>
      </c>
      <c r="H7">
        <f t="shared" ref="H7" si="1">SUM(H5:H6)</f>
        <v>2571.0135</v>
      </c>
      <c r="I7">
        <f t="shared" ref="I7" si="2">SUM(I5:I6)</f>
        <v>2752.3985024249996</v>
      </c>
      <c r="J7">
        <f t="shared" ref="J7" si="3">SUM(J5:J6)</f>
        <v>2887.2660290438243</v>
      </c>
      <c r="K7">
        <f t="shared" ref="K7" si="4">SUM(K5:K6)</f>
        <v>2970.5707538162369</v>
      </c>
      <c r="L7">
        <f t="shared" ref="L7" si="5">SUM(L5:L6)</f>
        <v>3089.3935839688861</v>
      </c>
      <c r="M7">
        <f t="shared" ref="M7" si="6">SUM(M5:M6)</f>
        <v>3212.9693273276421</v>
      </c>
      <c r="N7">
        <f t="shared" ref="N7" si="7">SUM(N5:N6)</f>
        <v>3341.4881004207477</v>
      </c>
      <c r="O7">
        <f t="shared" ref="O7" si="8">SUM(O5:O6)</f>
        <v>3475.1476244375781</v>
      </c>
      <c r="R7" s="76"/>
    </row>
    <row r="8" spans="1:18" x14ac:dyDescent="0.25">
      <c r="B8" t="s">
        <v>37</v>
      </c>
      <c r="C8" s="75">
        <v>-1267.5999999999999</v>
      </c>
      <c r="D8" s="75">
        <v>-1318.1</v>
      </c>
      <c r="H8">
        <f>H5*Input!H12</f>
        <v>-1264.0816374999999</v>
      </c>
      <c r="I8">
        <f>I5*Input!I12</f>
        <v>-1353.6386077499999</v>
      </c>
      <c r="J8">
        <f>J5*Input!J12</f>
        <v>-1419.9668995297498</v>
      </c>
      <c r="K8">
        <f>K5*Input!K12</f>
        <v>-1485.2853769081185</v>
      </c>
      <c r="L8">
        <f>L5*Input!L12</f>
        <v>-1544.6967919844431</v>
      </c>
      <c r="M8">
        <f>M5*Input!M12</f>
        <v>-1606.484663663821</v>
      </c>
      <c r="N8">
        <f>N5*Input!N12</f>
        <v>-1670.7440502103739</v>
      </c>
      <c r="O8">
        <f>O5*Input!O12</f>
        <v>-1737.573812218789</v>
      </c>
      <c r="R8" s="76"/>
    </row>
    <row r="9" spans="1:18" x14ac:dyDescent="0.25">
      <c r="B9" t="s">
        <v>143</v>
      </c>
      <c r="C9" s="75">
        <v>-107.7</v>
      </c>
      <c r="D9" s="75">
        <v>-247.2</v>
      </c>
      <c r="H9">
        <f>Input!H13</f>
        <v>0</v>
      </c>
      <c r="I9">
        <f>Input!I13</f>
        <v>0</v>
      </c>
      <c r="J9">
        <f>Input!J13</f>
        <v>0</v>
      </c>
      <c r="K9">
        <f>Input!K13</f>
        <v>0</v>
      </c>
      <c r="L9">
        <f>Input!L13</f>
        <v>0</v>
      </c>
      <c r="M9">
        <f>Input!M13</f>
        <v>0</v>
      </c>
      <c r="N9">
        <f>Input!N13</f>
        <v>0</v>
      </c>
      <c r="O9">
        <f>Input!O13</f>
        <v>0</v>
      </c>
      <c r="R9" s="76"/>
    </row>
    <row r="10" spans="1:18" x14ac:dyDescent="0.25">
      <c r="B10" t="s">
        <v>193</v>
      </c>
      <c r="H10">
        <f>Input!H16*IS!$D$5</f>
        <v>82.009999999999991</v>
      </c>
      <c r="I10">
        <f>Input!I16*IS!$D$5</f>
        <v>102.51249999999999</v>
      </c>
      <c r="J10">
        <f>Input!J16*IS!$D$5</f>
        <v>123.015</v>
      </c>
      <c r="K10">
        <f>Input!K16*IS!$D$5</f>
        <v>123.015</v>
      </c>
      <c r="L10">
        <f>Input!L16*IS!$D$5</f>
        <v>123.015</v>
      </c>
      <c r="M10">
        <f>Input!M16*IS!$D$5</f>
        <v>123.015</v>
      </c>
      <c r="N10">
        <f>Input!N16*IS!$D$5</f>
        <v>123.015</v>
      </c>
      <c r="O10">
        <f>Input!O16*IS!$D$5</f>
        <v>123.015</v>
      </c>
      <c r="R10" s="76"/>
    </row>
    <row r="11" spans="1:18" x14ac:dyDescent="0.25">
      <c r="B11" t="s">
        <v>145</v>
      </c>
      <c r="C11">
        <f>SUM(C7:C10)</f>
        <v>862.50000000000023</v>
      </c>
      <c r="D11">
        <f>SUM(D7:D10)</f>
        <v>721.60000000000014</v>
      </c>
      <c r="H11">
        <f t="shared" ref="H11" si="9">SUM(H7:H10)</f>
        <v>1388.9418625000001</v>
      </c>
      <c r="I11">
        <f t="shared" ref="I11" si="10">SUM(I7:I10)</f>
        <v>1501.2723946749998</v>
      </c>
      <c r="J11">
        <f t="shared" ref="J11" si="11">SUM(J7:J10)</f>
        <v>1590.3141295140747</v>
      </c>
      <c r="K11">
        <f t="shared" ref="K11" si="12">SUM(K7:K10)</f>
        <v>1608.3003769081186</v>
      </c>
      <c r="L11">
        <f t="shared" ref="L11" si="13">SUM(L7:L10)</f>
        <v>1667.7117919844432</v>
      </c>
      <c r="M11">
        <f t="shared" ref="M11" si="14">SUM(M7:M10)</f>
        <v>1729.4996636638211</v>
      </c>
      <c r="N11">
        <f t="shared" ref="N11" si="15">SUM(N7:N10)</f>
        <v>1793.759050210374</v>
      </c>
      <c r="O11">
        <f t="shared" ref="O11" si="16">SUM(O7:O10)</f>
        <v>1860.5888122187891</v>
      </c>
      <c r="R11" s="76"/>
    </row>
    <row r="12" spans="1:18" x14ac:dyDescent="0.25">
      <c r="B12" t="s">
        <v>38</v>
      </c>
      <c r="C12" s="59">
        <f>-122.1+124.7</f>
        <v>2.6000000000000085</v>
      </c>
      <c r="D12" s="59">
        <f>-117.1+76.7</f>
        <v>-40.399999999999991</v>
      </c>
      <c r="H12">
        <f ca="1">IF(switch=1, Debt!H60,0)</f>
        <v>-665.79203806107341</v>
      </c>
      <c r="I12">
        <f ca="1">IF(switch=1, Debt!I60,0)</f>
        <v>-641.92290858505783</v>
      </c>
      <c r="J12">
        <f ca="1">IF(switch=1, Debt!J60,0)</f>
        <v>-608.00921760494168</v>
      </c>
      <c r="K12">
        <f ca="1">IF(switch=1, Debt!K60,0)</f>
        <v>-569.4235827222526</v>
      </c>
      <c r="L12">
        <f ca="1">IF(switch=1, Debt!L60,0)</f>
        <v>-527.76566293748499</v>
      </c>
      <c r="M12">
        <f ca="1">IF(switch=1, Debt!M60,0)</f>
        <v>-477.97466778885087</v>
      </c>
      <c r="N12">
        <f ca="1">IF(switch=1, Debt!N60,0)</f>
        <v>-415.07899850747663</v>
      </c>
      <c r="O12">
        <f ca="1">IF(switch=1, Debt!O60,0)</f>
        <v>-402.14238619078975</v>
      </c>
    </row>
    <row r="13" spans="1:18" x14ac:dyDescent="0.25">
      <c r="B13" t="s">
        <v>39</v>
      </c>
      <c r="C13">
        <f>SUM(C11:C12)</f>
        <v>865.10000000000025</v>
      </c>
      <c r="D13">
        <f>SUM(D11:D12)</f>
        <v>681.20000000000016</v>
      </c>
      <c r="H13">
        <f ca="1">SUM(H11:H12)</f>
        <v>723.14982443892666</v>
      </c>
      <c r="I13">
        <f t="shared" ref="I13:O13" ca="1" si="17">SUM(I11:I12)</f>
        <v>859.34948608994193</v>
      </c>
      <c r="J13">
        <f t="shared" ca="1" si="17"/>
        <v>982.30491190913301</v>
      </c>
      <c r="K13">
        <f t="shared" ca="1" si="17"/>
        <v>1038.8767941858659</v>
      </c>
      <c r="L13">
        <f t="shared" ca="1" si="17"/>
        <v>1139.946129046958</v>
      </c>
      <c r="M13">
        <f t="shared" ca="1" si="17"/>
        <v>1251.5249958749703</v>
      </c>
      <c r="N13">
        <f t="shared" ca="1" si="17"/>
        <v>1378.6800517028973</v>
      </c>
      <c r="O13">
        <f t="shared" ca="1" si="17"/>
        <v>1458.4464260279995</v>
      </c>
    </row>
    <row r="14" spans="1:18" x14ac:dyDescent="0.25">
      <c r="B14" t="s">
        <v>40</v>
      </c>
      <c r="C14" s="75">
        <v>-75.599999999999994</v>
      </c>
      <c r="D14" s="75">
        <v>-115.5</v>
      </c>
      <c r="H14">
        <f ca="1">Input!H18*IS!H13</f>
        <v>-137.39846664339606</v>
      </c>
      <c r="I14">
        <f ca="1">Input!I18*IS!I13</f>
        <v>-163.27640235708898</v>
      </c>
      <c r="J14">
        <f ca="1">Input!J18*IS!J13</f>
        <v>-176.81488414364392</v>
      </c>
      <c r="K14">
        <f ca="1">Input!K18*IS!K13</f>
        <v>-197.38659089531453</v>
      </c>
      <c r="L14">
        <f ca="1">Input!L18*IS!L13</f>
        <v>-216.58976451892204</v>
      </c>
      <c r="M14">
        <f ca="1">Input!M18*IS!M13</f>
        <v>-237.78974921624436</v>
      </c>
      <c r="N14">
        <f ca="1">Input!N18*IS!N13</f>
        <v>-261.94920982355052</v>
      </c>
      <c r="O14">
        <f ca="1">Input!O18*IS!O13</f>
        <v>-277.10482094531989</v>
      </c>
    </row>
    <row r="15" spans="1:18" x14ac:dyDescent="0.25">
      <c r="B15" t="s">
        <v>32</v>
      </c>
      <c r="C15">
        <f>C13+C14</f>
        <v>789.50000000000023</v>
      </c>
      <c r="D15">
        <f>D13+D14</f>
        <v>565.70000000000016</v>
      </c>
      <c r="H15">
        <f t="shared" ref="H15:O15" ca="1" si="18">H13+H14</f>
        <v>585.75135779553057</v>
      </c>
      <c r="I15">
        <f t="shared" ca="1" si="18"/>
        <v>696.07308373285298</v>
      </c>
      <c r="J15">
        <f t="shared" ca="1" si="18"/>
        <v>805.49002776548912</v>
      </c>
      <c r="K15">
        <f t="shared" ca="1" si="18"/>
        <v>841.49020329055145</v>
      </c>
      <c r="L15">
        <f t="shared" ca="1" si="18"/>
        <v>923.35636452803601</v>
      </c>
      <c r="M15">
        <f t="shared" ca="1" si="18"/>
        <v>1013.7352466587259</v>
      </c>
      <c r="N15">
        <f t="shared" ca="1" si="18"/>
        <v>1116.7308418793468</v>
      </c>
      <c r="O15">
        <f t="shared" ca="1" si="18"/>
        <v>1181.3416050826795</v>
      </c>
    </row>
    <row r="16" spans="1:18" x14ac:dyDescent="0.25">
      <c r="R16" s="76"/>
    </row>
    <row r="17" spans="2:18" x14ac:dyDescent="0.25">
      <c r="B17" t="s">
        <v>144</v>
      </c>
      <c r="C17">
        <f>C11</f>
        <v>862.50000000000023</v>
      </c>
      <c r="D17">
        <f>D11</f>
        <v>721.60000000000014</v>
      </c>
      <c r="H17">
        <f t="shared" ref="H17:O17" si="19">H11</f>
        <v>1388.9418625000001</v>
      </c>
      <c r="I17">
        <f t="shared" si="19"/>
        <v>1501.2723946749998</v>
      </c>
      <c r="J17">
        <f t="shared" si="19"/>
        <v>1590.3141295140747</v>
      </c>
      <c r="K17">
        <f t="shared" si="19"/>
        <v>1608.3003769081186</v>
      </c>
      <c r="L17">
        <f t="shared" si="19"/>
        <v>1667.7117919844432</v>
      </c>
      <c r="M17">
        <f t="shared" si="19"/>
        <v>1729.4996636638211</v>
      </c>
      <c r="N17">
        <f t="shared" si="19"/>
        <v>1793.759050210374</v>
      </c>
      <c r="O17">
        <f t="shared" si="19"/>
        <v>1860.5888122187891</v>
      </c>
      <c r="R17" s="76"/>
    </row>
    <row r="18" spans="2:18" x14ac:dyDescent="0.25">
      <c r="B18" t="s">
        <v>143</v>
      </c>
      <c r="C18">
        <f>C9*-1</f>
        <v>107.7</v>
      </c>
      <c r="D18">
        <f>D9*-1</f>
        <v>247.2</v>
      </c>
      <c r="H18">
        <f t="shared" ref="H18:O18" si="20">H9*-1</f>
        <v>0</v>
      </c>
      <c r="I18">
        <f t="shared" si="20"/>
        <v>0</v>
      </c>
      <c r="J18">
        <f t="shared" si="20"/>
        <v>0</v>
      </c>
      <c r="K18">
        <f t="shared" si="20"/>
        <v>0</v>
      </c>
      <c r="L18">
        <f t="shared" si="20"/>
        <v>0</v>
      </c>
      <c r="M18">
        <f t="shared" si="20"/>
        <v>0</v>
      </c>
      <c r="N18">
        <f t="shared" si="20"/>
        <v>0</v>
      </c>
      <c r="O18">
        <f t="shared" si="20"/>
        <v>0</v>
      </c>
      <c r="R18" s="76"/>
    </row>
    <row r="19" spans="2:18" x14ac:dyDescent="0.25">
      <c r="B19" t="s">
        <v>182</v>
      </c>
      <c r="C19">
        <f>Calc!C8*-1</f>
        <v>99.3</v>
      </c>
      <c r="D19">
        <f>Calc!D8*-1</f>
        <v>108.9</v>
      </c>
      <c r="H19">
        <f>Calc!H8*-1</f>
        <v>111.18</v>
      </c>
      <c r="I19">
        <f>Calc!I8*-1</f>
        <v>119.23219152499999</v>
      </c>
      <c r="J19">
        <f>Calc!J8*-1</f>
        <v>124.27576093067501</v>
      </c>
      <c r="K19">
        <f>Calc!K8*-1</f>
        <v>128.89761468393303</v>
      </c>
      <c r="L19">
        <f>Calc!L8*-1</f>
        <v>133.91819502226497</v>
      </c>
      <c r="M19">
        <f>Calc!M8*-1</f>
        <v>139.16260369646449</v>
      </c>
      <c r="N19">
        <f>Calc!N8*-1</f>
        <v>144.6358829691695</v>
      </c>
      <c r="O19">
        <f>Calc!O8*-1</f>
        <v>150.34394164155876</v>
      </c>
    </row>
    <row r="20" spans="2:18" x14ac:dyDescent="0.25">
      <c r="B20" t="s">
        <v>111</v>
      </c>
      <c r="C20">
        <f>SUM(C17:C19)</f>
        <v>1069.5000000000002</v>
      </c>
      <c r="D20">
        <f>SUM(D17:D19)</f>
        <v>1077.7000000000003</v>
      </c>
      <c r="H20">
        <f t="shared" ref="H20" si="21">SUM(H17:H19)</f>
        <v>1500.1218625000001</v>
      </c>
      <c r="I20">
        <f t="shared" ref="I20" si="22">SUM(I17:I19)</f>
        <v>1620.5045861999997</v>
      </c>
      <c r="J20">
        <f t="shared" ref="J20" si="23">SUM(J17:J19)</f>
        <v>1714.5898904447497</v>
      </c>
      <c r="K20">
        <f t="shared" ref="K20" si="24">SUM(K17:K19)</f>
        <v>1737.1979915920515</v>
      </c>
      <c r="L20">
        <f t="shared" ref="L20" si="25">SUM(L17:L19)</f>
        <v>1801.6299870067082</v>
      </c>
      <c r="M20">
        <f t="shared" ref="M20" si="26">SUM(M17:M19)</f>
        <v>1868.6622673602856</v>
      </c>
      <c r="N20">
        <f t="shared" ref="N20" si="27">SUM(N17:N19)</f>
        <v>1938.3949331795434</v>
      </c>
      <c r="O20">
        <f t="shared" ref="O20" si="28">SUM(O17:O19)</f>
        <v>2010.9327538603479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7"/>
  <sheetViews>
    <sheetView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BS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B5" t="s">
        <v>41</v>
      </c>
      <c r="C5" s="59">
        <v>2334</v>
      </c>
      <c r="D5" s="59">
        <v>2203</v>
      </c>
      <c r="F5">
        <f>-D5</f>
        <v>-2203</v>
      </c>
      <c r="G5">
        <f>SUM(D5:F5)</f>
        <v>0</v>
      </c>
      <c r="H5">
        <f ca="1">CFS!H24</f>
        <v>185.86237195026126</v>
      </c>
      <c r="I5">
        <f ca="1">CFS!I24</f>
        <v>259.9134072263621</v>
      </c>
      <c r="J5">
        <f ca="1">CFS!J24</f>
        <v>309.75022983359952</v>
      </c>
      <c r="K5">
        <f ca="1">CFS!K24</f>
        <v>334.17795529080297</v>
      </c>
      <c r="L5">
        <f ca="1">CFS!L24</f>
        <v>371.74718769711524</v>
      </c>
      <c r="M5">
        <f ca="1">CFS!M24</f>
        <v>411.66535055429961</v>
      </c>
      <c r="N5">
        <f ca="1">CFS!N24</f>
        <v>456.32670440324421</v>
      </c>
      <c r="O5">
        <f ca="1">CFS!O24</f>
        <v>1963.1306576835154</v>
      </c>
    </row>
    <row r="6" spans="1:15" x14ac:dyDescent="0.25">
      <c r="B6" t="s">
        <v>42</v>
      </c>
      <c r="C6" s="59">
        <v>600</v>
      </c>
      <c r="D6" s="59">
        <v>601</v>
      </c>
      <c r="G6">
        <f>SUM(D6:F6)</f>
        <v>601</v>
      </c>
      <c r="H6">
        <f>Input!H22/365*IS!H5</f>
        <v>628.04499999999996</v>
      </c>
      <c r="I6">
        <f>Input!I22/365*IS!I5</f>
        <v>661.33138499999995</v>
      </c>
      <c r="J6">
        <f>Input!J22/365*IS!J5</f>
        <v>693.73662286499996</v>
      </c>
      <c r="K6">
        <f>Input!K22/365*IS!K5</f>
        <v>725.64850751679</v>
      </c>
      <c r="L6">
        <f>Input!L22/365*IS!L5</f>
        <v>754.67444781746156</v>
      </c>
      <c r="M6">
        <f>Input!M22/365*IS!M5</f>
        <v>784.86142573016002</v>
      </c>
      <c r="N6">
        <f>Input!N22/365*IS!N5</f>
        <v>816.25588275936661</v>
      </c>
      <c r="O6">
        <f>Input!O22/365*IS!O5</f>
        <v>848.9061180697413</v>
      </c>
    </row>
    <row r="7" spans="1:15" x14ac:dyDescent="0.25">
      <c r="B7" t="s">
        <v>43</v>
      </c>
      <c r="C7" s="59">
        <v>680</v>
      </c>
      <c r="D7" s="59">
        <v>679</v>
      </c>
      <c r="G7">
        <f>SUM(D7:F7)</f>
        <v>679</v>
      </c>
      <c r="H7">
        <f>Input!H21/365*IS!H6</f>
        <v>641.71377977503312</v>
      </c>
      <c r="I7">
        <f>Input!I21/365*IS!I6</f>
        <v>658.83149485053207</v>
      </c>
      <c r="J7">
        <f>Input!J21/365*IS!J6</f>
        <v>691.11423809820815</v>
      </c>
      <c r="K7">
        <f>Input!K21/365*IS!K6</f>
        <v>741.44153133407769</v>
      </c>
      <c r="L7">
        <f>Input!L21/365*IS!L6</f>
        <v>771.09919258744083</v>
      </c>
      <c r="M7">
        <f>Input!M21/365*IS!M6</f>
        <v>801.94316029093841</v>
      </c>
      <c r="N7">
        <f>Input!N21/365*IS!N6</f>
        <v>834.02088670257615</v>
      </c>
      <c r="O7">
        <f>Input!O21/365*IS!O6</f>
        <v>867.38172217067915</v>
      </c>
    </row>
    <row r="8" spans="1:15" x14ac:dyDescent="0.25">
      <c r="B8" t="s">
        <v>44</v>
      </c>
      <c r="C8" s="59">
        <v>210</v>
      </c>
      <c r="D8" s="59">
        <v>185</v>
      </c>
      <c r="G8">
        <f>SUM(D8:F8)</f>
        <v>185</v>
      </c>
      <c r="H8">
        <f>Input!H23*IS!H5</f>
        <v>193.32499999999999</v>
      </c>
      <c r="I8">
        <f>Input!I23*IS!I5</f>
        <v>203.57122499999997</v>
      </c>
      <c r="J8">
        <f>Input!J23*IS!J5</f>
        <v>213.54621502499998</v>
      </c>
      <c r="K8">
        <f>Input!K23*IS!K5</f>
        <v>223.36934091614998</v>
      </c>
      <c r="L8">
        <f>Input!L23*IS!L5</f>
        <v>232.30411455279599</v>
      </c>
      <c r="M8">
        <f>Input!M23*IS!M5</f>
        <v>241.59627913490783</v>
      </c>
      <c r="N8">
        <f>Input!N23*IS!N5</f>
        <v>251.26013030030418</v>
      </c>
      <c r="O8">
        <f>Input!O23*IS!O5</f>
        <v>261.31053551231633</v>
      </c>
    </row>
    <row r="9" spans="1:15" x14ac:dyDescent="0.25">
      <c r="B9" t="s">
        <v>45</v>
      </c>
      <c r="C9">
        <f>SUM(C5:C8)</f>
        <v>3824</v>
      </c>
      <c r="D9">
        <f>SUM(D5:D8)</f>
        <v>3668</v>
      </c>
      <c r="G9">
        <f>SUM(G5:G8)</f>
        <v>1465</v>
      </c>
      <c r="H9">
        <f ca="1">SUM(H5:H8)</f>
        <v>1648.9461517252944</v>
      </c>
      <c r="I9">
        <f t="shared" ref="I9:O9" ca="1" si="1">SUM(I5:I8)</f>
        <v>1783.6475120768939</v>
      </c>
      <c r="J9">
        <f t="shared" ca="1" si="1"/>
        <v>1908.1473058218075</v>
      </c>
      <c r="K9">
        <f t="shared" ca="1" si="1"/>
        <v>2024.6373350578208</v>
      </c>
      <c r="L9">
        <f t="shared" ca="1" si="1"/>
        <v>2129.8249426548136</v>
      </c>
      <c r="M9">
        <f t="shared" ca="1" si="1"/>
        <v>2240.0662157103061</v>
      </c>
      <c r="N9">
        <f t="shared" ca="1" si="1"/>
        <v>2357.8636041654913</v>
      </c>
      <c r="O9">
        <f t="shared" ca="1" si="1"/>
        <v>3940.7290334362519</v>
      </c>
    </row>
    <row r="11" spans="1:15" x14ac:dyDescent="0.25">
      <c r="B11" t="s">
        <v>46</v>
      </c>
      <c r="C11" s="59">
        <v>630</v>
      </c>
      <c r="D11" s="59">
        <v>654</v>
      </c>
      <c r="G11">
        <f>SUM(D11:F11)</f>
        <v>654</v>
      </c>
      <c r="H11">
        <f>Calc!H9</f>
        <v>701.3658324999999</v>
      </c>
      <c r="I11">
        <f>Calc!I9</f>
        <v>731.03388782749994</v>
      </c>
      <c r="J11">
        <f>Calc!J9</f>
        <v>758.2212628466649</v>
      </c>
      <c r="K11">
        <f>Calc!K9</f>
        <v>787.75408836626445</v>
      </c>
      <c r="L11">
        <f>Calc!L9</f>
        <v>818.60355115567347</v>
      </c>
      <c r="M11">
        <f>Calc!M9</f>
        <v>850.79931158334989</v>
      </c>
      <c r="N11">
        <f>Calc!N9</f>
        <v>884.37612730328681</v>
      </c>
      <c r="O11">
        <f>Calc!O9</f>
        <v>919.37339229839881</v>
      </c>
    </row>
    <row r="12" spans="1:15" x14ac:dyDescent="0.25">
      <c r="B12" t="s">
        <v>65</v>
      </c>
      <c r="C12" s="87">
        <f>129+136+845+151</f>
        <v>1261</v>
      </c>
      <c r="D12" s="59">
        <f>240+145+589+79</f>
        <v>1053</v>
      </c>
      <c r="G12">
        <f>SUM(D12:F12)</f>
        <v>1053</v>
      </c>
      <c r="H12">
        <f>Input!H25</f>
        <v>1053</v>
      </c>
      <c r="I12">
        <f>Input!I25</f>
        <v>1053</v>
      </c>
      <c r="J12">
        <f>Input!J25</f>
        <v>1053</v>
      </c>
      <c r="K12">
        <f>Input!K25</f>
        <v>1053</v>
      </c>
      <c r="L12">
        <f>Input!L25</f>
        <v>1053</v>
      </c>
      <c r="M12">
        <f>Input!M25</f>
        <v>1053</v>
      </c>
      <c r="N12">
        <f>Input!N25</f>
        <v>1053</v>
      </c>
      <c r="O12">
        <f>Input!O25</f>
        <v>1053</v>
      </c>
    </row>
    <row r="13" spans="1:15" x14ac:dyDescent="0.25">
      <c r="B13" t="s">
        <v>13</v>
      </c>
      <c r="C13" s="59">
        <v>3443</v>
      </c>
      <c r="D13" s="59">
        <v>3641</v>
      </c>
      <c r="E13">
        <f>-D13+LBO!D71</f>
        <v>12781.205400000003</v>
      </c>
      <c r="G13">
        <f>SUM(D13:F13)</f>
        <v>16422.205400000003</v>
      </c>
      <c r="H13">
        <f>G13</f>
        <v>16422.205400000003</v>
      </c>
      <c r="I13">
        <f t="shared" ref="I13:O13" si="2">H13</f>
        <v>16422.205400000003</v>
      </c>
      <c r="J13">
        <f t="shared" si="2"/>
        <v>16422.205400000003</v>
      </c>
      <c r="K13">
        <f t="shared" si="2"/>
        <v>16422.205400000003</v>
      </c>
      <c r="L13">
        <f t="shared" si="2"/>
        <v>16422.205400000003</v>
      </c>
      <c r="M13">
        <f t="shared" si="2"/>
        <v>16422.205400000003</v>
      </c>
      <c r="N13">
        <f t="shared" si="2"/>
        <v>16422.205400000003</v>
      </c>
      <c r="O13">
        <f t="shared" si="2"/>
        <v>16422.205400000003</v>
      </c>
    </row>
    <row r="14" spans="1:15" x14ac:dyDescent="0.25">
      <c r="B14" t="s">
        <v>47</v>
      </c>
      <c r="C14">
        <f>SUM(C9,C11:C13)</f>
        <v>9158</v>
      </c>
      <c r="D14">
        <f>SUM(D9,D11:D13)</f>
        <v>9016</v>
      </c>
      <c r="G14">
        <f t="shared" ref="G14:O14" si="3">SUM(G9,G11:G13)</f>
        <v>19594.205400000003</v>
      </c>
      <c r="H14">
        <f t="shared" ca="1" si="3"/>
        <v>19825.517384225299</v>
      </c>
      <c r="I14">
        <f t="shared" ca="1" si="3"/>
        <v>19989.886799904398</v>
      </c>
      <c r="J14">
        <f t="shared" ca="1" si="3"/>
        <v>20141.573968668476</v>
      </c>
      <c r="K14">
        <f t="shared" ca="1" si="3"/>
        <v>20287.596823424086</v>
      </c>
      <c r="L14">
        <f t="shared" ca="1" si="3"/>
        <v>20423.633893810489</v>
      </c>
      <c r="M14">
        <f t="shared" ca="1" si="3"/>
        <v>20566.070927293658</v>
      </c>
      <c r="N14">
        <f t="shared" ca="1" si="3"/>
        <v>20717.445131468783</v>
      </c>
      <c r="O14">
        <f t="shared" ca="1" si="3"/>
        <v>22335.307825734653</v>
      </c>
    </row>
    <row r="16" spans="1:15" x14ac:dyDescent="0.25">
      <c r="B16" t="s">
        <v>48</v>
      </c>
      <c r="C16" s="59">
        <v>64.8</v>
      </c>
      <c r="D16" s="59">
        <v>33.4</v>
      </c>
      <c r="F16" s="30">
        <f>-D16+LBO!C53</f>
        <v>-33.4</v>
      </c>
      <c r="G16">
        <f>SUM(D16:F16)</f>
        <v>0</v>
      </c>
      <c r="H16">
        <f ca="1">Debt!H23</f>
        <v>0</v>
      </c>
      <c r="I16">
        <f ca="1">Debt!I23</f>
        <v>0</v>
      </c>
      <c r="J16">
        <f ca="1">Debt!J23</f>
        <v>0</v>
      </c>
      <c r="K16">
        <f ca="1">Debt!K23</f>
        <v>0</v>
      </c>
      <c r="L16">
        <f ca="1">Debt!L23</f>
        <v>0</v>
      </c>
      <c r="M16">
        <f ca="1">Debt!M23</f>
        <v>0</v>
      </c>
      <c r="N16">
        <f ca="1">Debt!N23</f>
        <v>0</v>
      </c>
      <c r="O16">
        <f ca="1">Debt!O23</f>
        <v>0</v>
      </c>
    </row>
    <row r="17" spans="2:15" x14ac:dyDescent="0.25">
      <c r="B17" t="s">
        <v>49</v>
      </c>
      <c r="C17" s="59">
        <v>203.8</v>
      </c>
      <c r="D17" s="59">
        <v>193.4</v>
      </c>
      <c r="G17">
        <f>SUM(D17:F17)</f>
        <v>193.4</v>
      </c>
      <c r="H17">
        <f>Input!H26/365*IS!H6</f>
        <v>182.779742280547</v>
      </c>
      <c r="I17">
        <f>Input!I26/365*IS!I6</f>
        <v>187.65539190588058</v>
      </c>
      <c r="J17">
        <f>Input!J26/365*IS!J6</f>
        <v>196.85050610926874</v>
      </c>
      <c r="K17">
        <f>Input!K26/365*IS!K6</f>
        <v>211.18526091312319</v>
      </c>
      <c r="L17">
        <f>Input!L26/365*IS!L6</f>
        <v>219.63267134964815</v>
      </c>
      <c r="M17">
        <f>Input!M26/365*IS!M6</f>
        <v>228.41797820363402</v>
      </c>
      <c r="N17">
        <f>Input!N26/365*IS!N6</f>
        <v>237.55469733177947</v>
      </c>
      <c r="O17">
        <f>Input!O26/365*IS!O6</f>
        <v>247.05688522505062</v>
      </c>
    </row>
    <row r="18" spans="2:15" x14ac:dyDescent="0.25">
      <c r="B18" t="s">
        <v>134</v>
      </c>
      <c r="C18" s="59">
        <f>69.4+699.2</f>
        <v>768.6</v>
      </c>
      <c r="D18" s="59">
        <f>72.8+677.6</f>
        <v>750.4</v>
      </c>
      <c r="G18">
        <f>SUM(D18:F18)</f>
        <v>750.4</v>
      </c>
      <c r="H18">
        <f>Input!H27*IS!H5</f>
        <v>784.16800000000001</v>
      </c>
      <c r="I18">
        <f>Input!I27*IS!I5</f>
        <v>825.72890399999983</v>
      </c>
      <c r="J18">
        <f>Input!J27*IS!J5</f>
        <v>866.18962029599982</v>
      </c>
      <c r="K18">
        <f>Input!K27*IS!K5</f>
        <v>906.03434282961587</v>
      </c>
      <c r="L18">
        <f>Input!L27*IS!L5</f>
        <v>942.27571654280052</v>
      </c>
      <c r="M18">
        <f>Input!M27*IS!M5</f>
        <v>979.96674520451256</v>
      </c>
      <c r="N18">
        <f>Input!N27*IS!N5</f>
        <v>1019.1654150126932</v>
      </c>
      <c r="O18">
        <f>Input!O27*IS!O5</f>
        <v>1059.9320316132009</v>
      </c>
    </row>
    <row r="19" spans="2:15" x14ac:dyDescent="0.25">
      <c r="B19" t="s">
        <v>50</v>
      </c>
      <c r="C19">
        <f>SUM(C16:C18)</f>
        <v>1037.2</v>
      </c>
      <c r="D19">
        <f>SUM(D16:D18)</f>
        <v>977.2</v>
      </c>
      <c r="G19">
        <f t="shared" ref="G19:O19" si="4">SUM(G16:G18)</f>
        <v>943.8</v>
      </c>
      <c r="H19">
        <f t="shared" ca="1" si="4"/>
        <v>966.947742280547</v>
      </c>
      <c r="I19">
        <f t="shared" ca="1" si="4"/>
        <v>1013.3842959058804</v>
      </c>
      <c r="J19">
        <f t="shared" ca="1" si="4"/>
        <v>1063.0401264052684</v>
      </c>
      <c r="K19">
        <f t="shared" ca="1" si="4"/>
        <v>1117.2196037427391</v>
      </c>
      <c r="L19">
        <f t="shared" ca="1" si="4"/>
        <v>1161.9083878924487</v>
      </c>
      <c r="M19">
        <f t="shared" ca="1" si="4"/>
        <v>1208.3847234081466</v>
      </c>
      <c r="N19">
        <f t="shared" ca="1" si="4"/>
        <v>1256.7201123444727</v>
      </c>
      <c r="O19">
        <f t="shared" ca="1" si="4"/>
        <v>1306.9889168382515</v>
      </c>
    </row>
    <row r="21" spans="2:15" x14ac:dyDescent="0.25">
      <c r="B21" t="s">
        <v>66</v>
      </c>
      <c r="C21" s="59">
        <v>2593</v>
      </c>
      <c r="D21" s="59">
        <v>2593</v>
      </c>
      <c r="F21">
        <f>-D21</f>
        <v>-2593</v>
      </c>
      <c r="G21">
        <f t="shared" ref="G21:G26" si="5">SUM(D21:F21)</f>
        <v>0</v>
      </c>
      <c r="H21">
        <f>G21</f>
        <v>0</v>
      </c>
      <c r="I21">
        <f t="shared" ref="I21:O21" si="6">H21</f>
        <v>0</v>
      </c>
      <c r="J21">
        <f t="shared" si="6"/>
        <v>0</v>
      </c>
      <c r="K21">
        <f t="shared" si="6"/>
        <v>0</v>
      </c>
      <c r="L21">
        <f t="shared" si="6"/>
        <v>0</v>
      </c>
      <c r="M21">
        <f t="shared" si="6"/>
        <v>0</v>
      </c>
      <c r="N21">
        <f t="shared" si="6"/>
        <v>0</v>
      </c>
      <c r="O21">
        <f t="shared" si="6"/>
        <v>0</v>
      </c>
    </row>
    <row r="22" spans="2:15" x14ac:dyDescent="0.25">
      <c r="B22" t="str">
        <f>LBO!B54</f>
        <v>Term loan B</v>
      </c>
      <c r="C22" s="59"/>
      <c r="D22" s="59"/>
      <c r="F22">
        <f>LBO!C54</f>
        <v>5000</v>
      </c>
      <c r="G22">
        <f t="shared" si="5"/>
        <v>5000</v>
      </c>
      <c r="H22">
        <f ca="1">Debt!H38</f>
        <v>4442.4128841492166</v>
      </c>
      <c r="I22">
        <f ca="1">Debt!I38</f>
        <v>3662.67266247013</v>
      </c>
      <c r="J22">
        <f ca="1">Debt!J38</f>
        <v>2733.4219729693314</v>
      </c>
      <c r="K22">
        <f ca="1">Debt!K38</f>
        <v>1730.8881070969221</v>
      </c>
      <c r="L22">
        <f ca="1">Debt!L38</f>
        <v>615.64654400557788</v>
      </c>
      <c r="M22">
        <f ca="1">Debt!M38</f>
        <v>0</v>
      </c>
      <c r="N22">
        <f ca="1">Debt!N38</f>
        <v>0</v>
      </c>
      <c r="O22">
        <f ca="1">Debt!O38</f>
        <v>0</v>
      </c>
    </row>
    <row r="23" spans="2:15" x14ac:dyDescent="0.25">
      <c r="B23" t="str">
        <f>LBO!B55</f>
        <v>Subordinated debt</v>
      </c>
      <c r="C23" s="59"/>
      <c r="D23" s="59"/>
      <c r="F23">
        <f>LBO!C55</f>
        <v>2000</v>
      </c>
      <c r="G23">
        <f t="shared" si="5"/>
        <v>2000</v>
      </c>
      <c r="H23">
        <f ca="1">Debt!H47</f>
        <v>2000</v>
      </c>
      <c r="I23">
        <f ca="1">Debt!I47</f>
        <v>2000</v>
      </c>
      <c r="J23">
        <f ca="1">Debt!J47</f>
        <v>2000</v>
      </c>
      <c r="K23">
        <f ca="1">Debt!K47</f>
        <v>2000</v>
      </c>
      <c r="L23">
        <f ca="1">Debt!L47</f>
        <v>2000</v>
      </c>
      <c r="M23">
        <f ca="1">Debt!M47</f>
        <v>1380.6504923393711</v>
      </c>
      <c r="N23">
        <f ca="1">Debt!N47</f>
        <v>11.670381597085679</v>
      </c>
      <c r="O23">
        <f ca="1">Debt!O47</f>
        <v>0</v>
      </c>
    </row>
    <row r="24" spans="2:15" x14ac:dyDescent="0.25">
      <c r="B24" s="80" t="s">
        <v>85</v>
      </c>
      <c r="C24" s="59"/>
      <c r="D24" s="59"/>
      <c r="F24">
        <f>LBO!C56</f>
        <v>1500</v>
      </c>
      <c r="G24" s="80">
        <f t="shared" si="5"/>
        <v>1500</v>
      </c>
      <c r="H24">
        <f>Debt!H57</f>
        <v>1680</v>
      </c>
      <c r="I24">
        <f>Debt!I57</f>
        <v>1881.6</v>
      </c>
      <c r="J24">
        <f>Debt!J57</f>
        <v>2107.3919999999998</v>
      </c>
      <c r="K24">
        <f>Debt!K57</f>
        <v>2360.2790399999999</v>
      </c>
      <c r="L24">
        <f>Debt!L57</f>
        <v>2643.5125247999999</v>
      </c>
      <c r="M24">
        <f>Debt!M57</f>
        <v>2960.7340277759999</v>
      </c>
      <c r="N24">
        <f>Debt!N57</f>
        <v>3316.02211110912</v>
      </c>
      <c r="O24">
        <f>Debt!O57</f>
        <v>3713.9447644422144</v>
      </c>
    </row>
    <row r="25" spans="2:15" x14ac:dyDescent="0.25">
      <c r="B25" t="s">
        <v>103</v>
      </c>
      <c r="C25" s="59"/>
      <c r="D25" s="59"/>
      <c r="F25">
        <f>LBO!C57</f>
        <v>6117.6575080000039</v>
      </c>
      <c r="G25">
        <f t="shared" si="5"/>
        <v>6117.6575080000039</v>
      </c>
      <c r="H25">
        <f>Calc!H14</f>
        <v>6851.7764089600041</v>
      </c>
      <c r="I25">
        <f>Calc!I14</f>
        <v>7673.9895780352044</v>
      </c>
      <c r="J25">
        <f>Calc!J14</f>
        <v>8594.8683273994284</v>
      </c>
      <c r="K25">
        <f>Calc!K14</f>
        <v>9626.2525266873599</v>
      </c>
      <c r="L25">
        <f>Calc!L14</f>
        <v>10781.402829889843</v>
      </c>
      <c r="M25">
        <f>Calc!M14</f>
        <v>12075.171169476624</v>
      </c>
      <c r="N25">
        <f>Calc!N14</f>
        <v>13524.191709813818</v>
      </c>
      <c r="O25">
        <f>Calc!O14</f>
        <v>15147.094714991475</v>
      </c>
    </row>
    <row r="26" spans="2:15" x14ac:dyDescent="0.25">
      <c r="B26" t="s">
        <v>67</v>
      </c>
      <c r="C26" s="59">
        <f>59+24+312+2.8</f>
        <v>397.8</v>
      </c>
      <c r="D26" s="59">
        <f>43+23+330+1.8</f>
        <v>397.8</v>
      </c>
      <c r="G26">
        <f t="shared" si="5"/>
        <v>397.8</v>
      </c>
      <c r="H26">
        <f>Input!H28</f>
        <v>397.8</v>
      </c>
      <c r="I26">
        <f>Input!I28</f>
        <v>397.8</v>
      </c>
      <c r="J26">
        <f>Input!J28</f>
        <v>397.8</v>
      </c>
      <c r="K26">
        <f>Input!K28</f>
        <v>397.8</v>
      </c>
      <c r="L26">
        <f>Input!L28</f>
        <v>397.8</v>
      </c>
      <c r="M26">
        <f>Input!M28</f>
        <v>397.8</v>
      </c>
      <c r="N26">
        <f>Input!N28</f>
        <v>397.8</v>
      </c>
      <c r="O26">
        <f>Input!O28</f>
        <v>397.8</v>
      </c>
    </row>
    <row r="27" spans="2:15" x14ac:dyDescent="0.25">
      <c r="B27" t="s">
        <v>51</v>
      </c>
      <c r="C27">
        <f>SUM(C19,C21:C26)</f>
        <v>4028</v>
      </c>
      <c r="D27">
        <f>SUM(D19,D21:D26)</f>
        <v>3968</v>
      </c>
      <c r="G27">
        <f t="shared" ref="G27:O27" si="7">SUM(G19,G21:G26)</f>
        <v>15959.257508000002</v>
      </c>
      <c r="H27">
        <f t="shared" ca="1" si="7"/>
        <v>16338.937035389767</v>
      </c>
      <c r="I27">
        <f t="shared" ca="1" si="7"/>
        <v>16629.446536411215</v>
      </c>
      <c r="J27">
        <f t="shared" ca="1" si="7"/>
        <v>16896.522426774027</v>
      </c>
      <c r="K27">
        <f t="shared" ca="1" si="7"/>
        <v>17232.439277527021</v>
      </c>
      <c r="L27">
        <f t="shared" ca="1" si="7"/>
        <v>17600.270286587871</v>
      </c>
      <c r="M27">
        <f t="shared" ca="1" si="7"/>
        <v>18022.740413000141</v>
      </c>
      <c r="N27">
        <f t="shared" ca="1" si="7"/>
        <v>18506.404314864496</v>
      </c>
      <c r="O27">
        <f t="shared" ca="1" si="7"/>
        <v>20565.82839627194</v>
      </c>
    </row>
    <row r="29" spans="2:15" x14ac:dyDescent="0.25">
      <c r="B29" t="s">
        <v>31</v>
      </c>
      <c r="C29" s="59">
        <v>5130</v>
      </c>
      <c r="D29" s="59">
        <v>5048</v>
      </c>
      <c r="E29">
        <f>-D29-LBO!C45</f>
        <v>-5413.0521079999999</v>
      </c>
      <c r="F29">
        <f>LBO!C58</f>
        <v>4000</v>
      </c>
      <c r="G29">
        <f>SUM(D29:F29)</f>
        <v>3634.9478920000001</v>
      </c>
      <c r="H29">
        <f ca="1">Calc!H20</f>
        <v>3486.5803488355305</v>
      </c>
      <c r="I29">
        <f ca="1">Calc!I20</f>
        <v>3360.440263493183</v>
      </c>
      <c r="J29">
        <f ca="1">Calc!J20</f>
        <v>3245.0515418944478</v>
      </c>
      <c r="K29">
        <f ca="1">Calc!K20</f>
        <v>3055.1575458970678</v>
      </c>
      <c r="L29">
        <f ca="1">Calc!L20</f>
        <v>2823.3636072226209</v>
      </c>
      <c r="M29">
        <f ca="1">Calc!M20</f>
        <v>2543.3305142946024</v>
      </c>
      <c r="N29">
        <f ca="1">Calc!N20</f>
        <v>2211.0408158095997</v>
      </c>
      <c r="O29">
        <f ca="1">Calc!O20</f>
        <v>1769.4794152232751</v>
      </c>
    </row>
    <row r="30" spans="2:15" x14ac:dyDescent="0.25">
      <c r="B30" t="s">
        <v>52</v>
      </c>
      <c r="C30">
        <f>SUM(C27,C29)</f>
        <v>9158</v>
      </c>
      <c r="D30">
        <f>SUM(D27,D29)</f>
        <v>9016</v>
      </c>
      <c r="G30">
        <f>G27+G29</f>
        <v>19594.205400000003</v>
      </c>
      <c r="H30">
        <f ca="1">H27+H29</f>
        <v>19825.517384225299</v>
      </c>
      <c r="I30">
        <f t="shared" ref="I30:O30" ca="1" si="8">I27+I29</f>
        <v>19989.886799904398</v>
      </c>
      <c r="J30">
        <f t="shared" ca="1" si="8"/>
        <v>20141.573968668476</v>
      </c>
      <c r="K30">
        <f t="shared" ca="1" si="8"/>
        <v>20287.59682342409</v>
      </c>
      <c r="L30">
        <f t="shared" ca="1" si="8"/>
        <v>20423.633893810493</v>
      </c>
      <c r="M30">
        <f t="shared" ca="1" si="8"/>
        <v>20566.070927294742</v>
      </c>
      <c r="N30">
        <f t="shared" ca="1" si="8"/>
        <v>20717.445130674096</v>
      </c>
      <c r="O30">
        <f t="shared" ca="1" si="8"/>
        <v>22335.307811495215</v>
      </c>
    </row>
    <row r="32" spans="2:15" x14ac:dyDescent="0.25">
      <c r="B32" t="s">
        <v>53</v>
      </c>
      <c r="C32" s="63" t="str">
        <f>IF(C30=C14,"OK",C14-C30)</f>
        <v>OK</v>
      </c>
      <c r="D32" s="63" t="str">
        <f>IF(D30=D14,"OK",D14-D30)</f>
        <v>OK</v>
      </c>
      <c r="G32" s="63" t="str">
        <f t="shared" ref="G32:O32" si="9">IF(G30=G14,"OK",G14-G30)</f>
        <v>OK</v>
      </c>
      <c r="H32" s="63" t="str">
        <f t="shared" ca="1" si="9"/>
        <v>OK</v>
      </c>
      <c r="I32" s="63" t="str">
        <f t="shared" ca="1" si="9"/>
        <v>OK</v>
      </c>
      <c r="J32" s="63" t="str">
        <f t="shared" ca="1" si="9"/>
        <v>OK</v>
      </c>
      <c r="K32" s="63" t="str">
        <f t="shared" ca="1" si="9"/>
        <v>OK</v>
      </c>
      <c r="L32" s="63" t="str">
        <f t="shared" ca="1" si="9"/>
        <v>OK</v>
      </c>
      <c r="M32" s="63">
        <f t="shared" ca="1" si="9"/>
        <v>-1.0841176845133305E-9</v>
      </c>
      <c r="N32" s="63">
        <f t="shared" ca="1" si="9"/>
        <v>7.9468736657872796E-7</v>
      </c>
      <c r="O32" s="63">
        <f t="shared" ca="1" si="9"/>
        <v>1.4239438314689323E-5</v>
      </c>
    </row>
    <row r="37" spans="7:9" x14ac:dyDescent="0.25">
      <c r="G37" s="63"/>
      <c r="H37" s="63"/>
      <c r="I37" s="6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4"/>
  <sheetViews>
    <sheetView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CFS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B5" t="s">
        <v>194</v>
      </c>
      <c r="H5">
        <f>IS!H20</f>
        <v>1500.1218625000001</v>
      </c>
      <c r="I5">
        <f>IS!I20</f>
        <v>1620.5045861999997</v>
      </c>
      <c r="J5">
        <f>IS!J20</f>
        <v>1714.5898904447497</v>
      </c>
      <c r="K5">
        <f>IS!K20</f>
        <v>1737.1979915920515</v>
      </c>
      <c r="L5">
        <f>IS!L20</f>
        <v>1801.6299870067082</v>
      </c>
      <c r="M5">
        <f>IS!M20</f>
        <v>1868.6622673602856</v>
      </c>
      <c r="N5">
        <f>IS!N20</f>
        <v>1938.3949331795434</v>
      </c>
      <c r="O5">
        <f>IS!O20</f>
        <v>2010.9327538603479</v>
      </c>
    </row>
    <row r="6" spans="1:15" x14ac:dyDescent="0.25">
      <c r="B6" t="s">
        <v>163</v>
      </c>
      <c r="H6">
        <f ca="1">Debt!H61</f>
        <v>-485.79203806107341</v>
      </c>
      <c r="I6">
        <f ca="1">Debt!I61</f>
        <v>-440.3229085850578</v>
      </c>
      <c r="J6">
        <f ca="1">Debt!J61</f>
        <v>-382.21721760494171</v>
      </c>
      <c r="K6">
        <f ca="1">Debt!K61</f>
        <v>-316.53654272225265</v>
      </c>
      <c r="L6">
        <f ca="1">Debt!L61</f>
        <v>-244.532178137485</v>
      </c>
      <c r="M6">
        <f ca="1">Debt!M61</f>
        <v>-160.75316481284935</v>
      </c>
      <c r="N6">
        <f ca="1">Debt!N61</f>
        <v>-59.790915175942388</v>
      </c>
      <c r="O6">
        <f ca="1">Debt!O61</f>
        <v>-4.2197328592826988</v>
      </c>
    </row>
    <row r="7" spans="1:15" x14ac:dyDescent="0.25">
      <c r="B7" t="s">
        <v>109</v>
      </c>
      <c r="H7">
        <f ca="1">IS!H14</f>
        <v>-137.39846664339606</v>
      </c>
      <c r="I7">
        <f ca="1">IS!I14</f>
        <v>-163.27640235708898</v>
      </c>
      <c r="J7">
        <f ca="1">IS!J14</f>
        <v>-176.81488414364392</v>
      </c>
      <c r="K7">
        <f ca="1">IS!K14</f>
        <v>-197.38659089531453</v>
      </c>
      <c r="L7">
        <f ca="1">IS!L14</f>
        <v>-216.58976451892204</v>
      </c>
      <c r="M7">
        <f ca="1">IS!M14</f>
        <v>-237.78974921624464</v>
      </c>
      <c r="N7">
        <f ca="1">IS!N14</f>
        <v>-261.94920982324919</v>
      </c>
      <c r="O7">
        <f ca="1">IS!O14</f>
        <v>-277.10482094501833</v>
      </c>
    </row>
    <row r="8" spans="1:15" x14ac:dyDescent="0.25">
      <c r="B8" t="s">
        <v>54</v>
      </c>
      <c r="H8">
        <f>BS!G12-BS!H12</f>
        <v>0</v>
      </c>
      <c r="I8">
        <f>BS!H12-BS!I12</f>
        <v>0</v>
      </c>
      <c r="J8">
        <f>BS!I12-BS!J12</f>
        <v>0</v>
      </c>
      <c r="K8">
        <f>BS!J12-BS!K12</f>
        <v>0</v>
      </c>
      <c r="L8">
        <f>BS!K12-BS!L12</f>
        <v>0</v>
      </c>
      <c r="M8">
        <f>BS!L12-BS!M12</f>
        <v>0</v>
      </c>
      <c r="N8">
        <f>BS!M12-BS!N12</f>
        <v>0</v>
      </c>
      <c r="O8">
        <f>BS!N12-BS!O12</f>
        <v>0</v>
      </c>
    </row>
    <row r="9" spans="1:15" x14ac:dyDescent="0.25">
      <c r="B9" t="s">
        <v>55</v>
      </c>
      <c r="H9">
        <f>BS!H26-BS!G26</f>
        <v>0</v>
      </c>
      <c r="I9">
        <f>BS!I26-BS!H26</f>
        <v>0</v>
      </c>
      <c r="J9">
        <f>BS!J26-BS!I26</f>
        <v>0</v>
      </c>
      <c r="K9">
        <f>BS!K26-BS!J26</f>
        <v>0</v>
      </c>
      <c r="L9">
        <f>BS!L26-BS!K26</f>
        <v>0</v>
      </c>
      <c r="M9">
        <f>BS!M26-BS!L26</f>
        <v>0</v>
      </c>
      <c r="N9">
        <f>BS!N26-BS!M26</f>
        <v>0</v>
      </c>
      <c r="O9">
        <f>BS!O26-BS!N26</f>
        <v>0</v>
      </c>
    </row>
    <row r="10" spans="1:15" x14ac:dyDescent="0.25">
      <c r="B10" t="s">
        <v>56</v>
      </c>
      <c r="H10">
        <f>Calc!G28-Calc!H28</f>
        <v>25.063962505514041</v>
      </c>
      <c r="I10">
        <f>Calc!H28-Calc!I28</f>
        <v>-14.213771450165609</v>
      </c>
      <c r="J10">
        <f>Calc!I28-Calc!J28</f>
        <v>-25.007140638288092</v>
      </c>
      <c r="K10">
        <f>Calc!J28-Calc!K28</f>
        <v>-37.882826441338693</v>
      </c>
      <c r="L10">
        <f>Calc!K28-Calc!L28</f>
        <v>-22.929591040971218</v>
      </c>
      <c r="M10">
        <f>Calc!L28-Calc!M28</f>
        <v>-23.846774682609976</v>
      </c>
      <c r="N10">
        <f>Calc!M28-Calc!N28</f>
        <v>-24.800645669914729</v>
      </c>
      <c r="O10">
        <f>Calc!N28-Calc!O28</f>
        <v>-25.792671496710909</v>
      </c>
    </row>
    <row r="11" spans="1:15" x14ac:dyDescent="0.25">
      <c r="B11" t="s">
        <v>57</v>
      </c>
      <c r="H11">
        <f t="shared" ref="H11:O11" ca="1" si="1">SUM(H5:H10)</f>
        <v>901.99532030104467</v>
      </c>
      <c r="I11">
        <f t="shared" ca="1" si="1"/>
        <v>1002.6915038076874</v>
      </c>
      <c r="J11">
        <f t="shared" ca="1" si="1"/>
        <v>1130.5506480578761</v>
      </c>
      <c r="K11">
        <f t="shared" ca="1" si="1"/>
        <v>1185.3920315331454</v>
      </c>
      <c r="L11">
        <f t="shared" ca="1" si="1"/>
        <v>1317.5784533093299</v>
      </c>
      <c r="M11">
        <f t="shared" ca="1" si="1"/>
        <v>1446.2725786485817</v>
      </c>
      <c r="N11">
        <f t="shared" ca="1" si="1"/>
        <v>1591.8541625104369</v>
      </c>
      <c r="O11">
        <f t="shared" ca="1" si="1"/>
        <v>1703.8155285593359</v>
      </c>
    </row>
    <row r="13" spans="1:15" x14ac:dyDescent="0.25">
      <c r="B13" t="s">
        <v>58</v>
      </c>
      <c r="H13">
        <f>-Calc!H7</f>
        <v>-158.54583249999999</v>
      </c>
      <c r="I13">
        <f>-Calc!I7</f>
        <v>-148.9002468525</v>
      </c>
      <c r="J13">
        <f>-Calc!J7</f>
        <v>-151.46313594983999</v>
      </c>
      <c r="K13">
        <f>-Calc!K7</f>
        <v>-158.43044020353264</v>
      </c>
      <c r="L13">
        <f>-Calc!L7</f>
        <v>-164.76765781167396</v>
      </c>
      <c r="M13">
        <f>-Calc!M7</f>
        <v>-171.35836412414091</v>
      </c>
      <c r="N13">
        <f>-Calc!N7</f>
        <v>-178.21269868910656</v>
      </c>
      <c r="O13">
        <f>-Calc!O7</f>
        <v>-185.34120663667085</v>
      </c>
    </row>
    <row r="14" spans="1:15" x14ac:dyDescent="0.25">
      <c r="B14" t="s">
        <v>59</v>
      </c>
      <c r="H14">
        <f>H13</f>
        <v>-158.54583249999999</v>
      </c>
      <c r="I14">
        <f t="shared" ref="I14:O14" si="2">I13</f>
        <v>-148.9002468525</v>
      </c>
      <c r="J14">
        <f t="shared" si="2"/>
        <v>-151.46313594983999</v>
      </c>
      <c r="K14">
        <f t="shared" si="2"/>
        <v>-158.43044020353264</v>
      </c>
      <c r="L14">
        <f t="shared" si="2"/>
        <v>-164.76765781167396</v>
      </c>
      <c r="M14">
        <f t="shared" si="2"/>
        <v>-171.35836412414091</v>
      </c>
      <c r="N14">
        <f t="shared" si="2"/>
        <v>-178.21269868910656</v>
      </c>
      <c r="O14">
        <f t="shared" si="2"/>
        <v>-185.34120663667085</v>
      </c>
    </row>
    <row r="16" spans="1:15" x14ac:dyDescent="0.25">
      <c r="B16" t="s">
        <v>60</v>
      </c>
      <c r="H16">
        <f ca="1">BS!H16-BS!G16</f>
        <v>0</v>
      </c>
      <c r="I16">
        <f ca="1">BS!I16-BS!H16</f>
        <v>0</v>
      </c>
      <c r="J16">
        <f ca="1">BS!J16-BS!I16</f>
        <v>0</v>
      </c>
      <c r="K16">
        <f ca="1">BS!K16-BS!J16</f>
        <v>0</v>
      </c>
      <c r="L16">
        <f ca="1">BS!L16-BS!K16</f>
        <v>0</v>
      </c>
      <c r="M16">
        <f ca="1">BS!M16-BS!L16</f>
        <v>0</v>
      </c>
      <c r="N16">
        <f ca="1">BS!N16-BS!M16</f>
        <v>0</v>
      </c>
      <c r="O16">
        <f ca="1">BS!O16-BS!N16</f>
        <v>0</v>
      </c>
    </row>
    <row r="17" spans="2:15" x14ac:dyDescent="0.25">
      <c r="B17" t="s">
        <v>69</v>
      </c>
      <c r="H17">
        <f>BS!H21-BS!G21</f>
        <v>0</v>
      </c>
      <c r="I17">
        <f>BS!I21-BS!H21</f>
        <v>0</v>
      </c>
      <c r="J17">
        <f>BS!J21-BS!I21</f>
        <v>0</v>
      </c>
      <c r="K17">
        <f>BS!K21-BS!J21</f>
        <v>0</v>
      </c>
      <c r="L17">
        <f>BS!L21-BS!K21</f>
        <v>0</v>
      </c>
      <c r="M17">
        <f>BS!M21-BS!L21</f>
        <v>0</v>
      </c>
      <c r="N17">
        <f>BS!N21-BS!M21</f>
        <v>0</v>
      </c>
      <c r="O17">
        <f>BS!O21-BS!N21</f>
        <v>0</v>
      </c>
    </row>
    <row r="18" spans="2:15" x14ac:dyDescent="0.25">
      <c r="B18" t="str">
        <f>"Inc (dec) in "&amp;BS!B22</f>
        <v>Inc (dec) in Term loan B</v>
      </c>
      <c r="H18">
        <f ca="1">BS!H22-BS!G22</f>
        <v>-557.58711585078345</v>
      </c>
      <c r="I18">
        <f ca="1">BS!I22-BS!H22</f>
        <v>-779.74022167908652</v>
      </c>
      <c r="J18">
        <f ca="1">BS!J22-BS!I22</f>
        <v>-929.25068950079867</v>
      </c>
      <c r="K18">
        <f ca="1">BS!K22-BS!J22</f>
        <v>-1002.5338658724093</v>
      </c>
      <c r="L18">
        <f ca="1">BS!L22-BS!K22</f>
        <v>-1115.2415630913442</v>
      </c>
      <c r="M18">
        <f ca="1">BS!M22-BS!L22</f>
        <v>-615.64654400557788</v>
      </c>
      <c r="N18">
        <f ca="1">BS!N22-BS!M22</f>
        <v>0</v>
      </c>
      <c r="O18">
        <f ca="1">BS!O22-BS!N22</f>
        <v>0</v>
      </c>
    </row>
    <row r="19" spans="2:15" x14ac:dyDescent="0.25">
      <c r="B19" t="str">
        <f>"Inc (dec) in "&amp;BS!B23</f>
        <v>Inc (dec) in Subordinated debt</v>
      </c>
      <c r="H19">
        <f ca="1">BS!H23-BS!G23</f>
        <v>0</v>
      </c>
      <c r="I19">
        <f ca="1">BS!I23-BS!H23</f>
        <v>0</v>
      </c>
      <c r="J19">
        <f ca="1">BS!J23-BS!I23</f>
        <v>0</v>
      </c>
      <c r="K19">
        <f ca="1">BS!K23-BS!J23</f>
        <v>0</v>
      </c>
      <c r="L19">
        <f ca="1">BS!L23-BS!K23</f>
        <v>0</v>
      </c>
      <c r="M19">
        <f ca="1">BS!M23-BS!L23</f>
        <v>-619.34950766062889</v>
      </c>
      <c r="N19">
        <f ca="1">BS!N23-BS!M23</f>
        <v>-1368.9801107422854</v>
      </c>
      <c r="O19">
        <f ca="1">BS!O23-BS!N23</f>
        <v>-11.670381597085679</v>
      </c>
    </row>
    <row r="20" spans="2:15" x14ac:dyDescent="0.25">
      <c r="B20" t="s">
        <v>61</v>
      </c>
      <c r="H20">
        <f t="shared" ref="H20:O20" ca="1" si="3">SUM(H16:H19)</f>
        <v>-557.58711585078345</v>
      </c>
      <c r="I20">
        <f t="shared" ca="1" si="3"/>
        <v>-779.74022167908652</v>
      </c>
      <c r="J20">
        <f t="shared" ca="1" si="3"/>
        <v>-929.25068950079867</v>
      </c>
      <c r="K20">
        <f t="shared" ca="1" si="3"/>
        <v>-1002.5338658724093</v>
      </c>
      <c r="L20">
        <f t="shared" ca="1" si="3"/>
        <v>-1115.2415630913442</v>
      </c>
      <c r="M20">
        <f t="shared" ca="1" si="3"/>
        <v>-1234.9960516662068</v>
      </c>
      <c r="N20">
        <f t="shared" ca="1" si="3"/>
        <v>-1368.9801107422854</v>
      </c>
      <c r="O20">
        <f t="shared" ca="1" si="3"/>
        <v>-11.670381597085679</v>
      </c>
    </row>
    <row r="22" spans="2:15" x14ac:dyDescent="0.25">
      <c r="B22" t="s">
        <v>35</v>
      </c>
      <c r="H22">
        <f>G24</f>
        <v>0</v>
      </c>
      <c r="I22">
        <f t="shared" ref="I22:O22" ca="1" si="4">H24</f>
        <v>185.86237195026126</v>
      </c>
      <c r="J22">
        <f t="shared" ca="1" si="4"/>
        <v>259.9134072263621</v>
      </c>
      <c r="K22">
        <f t="shared" ca="1" si="4"/>
        <v>309.75022983359952</v>
      </c>
      <c r="L22">
        <f t="shared" ca="1" si="4"/>
        <v>334.17795529080297</v>
      </c>
      <c r="M22">
        <f t="shared" ca="1" si="4"/>
        <v>371.74718769711524</v>
      </c>
      <c r="N22">
        <f t="shared" ca="1" si="4"/>
        <v>411.66535055429961</v>
      </c>
      <c r="O22">
        <f t="shared" ca="1" si="4"/>
        <v>456.32670440324421</v>
      </c>
    </row>
    <row r="23" spans="2:15" x14ac:dyDescent="0.25">
      <c r="B23" t="s">
        <v>62</v>
      </c>
      <c r="H23">
        <f t="shared" ref="H23:O23" ca="1" si="5">H11+H14+H20</f>
        <v>185.86237195026126</v>
      </c>
      <c r="I23">
        <f t="shared" ca="1" si="5"/>
        <v>74.051035276100833</v>
      </c>
      <c r="J23">
        <f t="shared" ca="1" si="5"/>
        <v>49.836822607237423</v>
      </c>
      <c r="K23">
        <f t="shared" ca="1" si="5"/>
        <v>24.427725457203451</v>
      </c>
      <c r="L23">
        <f t="shared" ca="1" si="5"/>
        <v>37.569232406311812</v>
      </c>
      <c r="M23">
        <f t="shared" ca="1" si="5"/>
        <v>39.918162858233927</v>
      </c>
      <c r="N23">
        <f t="shared" ca="1" si="5"/>
        <v>44.661353079045057</v>
      </c>
      <c r="O23">
        <f t="shared" ca="1" si="5"/>
        <v>1506.8039403255793</v>
      </c>
    </row>
    <row r="24" spans="2:15" x14ac:dyDescent="0.25">
      <c r="B24" t="s">
        <v>63</v>
      </c>
      <c r="G24">
        <f>BS!G5</f>
        <v>0</v>
      </c>
      <c r="H24">
        <f ca="1">SUM(H22:H23)</f>
        <v>185.86237195026126</v>
      </c>
      <c r="I24">
        <f t="shared" ref="I24:O24" ca="1" si="6">SUM(I22:I23)</f>
        <v>259.9134072263621</v>
      </c>
      <c r="J24">
        <f t="shared" ca="1" si="6"/>
        <v>309.75022983359952</v>
      </c>
      <c r="K24">
        <f t="shared" ca="1" si="6"/>
        <v>334.17795529080297</v>
      </c>
      <c r="L24">
        <f t="shared" ca="1" si="6"/>
        <v>371.74718769711478</v>
      </c>
      <c r="M24">
        <f t="shared" ca="1" si="6"/>
        <v>411.66535055534916</v>
      </c>
      <c r="N24">
        <f t="shared" ca="1" si="6"/>
        <v>456.32670363334466</v>
      </c>
      <c r="O24">
        <f t="shared" ca="1" si="6"/>
        <v>1963.1306447288234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2"/>
  <sheetViews>
    <sheetView workbookViewId="0"/>
  </sheetViews>
  <sheetFormatPr defaultRowHeight="15" x14ac:dyDescent="0.25"/>
  <cols>
    <col min="1" max="1" width="1.5703125" customWidth="1"/>
    <col min="2" max="2" width="20.5703125" customWidth="1"/>
    <col min="3" max="15" width="11.140625" customWidth="1"/>
  </cols>
  <sheetData>
    <row r="1" spans="1:15" ht="28.5" x14ac:dyDescent="0.45">
      <c r="A1" s="5" t="str">
        <f>Title</f>
        <v>Hologic LBO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1" x14ac:dyDescent="0.35">
      <c r="A2" s="14" t="s">
        <v>16</v>
      </c>
      <c r="B2" s="7"/>
      <c r="C2" s="11" t="s">
        <v>17</v>
      </c>
      <c r="D2" s="11" t="s">
        <v>17</v>
      </c>
      <c r="E2" s="11"/>
      <c r="F2" s="11"/>
      <c r="G2" s="11"/>
      <c r="H2" s="11" t="s">
        <v>18</v>
      </c>
      <c r="I2" s="11" t="s">
        <v>18</v>
      </c>
      <c r="J2" s="11" t="s">
        <v>18</v>
      </c>
      <c r="K2" s="11" t="s">
        <v>18</v>
      </c>
      <c r="L2" s="11" t="s">
        <v>18</v>
      </c>
      <c r="M2" s="11" t="s">
        <v>18</v>
      </c>
      <c r="N2" s="11" t="s">
        <v>18</v>
      </c>
      <c r="O2" s="11" t="s">
        <v>18</v>
      </c>
    </row>
    <row r="3" spans="1:15" ht="21" x14ac:dyDescent="0.35">
      <c r="A3" s="14" t="str" cm="1">
        <f t="array" aca="1" ref="A3" ca="1">MID(CELL("filename",A3),FIND("]",CELL("filename",A3))+1,255)</f>
        <v>Debt</v>
      </c>
      <c r="B3" s="7"/>
      <c r="C3" s="11">
        <f>EDATE(D3,-12)</f>
        <v>45565</v>
      </c>
      <c r="D3" s="11">
        <f>target_yrend</f>
        <v>45930</v>
      </c>
      <c r="E3" s="11" t="s">
        <v>89</v>
      </c>
      <c r="F3" s="11" t="s">
        <v>90</v>
      </c>
      <c r="G3" s="11" t="s">
        <v>91</v>
      </c>
      <c r="H3" s="11">
        <f>EDATE(D3,12)</f>
        <v>46295</v>
      </c>
      <c r="I3" s="11">
        <f t="shared" ref="I3:O3" si="0">EDATE(H3,12)</f>
        <v>46660</v>
      </c>
      <c r="J3" s="11">
        <f t="shared" si="0"/>
        <v>47026</v>
      </c>
      <c r="K3" s="11">
        <f t="shared" si="0"/>
        <v>47391</v>
      </c>
      <c r="L3" s="11">
        <f t="shared" si="0"/>
        <v>47756</v>
      </c>
      <c r="M3" s="11">
        <f t="shared" si="0"/>
        <v>48121</v>
      </c>
      <c r="N3" s="11">
        <f t="shared" si="0"/>
        <v>48487</v>
      </c>
      <c r="O3" s="11">
        <f t="shared" si="0"/>
        <v>48852</v>
      </c>
    </row>
    <row r="5" spans="1:15" x14ac:dyDescent="0.25">
      <c r="A5" s="60" t="s">
        <v>108</v>
      </c>
    </row>
    <row r="6" spans="1:15" x14ac:dyDescent="0.25">
      <c r="B6" t="str">
        <f>BS!B22</f>
        <v>Term loan B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1</v>
      </c>
      <c r="O6" s="70">
        <v>0</v>
      </c>
    </row>
    <row r="7" spans="1:15" x14ac:dyDescent="0.25">
      <c r="B7" t="str">
        <f>BS!B23</f>
        <v>Subordinated debt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1</v>
      </c>
    </row>
    <row r="9" spans="1:15" x14ac:dyDescent="0.25">
      <c r="A9" s="60" t="s">
        <v>102</v>
      </c>
    </row>
    <row r="10" spans="1:15" x14ac:dyDescent="0.25">
      <c r="B10" t="s">
        <v>92</v>
      </c>
      <c r="H10">
        <f>BS!G5</f>
        <v>0</v>
      </c>
      <c r="I10">
        <f ca="1">BS!H5</f>
        <v>185.86237195026126</v>
      </c>
      <c r="J10">
        <f ca="1">BS!I5</f>
        <v>259.9134072263621</v>
      </c>
      <c r="K10">
        <f ca="1">BS!J5</f>
        <v>309.75022983359952</v>
      </c>
      <c r="L10">
        <f ca="1">BS!K5</f>
        <v>334.17795529080297</v>
      </c>
      <c r="M10">
        <f ca="1">BS!L5</f>
        <v>371.74718769711524</v>
      </c>
      <c r="N10">
        <f ca="1">BS!M5</f>
        <v>411.66535055429961</v>
      </c>
      <c r="O10">
        <f ca="1">BS!N5</f>
        <v>456.32670440324421</v>
      </c>
    </row>
    <row r="11" spans="1:15" x14ac:dyDescent="0.25">
      <c r="B11" t="s">
        <v>93</v>
      </c>
      <c r="H11">
        <f ca="1">CFS!H11</f>
        <v>901.99532030104467</v>
      </c>
      <c r="I11">
        <f ca="1">CFS!I11</f>
        <v>1002.6915038076874</v>
      </c>
      <c r="J11">
        <f ca="1">CFS!J11</f>
        <v>1130.5506480578761</v>
      </c>
      <c r="K11">
        <f ca="1">CFS!K11</f>
        <v>1185.3920315331454</v>
      </c>
      <c r="L11">
        <f ca="1">CFS!L11</f>
        <v>1317.5784533093299</v>
      </c>
      <c r="M11">
        <f ca="1">CFS!M11</f>
        <v>1446.2725786485817</v>
      </c>
      <c r="N11">
        <f ca="1">CFS!N11</f>
        <v>1591.8541625104369</v>
      </c>
      <c r="O11">
        <f ca="1">CFS!O11</f>
        <v>1703.8155285593359</v>
      </c>
    </row>
    <row r="12" spans="1:15" x14ac:dyDescent="0.25">
      <c r="B12" t="s">
        <v>94</v>
      </c>
      <c r="H12">
        <f>CFS!H14</f>
        <v>-158.54583249999999</v>
      </c>
      <c r="I12">
        <f>CFS!I14</f>
        <v>-148.9002468525</v>
      </c>
      <c r="J12">
        <f>CFS!J14</f>
        <v>-151.46313594983999</v>
      </c>
      <c r="K12">
        <f>CFS!K14</f>
        <v>-158.43044020353264</v>
      </c>
      <c r="L12">
        <f>CFS!L14</f>
        <v>-164.76765781167396</v>
      </c>
      <c r="M12">
        <f>CFS!M14</f>
        <v>-171.35836412414091</v>
      </c>
      <c r="N12">
        <f>CFS!N14</f>
        <v>-178.21269868910656</v>
      </c>
      <c r="O12">
        <f>CFS!O14</f>
        <v>-185.34120663667085</v>
      </c>
    </row>
    <row r="13" spans="1:15" x14ac:dyDescent="0.25">
      <c r="B13" t="s">
        <v>96</v>
      </c>
      <c r="H13">
        <f ca="1">SUM(H10:H12)</f>
        <v>743.44948780104471</v>
      </c>
      <c r="I13">
        <f t="shared" ref="I13:O13" ca="1" si="1">SUM(I10:I12)</f>
        <v>1039.6536289054486</v>
      </c>
      <c r="J13">
        <f t="shared" ca="1" si="1"/>
        <v>1239.0009193343981</v>
      </c>
      <c r="K13">
        <f t="shared" ca="1" si="1"/>
        <v>1336.7118211632123</v>
      </c>
      <c r="L13">
        <f t="shared" ca="1" si="1"/>
        <v>1486.9887507884591</v>
      </c>
      <c r="M13">
        <f t="shared" ca="1" si="1"/>
        <v>1646.661402221556</v>
      </c>
      <c r="N13">
        <f t="shared" ca="1" si="1"/>
        <v>1825.30681437563</v>
      </c>
      <c r="O13">
        <f t="shared" ca="1" si="1"/>
        <v>1974.8010263259093</v>
      </c>
    </row>
    <row r="15" spans="1:15" x14ac:dyDescent="0.25">
      <c r="B15" t="s">
        <v>97</v>
      </c>
    </row>
    <row r="16" spans="1:15" x14ac:dyDescent="0.25">
      <c r="B16" t="str">
        <f>B6</f>
        <v>Term loan B</v>
      </c>
      <c r="H16">
        <f>H36</f>
        <v>0</v>
      </c>
      <c r="I16">
        <f t="shared" ref="I16:O16" ca="1" si="2">I36</f>
        <v>0</v>
      </c>
      <c r="J16">
        <f t="shared" ca="1" si="2"/>
        <v>0</v>
      </c>
      <c r="K16">
        <f t="shared" ca="1" si="2"/>
        <v>0</v>
      </c>
      <c r="L16">
        <f t="shared" ca="1" si="2"/>
        <v>0</v>
      </c>
      <c r="M16">
        <f t="shared" ca="1" si="2"/>
        <v>0</v>
      </c>
      <c r="N16">
        <f t="shared" ca="1" si="2"/>
        <v>0</v>
      </c>
      <c r="O16">
        <f t="shared" ca="1" si="2"/>
        <v>0</v>
      </c>
    </row>
    <row r="17" spans="2:15" x14ac:dyDescent="0.25">
      <c r="B17" t="str">
        <f>B7</f>
        <v>Subordinated debt</v>
      </c>
      <c r="H17">
        <f>H45</f>
        <v>0</v>
      </c>
      <c r="I17">
        <f t="shared" ref="I17:O17" ca="1" si="3">I45</f>
        <v>0</v>
      </c>
      <c r="J17">
        <f t="shared" ca="1" si="3"/>
        <v>0</v>
      </c>
      <c r="K17">
        <f t="shared" ca="1" si="3"/>
        <v>0</v>
      </c>
      <c r="L17">
        <f t="shared" ca="1" si="3"/>
        <v>0</v>
      </c>
      <c r="M17">
        <f t="shared" ca="1" si="3"/>
        <v>0</v>
      </c>
      <c r="N17">
        <f t="shared" ca="1" si="3"/>
        <v>0</v>
      </c>
      <c r="O17">
        <f t="shared" ca="1" si="3"/>
        <v>-11.670382419935549</v>
      </c>
    </row>
    <row r="18" spans="2:15" x14ac:dyDescent="0.25">
      <c r="B18" t="s">
        <v>104</v>
      </c>
      <c r="H18">
        <f t="shared" ref="H18:O18" ca="1" si="4">SUM(H13,H16:H17)</f>
        <v>743.44948780104471</v>
      </c>
      <c r="I18">
        <f t="shared" ca="1" si="4"/>
        <v>1039.6536289054486</v>
      </c>
      <c r="J18">
        <f t="shared" ca="1" si="4"/>
        <v>1239.0009193343981</v>
      </c>
      <c r="K18">
        <f t="shared" ca="1" si="4"/>
        <v>1336.7118211632123</v>
      </c>
      <c r="L18">
        <f t="shared" ca="1" si="4"/>
        <v>1486.9887507884591</v>
      </c>
      <c r="M18">
        <f t="shared" ca="1" si="4"/>
        <v>1646.661402221556</v>
      </c>
      <c r="N18">
        <f t="shared" ca="1" si="4"/>
        <v>1825.30681437563</v>
      </c>
      <c r="O18">
        <f t="shared" ca="1" si="4"/>
        <v>1963.1306439059738</v>
      </c>
    </row>
    <row r="20" spans="2:15" x14ac:dyDescent="0.25">
      <c r="B20" s="60" t="s">
        <v>48</v>
      </c>
    </row>
    <row r="21" spans="2:15" x14ac:dyDescent="0.25">
      <c r="B21" t="s">
        <v>28</v>
      </c>
      <c r="H21">
        <f>G23</f>
        <v>0</v>
      </c>
      <c r="I21">
        <f t="shared" ref="I21:O21" ca="1" si="5">H23</f>
        <v>0</v>
      </c>
      <c r="J21">
        <f t="shared" ca="1" si="5"/>
        <v>0</v>
      </c>
      <c r="K21">
        <f t="shared" ca="1" si="5"/>
        <v>0</v>
      </c>
      <c r="L21">
        <f t="shared" ca="1" si="5"/>
        <v>0</v>
      </c>
      <c r="M21">
        <f t="shared" ca="1" si="5"/>
        <v>0</v>
      </c>
      <c r="N21">
        <f t="shared" ca="1" si="5"/>
        <v>0</v>
      </c>
      <c r="O21">
        <f t="shared" ca="1" si="5"/>
        <v>0</v>
      </c>
    </row>
    <row r="22" spans="2:15" x14ac:dyDescent="0.25">
      <c r="B22" t="s">
        <v>105</v>
      </c>
      <c r="H22">
        <f ca="1">-MIN(H21,H18)</f>
        <v>0</v>
      </c>
      <c r="I22">
        <f t="shared" ref="I22:O22" ca="1" si="6">-MIN(I21,I18)</f>
        <v>0</v>
      </c>
      <c r="J22">
        <f t="shared" ca="1" si="6"/>
        <v>0</v>
      </c>
      <c r="K22">
        <f t="shared" ca="1" si="6"/>
        <v>0</v>
      </c>
      <c r="L22">
        <f t="shared" ca="1" si="6"/>
        <v>0</v>
      </c>
      <c r="M22">
        <f t="shared" ca="1" si="6"/>
        <v>0</v>
      </c>
      <c r="N22">
        <f t="shared" ca="1" si="6"/>
        <v>0</v>
      </c>
      <c r="O22">
        <f t="shared" ca="1" si="6"/>
        <v>0</v>
      </c>
    </row>
    <row r="23" spans="2:15" x14ac:dyDescent="0.25">
      <c r="B23" t="s">
        <v>30</v>
      </c>
      <c r="G23">
        <f>BS!G16</f>
        <v>0</v>
      </c>
      <c r="H23">
        <f ca="1">SUM(H21:H22)</f>
        <v>0</v>
      </c>
      <c r="I23">
        <f t="shared" ref="I23:O23" ca="1" si="7">SUM(I21:I22)</f>
        <v>0</v>
      </c>
      <c r="J23">
        <f t="shared" ca="1" si="7"/>
        <v>0</v>
      </c>
      <c r="K23">
        <f t="shared" ca="1" si="7"/>
        <v>0</v>
      </c>
      <c r="L23">
        <f t="shared" ca="1" si="7"/>
        <v>0</v>
      </c>
      <c r="M23">
        <f t="shared" ca="1" si="7"/>
        <v>0</v>
      </c>
      <c r="N23">
        <f t="shared" ca="1" si="7"/>
        <v>0</v>
      </c>
      <c r="O23">
        <f t="shared" ca="1" si="7"/>
        <v>0</v>
      </c>
    </row>
    <row r="24" spans="2:15" x14ac:dyDescent="0.25">
      <c r="B24" t="s">
        <v>38</v>
      </c>
      <c r="H24">
        <f ca="1">-LBO!$G$53*AVERAGE(Debt!G23:H23)</f>
        <v>0</v>
      </c>
      <c r="I24">
        <f ca="1">-LBO!$G$53*AVERAGE(Debt!H23:I23)</f>
        <v>0</v>
      </c>
      <c r="J24">
        <f ca="1">-LBO!$G$53*AVERAGE(Debt!I23:J23)</f>
        <v>0</v>
      </c>
      <c r="K24">
        <f ca="1">-LBO!$G$53*AVERAGE(Debt!J23:K23)</f>
        <v>0</v>
      </c>
      <c r="L24">
        <f ca="1">-LBO!$G$53*AVERAGE(Debt!K23:L23)</f>
        <v>0</v>
      </c>
      <c r="M24">
        <f ca="1">-LBO!$G$53*AVERAGE(Debt!L23:M23)</f>
        <v>0</v>
      </c>
      <c r="N24">
        <f ca="1">-LBO!$G$53*AVERAGE(Debt!M23:N23)</f>
        <v>0</v>
      </c>
      <c r="O24">
        <f ca="1">-LBO!$G$53*AVERAGE(Debt!N23:O23)</f>
        <v>0</v>
      </c>
    </row>
    <row r="26" spans="2:15" x14ac:dyDescent="0.25">
      <c r="B26" t="s">
        <v>185</v>
      </c>
      <c r="G26">
        <f>LBO!$D$23</f>
        <v>750</v>
      </c>
      <c r="H26">
        <f>LBO!$D$23</f>
        <v>750</v>
      </c>
      <c r="I26">
        <f>LBO!$D$23</f>
        <v>750</v>
      </c>
      <c r="J26">
        <f>LBO!$D$23</f>
        <v>750</v>
      </c>
      <c r="K26">
        <f>LBO!$D$23</f>
        <v>750</v>
      </c>
      <c r="L26">
        <f>LBO!$D$23</f>
        <v>750</v>
      </c>
      <c r="M26">
        <f>LBO!$D$23</f>
        <v>750</v>
      </c>
      <c r="N26">
        <f>LBO!$D$23</f>
        <v>750</v>
      </c>
      <c r="O26">
        <f>LBO!$D$23</f>
        <v>750</v>
      </c>
    </row>
    <row r="27" spans="2:15" x14ac:dyDescent="0.25">
      <c r="B27" t="s">
        <v>186</v>
      </c>
      <c r="G27">
        <f>G23</f>
        <v>0</v>
      </c>
      <c r="H27">
        <f ca="1">H23</f>
        <v>0</v>
      </c>
      <c r="I27">
        <f t="shared" ref="I27:O27" ca="1" si="8">I23</f>
        <v>0</v>
      </c>
      <c r="J27">
        <f t="shared" ca="1" si="8"/>
        <v>0</v>
      </c>
      <c r="K27">
        <f t="shared" ca="1" si="8"/>
        <v>0</v>
      </c>
      <c r="L27">
        <f t="shared" ca="1" si="8"/>
        <v>0</v>
      </c>
      <c r="M27">
        <f t="shared" ca="1" si="8"/>
        <v>0</v>
      </c>
      <c r="N27">
        <f t="shared" ca="1" si="8"/>
        <v>0</v>
      </c>
      <c r="O27">
        <f t="shared" ca="1" si="8"/>
        <v>0</v>
      </c>
    </row>
    <row r="28" spans="2:15" x14ac:dyDescent="0.25">
      <c r="B28" t="s">
        <v>187</v>
      </c>
      <c r="G28">
        <f>MAX(G26-G27,0)</f>
        <v>750</v>
      </c>
      <c r="H28">
        <f t="shared" ref="H28:O28" ca="1" si="9">MAX(H26-H27,0)</f>
        <v>750</v>
      </c>
      <c r="I28">
        <f t="shared" ca="1" si="9"/>
        <v>750</v>
      </c>
      <c r="J28">
        <f t="shared" ca="1" si="9"/>
        <v>750</v>
      </c>
      <c r="K28">
        <f t="shared" ca="1" si="9"/>
        <v>750</v>
      </c>
      <c r="L28">
        <f t="shared" ca="1" si="9"/>
        <v>750</v>
      </c>
      <c r="M28">
        <f t="shared" ca="1" si="9"/>
        <v>750</v>
      </c>
      <c r="N28">
        <f t="shared" ca="1" si="9"/>
        <v>750</v>
      </c>
      <c r="O28">
        <f t="shared" ca="1" si="9"/>
        <v>750</v>
      </c>
    </row>
    <row r="29" spans="2:15" x14ac:dyDescent="0.25">
      <c r="B29" t="s">
        <v>195</v>
      </c>
      <c r="H29">
        <f ca="1">AVERAGE(G28,H28)*LBO!$D$24*-1</f>
        <v>-3.75</v>
      </c>
      <c r="I29">
        <f ca="1">AVERAGE(H28,I28)*LBO!$D$24*-1</f>
        <v>-3.75</v>
      </c>
      <c r="J29">
        <f ca="1">AVERAGE(I28,J28)*LBO!$D$24*-1</f>
        <v>-3.75</v>
      </c>
      <c r="K29">
        <f ca="1">AVERAGE(J28,K28)*LBO!$D$24*-1</f>
        <v>-3.75</v>
      </c>
      <c r="L29">
        <f ca="1">AVERAGE(K28,L28)*LBO!$D$24*-1</f>
        <v>-3.75</v>
      </c>
      <c r="M29">
        <f ca="1">AVERAGE(L28,M28)*LBO!$D$24*-1</f>
        <v>-3.75</v>
      </c>
      <c r="N29">
        <f ca="1">AVERAGE(M28,N28)*LBO!$D$24*-1</f>
        <v>-3.75</v>
      </c>
      <c r="O29">
        <f ca="1">AVERAGE(N28,O28)*LBO!$D$24*-1</f>
        <v>-3.75</v>
      </c>
    </row>
    <row r="30" spans="2:15" x14ac:dyDescent="0.25">
      <c r="B30" t="s">
        <v>196</v>
      </c>
      <c r="H30" t="str">
        <f ca="1">IF(H27&gt;H26,"Overdrawn", "OK")</f>
        <v>OK</v>
      </c>
      <c r="I30" t="str">
        <f t="shared" ref="I30:O30" ca="1" si="10">IF(I27&gt;I26,"Overdrawn", "OK")</f>
        <v>OK</v>
      </c>
      <c r="J30" t="str">
        <f t="shared" ca="1" si="10"/>
        <v>OK</v>
      </c>
      <c r="K30" t="str">
        <f t="shared" ca="1" si="10"/>
        <v>OK</v>
      </c>
      <c r="L30" t="str">
        <f t="shared" ca="1" si="10"/>
        <v>OK</v>
      </c>
      <c r="M30" t="str">
        <f t="shared" ca="1" si="10"/>
        <v>OK</v>
      </c>
      <c r="N30" t="str">
        <f t="shared" ca="1" si="10"/>
        <v>OK</v>
      </c>
      <c r="O30" t="str">
        <f t="shared" ca="1" si="10"/>
        <v>OK</v>
      </c>
    </row>
    <row r="32" spans="2:15" x14ac:dyDescent="0.25">
      <c r="B32" t="s">
        <v>106</v>
      </c>
      <c r="H32">
        <f ca="1">(H18+H22)*LBO!$D$21</f>
        <v>557.58711585078356</v>
      </c>
      <c r="I32">
        <f ca="1">(I18+I22)*LBO!$D$21</f>
        <v>779.74022167908652</v>
      </c>
      <c r="J32">
        <f ca="1">(J18+J22)*LBO!$D$21</f>
        <v>929.25068950079856</v>
      </c>
      <c r="K32">
        <f ca="1">(K18+K22)*LBO!$D$21</f>
        <v>1002.5338658724093</v>
      </c>
      <c r="L32">
        <f ca="1">(L18+L22)*LBO!$D$21</f>
        <v>1115.2415630913442</v>
      </c>
      <c r="M32">
        <f ca="1">(M18+M22)*LBO!$D$21</f>
        <v>1234.996051666167</v>
      </c>
      <c r="N32">
        <f ca="1">(N18+N22)*LBO!$D$21</f>
        <v>1368.9801107817225</v>
      </c>
      <c r="O32">
        <f ca="1">(O18+O22)*LBO!$D$21</f>
        <v>1472.3479829294804</v>
      </c>
    </row>
    <row r="34" spans="2:15" x14ac:dyDescent="0.25">
      <c r="B34" s="60" t="str">
        <f>B6</f>
        <v>Term loan B</v>
      </c>
    </row>
    <row r="35" spans="2:15" x14ac:dyDescent="0.25">
      <c r="B35" t="s">
        <v>98</v>
      </c>
      <c r="H35">
        <f>G38</f>
        <v>5000</v>
      </c>
      <c r="I35">
        <f t="shared" ref="I35:O35" ca="1" si="11">H38</f>
        <v>4442.4128841492166</v>
      </c>
      <c r="J35">
        <f t="shared" ca="1" si="11"/>
        <v>3662.67266247013</v>
      </c>
      <c r="K35">
        <f t="shared" ca="1" si="11"/>
        <v>2733.4219729693314</v>
      </c>
      <c r="L35">
        <f t="shared" ca="1" si="11"/>
        <v>1730.8881070969221</v>
      </c>
      <c r="M35">
        <f t="shared" ca="1" si="11"/>
        <v>615.64654400557788</v>
      </c>
      <c r="N35">
        <f t="shared" ca="1" si="11"/>
        <v>0</v>
      </c>
      <c r="O35">
        <f t="shared" ca="1" si="11"/>
        <v>0</v>
      </c>
    </row>
    <row r="36" spans="2:15" x14ac:dyDescent="0.25">
      <c r="B36" t="s">
        <v>95</v>
      </c>
      <c r="H36">
        <f t="shared" ref="H36:O36" si="12">-MIN($G$38*H6,H35)</f>
        <v>0</v>
      </c>
      <c r="I36">
        <f t="shared" ca="1" si="12"/>
        <v>0</v>
      </c>
      <c r="J36">
        <f t="shared" ca="1" si="12"/>
        <v>0</v>
      </c>
      <c r="K36">
        <f t="shared" ca="1" si="12"/>
        <v>0</v>
      </c>
      <c r="L36">
        <f t="shared" ca="1" si="12"/>
        <v>0</v>
      </c>
      <c r="M36">
        <f t="shared" ca="1" si="12"/>
        <v>0</v>
      </c>
      <c r="N36">
        <f t="shared" ca="1" si="12"/>
        <v>0</v>
      </c>
      <c r="O36">
        <f t="shared" ca="1" si="12"/>
        <v>0</v>
      </c>
    </row>
    <row r="37" spans="2:15" x14ac:dyDescent="0.25">
      <c r="B37" t="s">
        <v>99</v>
      </c>
      <c r="H37">
        <f ca="1">-MIN(H35+H36,H32)</f>
        <v>-557.58711585078356</v>
      </c>
      <c r="I37">
        <f t="shared" ref="I37:O37" ca="1" si="13">-MIN(I35+I36,I32)</f>
        <v>-779.74022167908652</v>
      </c>
      <c r="J37">
        <f t="shared" ca="1" si="13"/>
        <v>-929.25068950079856</v>
      </c>
      <c r="K37">
        <f t="shared" ca="1" si="13"/>
        <v>-1002.5338658724093</v>
      </c>
      <c r="L37">
        <f t="shared" ca="1" si="13"/>
        <v>-1115.2415630913442</v>
      </c>
      <c r="M37">
        <f t="shared" ca="1" si="13"/>
        <v>-615.64654400557788</v>
      </c>
      <c r="N37">
        <f t="shared" ca="1" si="13"/>
        <v>0</v>
      </c>
      <c r="O37">
        <f t="shared" ca="1" si="13"/>
        <v>0</v>
      </c>
    </row>
    <row r="38" spans="2:15" x14ac:dyDescent="0.25">
      <c r="B38" t="s">
        <v>100</v>
      </c>
      <c r="G38">
        <f>BS!F22</f>
        <v>5000</v>
      </c>
      <c r="H38">
        <f ca="1">SUM(H35:H37)</f>
        <v>4442.4128841492166</v>
      </c>
      <c r="I38">
        <f t="shared" ref="I38:O38" ca="1" si="14">SUM(I35:I37)</f>
        <v>3662.67266247013</v>
      </c>
      <c r="J38">
        <f t="shared" ca="1" si="14"/>
        <v>2733.4219729693314</v>
      </c>
      <c r="K38">
        <f t="shared" ca="1" si="14"/>
        <v>1730.8881070969221</v>
      </c>
      <c r="L38">
        <f t="shared" ca="1" si="14"/>
        <v>615.64654400557788</v>
      </c>
      <c r="M38">
        <f t="shared" ca="1" si="14"/>
        <v>0</v>
      </c>
      <c r="N38">
        <f t="shared" ca="1" si="14"/>
        <v>0</v>
      </c>
      <c r="O38">
        <f t="shared" ca="1" si="14"/>
        <v>0</v>
      </c>
    </row>
    <row r="39" spans="2:15" x14ac:dyDescent="0.25">
      <c r="B39" t="s">
        <v>38</v>
      </c>
      <c r="H39">
        <f ca="1">-LBO!$G$54*AVERAGE(Debt!G38:H38)</f>
        <v>-321.04203806107341</v>
      </c>
      <c r="I39">
        <f ca="1">-LBO!$G$54*AVERAGE(Debt!H38:I38)</f>
        <v>-275.5729085850578</v>
      </c>
      <c r="J39">
        <f ca="1">-LBO!$G$54*AVERAGE(Debt!I38:J38)</f>
        <v>-217.46721760494171</v>
      </c>
      <c r="K39">
        <f ca="1">-LBO!$G$54*AVERAGE(Debt!J38:K38)</f>
        <v>-151.78654272225262</v>
      </c>
      <c r="L39">
        <f ca="1">-LBO!$G$54*AVERAGE(Debt!K38:L38)</f>
        <v>-79.782178137485005</v>
      </c>
      <c r="M39">
        <f ca="1">-LBO!$G$54*AVERAGE(Debt!L38:M38)</f>
        <v>-20.931982496189651</v>
      </c>
      <c r="N39">
        <f ca="1">-LBO!$G$54*AVERAGE(Debt!M38:N38)</f>
        <v>0</v>
      </c>
      <c r="O39">
        <f ca="1">-LBO!$G$54*AVERAGE(Debt!N38:O38)</f>
        <v>0</v>
      </c>
    </row>
    <row r="40" spans="2:15" x14ac:dyDescent="0.25">
      <c r="H40" s="58"/>
      <c r="I40" s="58"/>
      <c r="J40" s="58"/>
      <c r="K40" s="58"/>
      <c r="L40" s="58"/>
      <c r="M40" s="58"/>
      <c r="N40" s="58"/>
      <c r="O40" s="58"/>
    </row>
    <row r="41" spans="2:15" x14ac:dyDescent="0.25">
      <c r="B41" t="s">
        <v>101</v>
      </c>
      <c r="H41">
        <f ca="1">H32+H37</f>
        <v>0</v>
      </c>
      <c r="I41">
        <f t="shared" ref="I41:O41" ca="1" si="15">I32+I37</f>
        <v>0</v>
      </c>
      <c r="J41">
        <f t="shared" ca="1" si="15"/>
        <v>0</v>
      </c>
      <c r="K41">
        <f t="shared" ca="1" si="15"/>
        <v>0</v>
      </c>
      <c r="L41">
        <f t="shared" ca="1" si="15"/>
        <v>0</v>
      </c>
      <c r="M41">
        <f t="shared" ca="1" si="15"/>
        <v>619.3495076605891</v>
      </c>
      <c r="N41">
        <f t="shared" ca="1" si="15"/>
        <v>1368.9801107817225</v>
      </c>
      <c r="O41">
        <f t="shared" ca="1" si="15"/>
        <v>1472.3479829294804</v>
      </c>
    </row>
    <row r="43" spans="2:15" x14ac:dyDescent="0.25">
      <c r="B43" s="60" t="str">
        <f>B7</f>
        <v>Subordinated debt</v>
      </c>
    </row>
    <row r="44" spans="2:15" x14ac:dyDescent="0.25">
      <c r="B44" t="s">
        <v>98</v>
      </c>
      <c r="H44">
        <f>G47</f>
        <v>2000</v>
      </c>
      <c r="I44">
        <f t="shared" ref="I44:O44" ca="1" si="16">H47</f>
        <v>2000</v>
      </c>
      <c r="J44">
        <f t="shared" ca="1" si="16"/>
        <v>2000</v>
      </c>
      <c r="K44">
        <f t="shared" ca="1" si="16"/>
        <v>2000</v>
      </c>
      <c r="L44">
        <f t="shared" ca="1" si="16"/>
        <v>2000</v>
      </c>
      <c r="M44">
        <f t="shared" ca="1" si="16"/>
        <v>2000</v>
      </c>
      <c r="N44">
        <f t="shared" ca="1" si="16"/>
        <v>1380.6504923393711</v>
      </c>
      <c r="O44">
        <f t="shared" ca="1" si="16"/>
        <v>11.670381597085679</v>
      </c>
    </row>
    <row r="45" spans="2:15" x14ac:dyDescent="0.25">
      <c r="B45" t="s">
        <v>95</v>
      </c>
      <c r="H45">
        <f t="shared" ref="H45:O45" si="17">-MIN($G$47*H7,H44)</f>
        <v>0</v>
      </c>
      <c r="I45">
        <f t="shared" ca="1" si="17"/>
        <v>0</v>
      </c>
      <c r="J45">
        <f t="shared" ca="1" si="17"/>
        <v>0</v>
      </c>
      <c r="K45">
        <f t="shared" ca="1" si="17"/>
        <v>0</v>
      </c>
      <c r="L45">
        <f t="shared" ca="1" si="17"/>
        <v>0</v>
      </c>
      <c r="M45">
        <f t="shared" ca="1" si="17"/>
        <v>0</v>
      </c>
      <c r="N45">
        <f t="shared" ca="1" si="17"/>
        <v>0</v>
      </c>
      <c r="O45">
        <f t="shared" ca="1" si="17"/>
        <v>-11.670381597085679</v>
      </c>
    </row>
    <row r="46" spans="2:15" x14ac:dyDescent="0.25">
      <c r="B46" t="s">
        <v>99</v>
      </c>
      <c r="H46">
        <f ca="1">-MIN(H44+H45,H41)</f>
        <v>0</v>
      </c>
      <c r="I46">
        <f t="shared" ref="I46:O46" ca="1" si="18">-MIN(I44+I45,I41)</f>
        <v>0</v>
      </c>
      <c r="J46">
        <f t="shared" ca="1" si="18"/>
        <v>0</v>
      </c>
      <c r="K46">
        <f t="shared" ca="1" si="18"/>
        <v>0</v>
      </c>
      <c r="L46">
        <f t="shared" ca="1" si="18"/>
        <v>0</v>
      </c>
      <c r="M46">
        <f t="shared" ca="1" si="18"/>
        <v>-619.3495076605891</v>
      </c>
      <c r="N46">
        <f t="shared" ca="1" si="18"/>
        <v>-1368.9801107817225</v>
      </c>
      <c r="O46">
        <f t="shared" ca="1" si="18"/>
        <v>0</v>
      </c>
    </row>
    <row r="47" spans="2:15" x14ac:dyDescent="0.25">
      <c r="B47" t="s">
        <v>100</v>
      </c>
      <c r="G47">
        <f>BS!F23</f>
        <v>2000</v>
      </c>
      <c r="H47">
        <f ca="1">SUM(H44:H46)</f>
        <v>2000</v>
      </c>
      <c r="I47">
        <f t="shared" ref="I47:O47" ca="1" si="19">SUM(I44:I46)</f>
        <v>2000</v>
      </c>
      <c r="J47">
        <f t="shared" ca="1" si="19"/>
        <v>2000</v>
      </c>
      <c r="K47">
        <f t="shared" ca="1" si="19"/>
        <v>2000</v>
      </c>
      <c r="L47">
        <f t="shared" ca="1" si="19"/>
        <v>2000</v>
      </c>
      <c r="M47">
        <f t="shared" ca="1" si="19"/>
        <v>1380.6504923394109</v>
      </c>
      <c r="N47">
        <f t="shared" ca="1" si="19"/>
        <v>11.670381557648625</v>
      </c>
      <c r="O47">
        <f t="shared" ca="1" si="19"/>
        <v>0</v>
      </c>
    </row>
    <row r="48" spans="2:15" x14ac:dyDescent="0.25">
      <c r="B48" t="s">
        <v>38</v>
      </c>
      <c r="H48">
        <f ca="1">-LBO!$G$55*AVERAGE(Debt!G47:H47)</f>
        <v>-161</v>
      </c>
      <c r="I48">
        <f ca="1">-LBO!$G$55*AVERAGE(Debt!H47:I47)</f>
        <v>-161</v>
      </c>
      <c r="J48">
        <f ca="1">-LBO!$G$55*AVERAGE(Debt!I47:J47)</f>
        <v>-161</v>
      </c>
      <c r="K48">
        <f ca="1">-LBO!$G$55*AVERAGE(Debt!J47:K47)</f>
        <v>-161</v>
      </c>
      <c r="L48">
        <f ca="1">-LBO!$G$55*AVERAGE(Debt!K47:L47)</f>
        <v>-161</v>
      </c>
      <c r="M48">
        <f ca="1">-LBO!$G$55*AVERAGE(Debt!L47:M47)</f>
        <v>-136.07118231666129</v>
      </c>
      <c r="N48">
        <f ca="1">-LBO!$G$55*AVERAGE(Debt!M47:N47)</f>
        <v>-56.040915174356648</v>
      </c>
      <c r="O48">
        <f ca="1">-LBO!$G$55*AVERAGE(Debt!N47:O47)</f>
        <v>-0.46973285769535716</v>
      </c>
    </row>
    <row r="50" spans="1:15" x14ac:dyDescent="0.25">
      <c r="B50" s="88" t="s">
        <v>85</v>
      </c>
    </row>
    <row r="51" spans="1:15" x14ac:dyDescent="0.25">
      <c r="B51" t="s">
        <v>217</v>
      </c>
      <c r="D51" s="66">
        <v>1</v>
      </c>
    </row>
    <row r="52" spans="1:15" x14ac:dyDescent="0.25">
      <c r="B52" t="s">
        <v>214</v>
      </c>
      <c r="D52" s="77">
        <v>-0.02</v>
      </c>
    </row>
    <row r="53" spans="1:15" x14ac:dyDescent="0.25">
      <c r="B53" t="s">
        <v>215</v>
      </c>
      <c r="D53" s="58">
        <f>LBO!$G$56+Debt!D52</f>
        <v>9.9999999999999992E-2</v>
      </c>
    </row>
    <row r="54" spans="1:15" x14ac:dyDescent="0.25">
      <c r="B54" s="88"/>
    </row>
    <row r="55" spans="1:15" x14ac:dyDescent="0.25">
      <c r="B55" t="s">
        <v>98</v>
      </c>
      <c r="C55" s="80"/>
      <c r="D55" s="80"/>
      <c r="E55" s="80"/>
      <c r="F55" s="80"/>
      <c r="G55" s="80"/>
      <c r="H55">
        <f>G57</f>
        <v>1500</v>
      </c>
      <c r="I55">
        <f t="shared" ref="I55:O55" si="20">H57</f>
        <v>1680</v>
      </c>
      <c r="J55">
        <f t="shared" si="20"/>
        <v>1881.6</v>
      </c>
      <c r="K55">
        <f t="shared" si="20"/>
        <v>2107.3919999999998</v>
      </c>
      <c r="L55">
        <f t="shared" si="20"/>
        <v>2360.2790399999999</v>
      </c>
      <c r="M55">
        <f t="shared" si="20"/>
        <v>2643.5125247999999</v>
      </c>
      <c r="N55">
        <f t="shared" si="20"/>
        <v>2960.7340277759999</v>
      </c>
      <c r="O55">
        <f t="shared" si="20"/>
        <v>3316.02211110912</v>
      </c>
    </row>
    <row r="56" spans="1:15" x14ac:dyDescent="0.25">
      <c r="B56" t="s">
        <v>162</v>
      </c>
      <c r="H56">
        <f>$D$51*LBO!$G$56*Debt!H55</f>
        <v>180</v>
      </c>
      <c r="I56">
        <f>$D$51*LBO!$G$56*Debt!I55</f>
        <v>201.6</v>
      </c>
      <c r="J56">
        <f>$D$51*LBO!$G$56*Debt!J55</f>
        <v>225.79199999999997</v>
      </c>
      <c r="K56">
        <f>$D$51*LBO!$G$56*Debt!K55</f>
        <v>252.88703999999996</v>
      </c>
      <c r="L56">
        <f>$D$51*LBO!$G$56*Debt!L55</f>
        <v>283.23348479999999</v>
      </c>
      <c r="M56">
        <f>$D$51*LBO!$G$56*Debt!M55</f>
        <v>317.22150297599995</v>
      </c>
      <c r="N56">
        <f>$D$51*LBO!$G$56*Debt!N55</f>
        <v>355.28808333311997</v>
      </c>
      <c r="O56">
        <f>$D$51*LBO!$G$56*Debt!O55</f>
        <v>397.92265333309439</v>
      </c>
    </row>
    <row r="57" spans="1:15" x14ac:dyDescent="0.25">
      <c r="B57" t="s">
        <v>100</v>
      </c>
      <c r="G57">
        <f>LBO!C56</f>
        <v>1500</v>
      </c>
      <c r="H57">
        <f>SUM(H55:H56)</f>
        <v>1680</v>
      </c>
      <c r="I57">
        <f t="shared" ref="I57:O57" si="21">SUM(I55:I56)</f>
        <v>1881.6</v>
      </c>
      <c r="J57">
        <f t="shared" si="21"/>
        <v>2107.3919999999998</v>
      </c>
      <c r="K57">
        <f t="shared" si="21"/>
        <v>2360.2790399999999</v>
      </c>
      <c r="L57">
        <f t="shared" si="21"/>
        <v>2643.5125247999999</v>
      </c>
      <c r="M57">
        <f t="shared" si="21"/>
        <v>2960.7340277759999</v>
      </c>
      <c r="N57">
        <f t="shared" si="21"/>
        <v>3316.02211110912</v>
      </c>
      <c r="O57">
        <f t="shared" si="21"/>
        <v>3713.9447644422144</v>
      </c>
    </row>
    <row r="58" spans="1:15" x14ac:dyDescent="0.25">
      <c r="B58" t="s">
        <v>163</v>
      </c>
      <c r="H58">
        <f t="shared" ref="H58:O58" si="22">IF($D$51=0,AVERAGE(G57,H57)*$D$53*-1,0)</f>
        <v>0</v>
      </c>
      <c r="I58">
        <f t="shared" si="22"/>
        <v>0</v>
      </c>
      <c r="J58">
        <f t="shared" si="22"/>
        <v>0</v>
      </c>
      <c r="K58">
        <f t="shared" si="22"/>
        <v>0</v>
      </c>
      <c r="L58">
        <f t="shared" si="22"/>
        <v>0</v>
      </c>
      <c r="M58">
        <f t="shared" si="22"/>
        <v>0</v>
      </c>
      <c r="N58">
        <f t="shared" si="22"/>
        <v>0</v>
      </c>
      <c r="O58">
        <f t="shared" si="22"/>
        <v>0</v>
      </c>
    </row>
    <row r="60" spans="1:15" x14ac:dyDescent="0.25">
      <c r="B60" t="s">
        <v>197</v>
      </c>
      <c r="H60">
        <f ca="1">SUM(H24,H29,H39,H48,H56*-1+H58)</f>
        <v>-665.79203806107341</v>
      </c>
      <c r="I60">
        <f t="shared" ref="I60:O60" ca="1" si="23">SUM(I24,I29,I39,I48,I56*-1+I58)</f>
        <v>-641.92290858505783</v>
      </c>
      <c r="J60">
        <f t="shared" ca="1" si="23"/>
        <v>-608.00921760494168</v>
      </c>
      <c r="K60">
        <f t="shared" ca="1" si="23"/>
        <v>-569.4235827222526</v>
      </c>
      <c r="L60">
        <f t="shared" ca="1" si="23"/>
        <v>-527.76566293748499</v>
      </c>
      <c r="M60">
        <f t="shared" ca="1" si="23"/>
        <v>-477.97466778885087</v>
      </c>
      <c r="N60">
        <f t="shared" ca="1" si="23"/>
        <v>-415.07899850747663</v>
      </c>
      <c r="O60">
        <f t="shared" ca="1" si="23"/>
        <v>-402.14238619078975</v>
      </c>
    </row>
    <row r="61" spans="1:15" x14ac:dyDescent="0.25">
      <c r="B61" t="s">
        <v>198</v>
      </c>
      <c r="H61">
        <f ca="1">SUM(H24,H29,H39,H48+H58)</f>
        <v>-485.79203806107341</v>
      </c>
      <c r="I61">
        <f t="shared" ref="I61:O61" ca="1" si="24">SUM(I24,I29,I39,I48+I58)</f>
        <v>-440.3229085850578</v>
      </c>
      <c r="J61">
        <f t="shared" ca="1" si="24"/>
        <v>-382.21721760494171</v>
      </c>
      <c r="K61">
        <f t="shared" ca="1" si="24"/>
        <v>-316.53654272225265</v>
      </c>
      <c r="L61">
        <f t="shared" ca="1" si="24"/>
        <v>-244.532178137485</v>
      </c>
      <c r="M61">
        <f t="shared" ca="1" si="24"/>
        <v>-160.75316481285094</v>
      </c>
      <c r="N61">
        <f t="shared" ca="1" si="24"/>
        <v>-59.790915174356648</v>
      </c>
      <c r="O61">
        <f t="shared" ca="1" si="24"/>
        <v>-4.219732857695357</v>
      </c>
    </row>
    <row r="63" spans="1:15" x14ac:dyDescent="0.25">
      <c r="A63" s="60" t="s">
        <v>110</v>
      </c>
    </row>
    <row r="64" spans="1:15" x14ac:dyDescent="0.25">
      <c r="B64" t="s">
        <v>111</v>
      </c>
      <c r="H64">
        <f>CFS!H5</f>
        <v>1500.1218625000001</v>
      </c>
      <c r="I64">
        <f>CFS!I5</f>
        <v>1620.5045861999997</v>
      </c>
      <c r="J64">
        <f>CFS!J5</f>
        <v>1714.5898904447497</v>
      </c>
      <c r="K64">
        <f>CFS!K5</f>
        <v>1737.1979915920515</v>
      </c>
      <c r="L64">
        <f>CFS!L5</f>
        <v>1801.6299870067082</v>
      </c>
      <c r="M64">
        <f>CFS!M5</f>
        <v>1868.6622673602856</v>
      </c>
      <c r="N64">
        <f>CFS!N5</f>
        <v>1938.3949331795434</v>
      </c>
      <c r="O64">
        <f>CFS!O5</f>
        <v>2010.9327538603479</v>
      </c>
    </row>
    <row r="65" spans="2:15" x14ac:dyDescent="0.25">
      <c r="B65" t="s">
        <v>112</v>
      </c>
      <c r="H65">
        <f>H64+CFS!H13</f>
        <v>1341.5760300000002</v>
      </c>
      <c r="I65">
        <f>I64+CFS!I13</f>
        <v>1471.6043393474997</v>
      </c>
      <c r="J65">
        <f>J64+CFS!J13</f>
        <v>1563.1267544949096</v>
      </c>
      <c r="K65">
        <f>K64+CFS!K13</f>
        <v>1578.7675513885188</v>
      </c>
      <c r="L65">
        <f>L64+CFS!L13</f>
        <v>1636.8623291950344</v>
      </c>
      <c r="M65">
        <f>M64+CFS!M13</f>
        <v>1697.3039032361446</v>
      </c>
      <c r="N65">
        <f>N64+CFS!N13</f>
        <v>1760.1822344904367</v>
      </c>
      <c r="O65">
        <f>O64+CFS!O13</f>
        <v>1825.591547223677</v>
      </c>
    </row>
    <row r="66" spans="2:15" x14ac:dyDescent="0.25">
      <c r="B66" t="s">
        <v>113</v>
      </c>
      <c r="G66">
        <f>SUM(G23,G38,G47,G57)</f>
        <v>8500</v>
      </c>
      <c r="H66">
        <f t="shared" ref="H66:O66" ca="1" si="25">SUM(H23,H38,H47,H57)</f>
        <v>8122.4128841492166</v>
      </c>
      <c r="I66">
        <f t="shared" ca="1" si="25"/>
        <v>7544.2726624701299</v>
      </c>
      <c r="J66">
        <f t="shared" ca="1" si="25"/>
        <v>6840.8139729693312</v>
      </c>
      <c r="K66">
        <f t="shared" ca="1" si="25"/>
        <v>6091.1671470969213</v>
      </c>
      <c r="L66">
        <f t="shared" ca="1" si="25"/>
        <v>5259.1590688055785</v>
      </c>
      <c r="M66">
        <f t="shared" ca="1" si="25"/>
        <v>4341.3845201154109</v>
      </c>
      <c r="N66">
        <f t="shared" ca="1" si="25"/>
        <v>3327.6924926667689</v>
      </c>
      <c r="O66">
        <f t="shared" ca="1" si="25"/>
        <v>3713.9447644422144</v>
      </c>
    </row>
    <row r="68" spans="2:15" x14ac:dyDescent="0.25">
      <c r="B68" t="s">
        <v>114</v>
      </c>
      <c r="H68" s="64">
        <f ca="1">H66/H64</f>
        <v>5.4145020395962771</v>
      </c>
      <c r="I68" s="64">
        <f t="shared" ref="I68:O68" ca="1" si="26">I66/I64</f>
        <v>4.6555083686378591</v>
      </c>
      <c r="J68" s="64">
        <f t="shared" ca="1" si="26"/>
        <v>3.9897668889176079</v>
      </c>
      <c r="K68" s="64">
        <f t="shared" ca="1" si="26"/>
        <v>3.5063171708566645</v>
      </c>
      <c r="L68" s="64">
        <f t="shared" ca="1" si="26"/>
        <v>2.9191116415326386</v>
      </c>
      <c r="M68" s="64">
        <f t="shared" ca="1" si="26"/>
        <v>2.3232579776163345</v>
      </c>
      <c r="N68" s="64">
        <f t="shared" ca="1" si="26"/>
        <v>1.7167257485595904</v>
      </c>
      <c r="O68" s="64">
        <f t="shared" ca="1" si="26"/>
        <v>1.8468766582634988</v>
      </c>
    </row>
    <row r="69" spans="2:15" x14ac:dyDescent="0.25">
      <c r="B69" t="s">
        <v>115</v>
      </c>
      <c r="H69" s="64">
        <f ca="1">H66/H65</f>
        <v>6.0543813414355769</v>
      </c>
      <c r="I69" s="64">
        <f t="shared" ref="I69:O69" ca="1" si="27">I66/I65</f>
        <v>5.1265632077540717</v>
      </c>
      <c r="J69" s="64">
        <f t="shared" ca="1" si="27"/>
        <v>4.3763654823884011</v>
      </c>
      <c r="K69" s="64">
        <f t="shared" ca="1" si="27"/>
        <v>3.858178578435925</v>
      </c>
      <c r="L69" s="64">
        <f t="shared" ca="1" si="27"/>
        <v>3.2129513734926589</v>
      </c>
      <c r="M69" s="64">
        <f t="shared" ca="1" si="27"/>
        <v>2.5578121347850322</v>
      </c>
      <c r="N69" s="64">
        <f t="shared" ca="1" si="27"/>
        <v>1.8905386200708463</v>
      </c>
      <c r="O69" s="64">
        <f t="shared" ca="1" si="27"/>
        <v>2.0343788127691034</v>
      </c>
    </row>
    <row r="70" spans="2:15" x14ac:dyDescent="0.25">
      <c r="B70" t="s">
        <v>116</v>
      </c>
      <c r="H70" s="64">
        <f ca="1">H64/-H60</f>
        <v>2.2531387831982355</v>
      </c>
      <c r="I70" s="64">
        <f t="shared" ref="I70:O70" ca="1" si="28">I64/-I60</f>
        <v>2.5244535823966081</v>
      </c>
      <c r="J70" s="64">
        <f t="shared" ca="1" si="28"/>
        <v>2.8200064091114103</v>
      </c>
      <c r="K70" s="64">
        <f t="shared" ca="1" si="28"/>
        <v>3.0508009227278587</v>
      </c>
      <c r="L70" s="64">
        <f t="shared" ca="1" si="28"/>
        <v>3.4136930716163612</v>
      </c>
      <c r="M70" s="64">
        <f t="shared" ca="1" si="28"/>
        <v>3.9095424784850357</v>
      </c>
      <c r="N70" s="64">
        <f t="shared" ca="1" si="28"/>
        <v>4.6699422041335295</v>
      </c>
      <c r="O70" s="64">
        <f t="shared" ca="1" si="28"/>
        <v>5.0005491162184885</v>
      </c>
    </row>
    <row r="71" spans="2:15" x14ac:dyDescent="0.25">
      <c r="B71" t="s">
        <v>118</v>
      </c>
      <c r="H71" s="64">
        <f ca="1">(H65+CFS!H13)/-Debt!H60</f>
        <v>1.7768764567164745</v>
      </c>
      <c r="I71" s="64">
        <f ca="1">(I65+CFS!I13)/-Debt!I60</f>
        <v>2.0605341775549597</v>
      </c>
      <c r="J71" s="64">
        <f ca="1">(J65+CFS!J13)/-Debt!J60</f>
        <v>2.3217799626556124</v>
      </c>
      <c r="K71" s="64">
        <f ca="1">(K65+CFS!K13)/-Debt!K60</f>
        <v>2.4943419174786499</v>
      </c>
      <c r="L71" s="64">
        <f ca="1">(L65+CFS!L13)/-Debt!L60</f>
        <v>2.7892960356493171</v>
      </c>
      <c r="M71" s="64">
        <f ca="1">(M65+CFS!M13)/-Debt!M60</f>
        <v>3.1925238761525794</v>
      </c>
      <c r="N71" s="64">
        <f ca="1">(N65+CFS!N13)/-Debt!N60</f>
        <v>3.8112492838464695</v>
      </c>
      <c r="O71" s="64">
        <f ca="1">(O65+CFS!O13)/-Debt!O60</f>
        <v>4.0787800463510866</v>
      </c>
    </row>
    <row r="72" spans="2:15" x14ac:dyDescent="0.25">
      <c r="B72" t="s">
        <v>117</v>
      </c>
      <c r="H72" s="62">
        <f t="shared" ref="H72:O72" ca="1" si="29">1-H66/$G$66</f>
        <v>4.4422013629503931E-2</v>
      </c>
      <c r="I72" s="62">
        <f t="shared" ca="1" si="29"/>
        <v>0.11243851029763174</v>
      </c>
      <c r="J72" s="62">
        <f t="shared" ca="1" si="29"/>
        <v>0.19519835612125513</v>
      </c>
      <c r="K72" s="62">
        <f t="shared" ca="1" si="29"/>
        <v>0.28339210034153872</v>
      </c>
      <c r="L72" s="62">
        <f t="shared" ca="1" si="29"/>
        <v>0.38127540366993196</v>
      </c>
      <c r="M72" s="62">
        <f t="shared" ca="1" si="29"/>
        <v>0.4892488799864223</v>
      </c>
      <c r="N72" s="62">
        <f t="shared" ca="1" si="29"/>
        <v>0.60850676556861538</v>
      </c>
      <c r="O72" s="62">
        <f t="shared" ca="1" si="29"/>
        <v>0.56306532183032765</v>
      </c>
    </row>
  </sheetData>
  <dataValidations count="1">
    <dataValidation type="list" allowBlank="1" showInputMessage="1" showErrorMessage="1" sqref="D51" xr:uid="{22B1DF05-8465-46A9-B05F-811B3B46F7F2}">
      <formula1>"0,1"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6c89911dbbba69f85380b0cbe19a7a9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293c7e17b22c7855182087285b20e1b3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3D5420-8BB9-4B32-A12E-917945404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ded41-6c5d-4718-b7b7-dbfd1652bccf"/>
    <ds:schemaRef ds:uri="6ea4884f-dd23-4a9e-9674-e09625774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9EB56-CD20-49B4-A32C-5DB84F1421DA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</ds:schemaRefs>
</ds:datastoreItem>
</file>

<file path=customXml/itemProps3.xml><?xml version="1.0" encoding="utf-8"?>
<ds:datastoreItem xmlns:ds="http://schemas.openxmlformats.org/officeDocument/2006/customXml" ds:itemID="{A3594475-9988-4CFD-A4A4-29D1685E9C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Welcome</vt:lpstr>
      <vt:lpstr>Info</vt:lpstr>
      <vt:lpstr>LBO</vt:lpstr>
      <vt:lpstr>Input</vt:lpstr>
      <vt:lpstr>Calc</vt:lpstr>
      <vt:lpstr>IS</vt:lpstr>
      <vt:lpstr>BS</vt:lpstr>
      <vt:lpstr>CFS</vt:lpstr>
      <vt:lpstr>Debt</vt:lpstr>
      <vt:lpstr>switch</vt:lpstr>
      <vt:lpstr>target_yrend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 training</dc:creator>
  <cp:lastModifiedBy>Oliver Sealey</cp:lastModifiedBy>
  <cp:lastPrinted>2016-08-02T18:28:31Z</cp:lastPrinted>
  <dcterms:created xsi:type="dcterms:W3CDTF">2016-02-03T14:06:14Z</dcterms:created>
  <dcterms:modified xsi:type="dcterms:W3CDTF">2026-04-27T10:39:40Z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  <property fmtid="{D5CDD505-2E9C-101B-9397-08002B2CF9AE}" pid="3" name="MediaServiceImageTags">
    <vt:lpwstr/>
  </property>
</Properties>
</file>