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oliver_sealey_fe_training/Documents/Documents/prepped numbered resources/00 - felix live/lbo structure/"/>
    </mc:Choice>
  </mc:AlternateContent>
  <xr:revisionPtr revIDLastSave="20" documentId="8_{33679EEA-B104-4210-8363-1856B61B7F91}" xr6:coauthVersionLast="47" xr6:coauthVersionMax="47" xr10:uidLastSave="{1C6C1C71-C4D6-43C4-A29E-5D7CF6513F90}"/>
  <bookViews>
    <workbookView xWindow="25695" yWindow="0" windowWidth="26010" windowHeight="20985" activeTab="2" xr2:uid="{7D52EE58-5458-4709-94D2-004F45B0B863}"/>
  </bookViews>
  <sheets>
    <sheet name="Welcome" sheetId="1" r:id="rId1"/>
    <sheet name="Info" sheetId="6" r:id="rId2"/>
    <sheet name="LBO" sheetId="27" r:id="rId3"/>
    <sheet name="Input" sheetId="22" r:id="rId4"/>
    <sheet name="Calc" sheetId="23" r:id="rId5"/>
    <sheet name="IS" sheetId="24" r:id="rId6"/>
    <sheet name="BS" sheetId="25" r:id="rId7"/>
    <sheet name="CFS" sheetId="26" r:id="rId8"/>
    <sheet name="Debt" sheetId="28" r:id="rId9"/>
  </sheets>
  <definedNames>
    <definedName name="case">Input!#REF!</definedName>
    <definedName name="CIQWBGuid" hidden="1">"571ab0c3-d74c-43bc-a7ba-442a57d4d174"</definedName>
    <definedName name="date">Info!#REF!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"01/29/2016 15:32:18"</definedName>
    <definedName name="IQ_QTD" hidden="1">750000</definedName>
    <definedName name="IQ_TODAY" hidden="1">0</definedName>
    <definedName name="IQ_YTDMONTH" hidden="1">130000</definedName>
    <definedName name="IQRBWSM104" localSheetId="8" hidden="1">#REF!</definedName>
    <definedName name="IQRBWSM104" localSheetId="2" hidden="1">#REF!</definedName>
    <definedName name="IQRBWSM104" hidden="1">#REF!</definedName>
    <definedName name="IQRDECKM104" localSheetId="8" hidden="1">#REF!</definedName>
    <definedName name="IQRDECKM104" localSheetId="2" hidden="1">#REF!</definedName>
    <definedName name="IQRDECKM104" hidden="1">#REF!</definedName>
    <definedName name="IQRDSWM104" localSheetId="8" hidden="1">#REF!</definedName>
    <definedName name="IQRDSWM104" localSheetId="2" hidden="1">#REF!</definedName>
    <definedName name="IQRDSWM104" hidden="1">#REF!</definedName>
    <definedName name="IQRFINLM104" localSheetId="8" hidden="1">#REF!</definedName>
    <definedName name="IQRFINLM104" localSheetId="2" hidden="1">#REF!</definedName>
    <definedName name="IQRFINLM104" hidden="1">#REF!</definedName>
    <definedName name="IQRGCOM104" localSheetId="8" hidden="1">#REF!</definedName>
    <definedName name="IQRGCOM104" localSheetId="2" hidden="1">#REF!</definedName>
    <definedName name="IQRGCOM104" hidden="1">#REF!</definedName>
    <definedName name="IQRSHOOM104" localSheetId="8" hidden="1">#REF!</definedName>
    <definedName name="IQRSHOOM104" localSheetId="2" hidden="1">#REF!</definedName>
    <definedName name="IQRSHOOM104" hidden="1">#REF!</definedName>
    <definedName name="IQRSKXM104" localSheetId="8" hidden="1">#REF!</definedName>
    <definedName name="IQRSKXM104" localSheetId="2" hidden="1">#REF!</definedName>
    <definedName name="IQRSKXM104" hidden="1">#REF!</definedName>
    <definedName name="IQRTargetM104" localSheetId="8" hidden="1">#REF!</definedName>
    <definedName name="IQRTargetM104" localSheetId="2" hidden="1">#REF!</definedName>
    <definedName name="IQRTargetM104" hidden="1">#REF!</definedName>
    <definedName name="IQRTODM104" localSheetId="8" hidden="1">#REF!</definedName>
    <definedName name="IQRTODM104" localSheetId="2" hidden="1">#REF!</definedName>
    <definedName name="IQRTODM104" hidden="1">#REF!</definedName>
    <definedName name="IQRWWWM104" localSheetId="8" hidden="1">#REF!</definedName>
    <definedName name="IQRWWWM104" localSheetId="2" hidden="1">#REF!</definedName>
    <definedName name="IQRWWWM104" hidden="1">#REF!</definedName>
    <definedName name="switch">Info!$N$11</definedName>
    <definedName name="Switch2">Input!#REF!</definedName>
    <definedName name="target_yrend">Info!$N$8</definedName>
    <definedName name="Title">Info!$A$1</definedName>
  </definedNames>
  <calcPr calcId="191029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5" i="27" l="1"/>
  <c r="C124" i="27" s="1"/>
  <c r="C123" i="27" s="1"/>
  <c r="C122" i="27" s="1"/>
  <c r="C121" i="27" s="1"/>
  <c r="C120" i="27" s="1"/>
  <c r="C119" i="27" s="1"/>
  <c r="C118" i="27" s="1"/>
  <c r="O32" i="23"/>
  <c r="J30" i="23"/>
  <c r="K30" i="23" s="1"/>
  <c r="L30" i="23" s="1"/>
  <c r="M30" i="23" s="1"/>
  <c r="N30" i="23" s="1"/>
  <c r="O30" i="23" s="1"/>
  <c r="I30" i="23"/>
  <c r="J56" i="27"/>
  <c r="J60" i="27" s="1"/>
  <c r="F22" i="25" s="1"/>
  <c r="G22" i="25" s="1"/>
  <c r="J57" i="27"/>
  <c r="K57" i="27" s="1"/>
  <c r="J55" i="27"/>
  <c r="K55" i="27" s="1"/>
  <c r="J34" i="23" l="1"/>
  <c r="K34" i="23"/>
  <c r="L34" i="23"/>
  <c r="H34" i="23"/>
  <c r="M34" i="23"/>
  <c r="N34" i="23"/>
  <c r="I34" i="23"/>
  <c r="O34" i="23"/>
  <c r="H32" i="23"/>
  <c r="I32" i="23"/>
  <c r="J32" i="23"/>
  <c r="K32" i="23"/>
  <c r="L32" i="23"/>
  <c r="M32" i="23"/>
  <c r="N32" i="23"/>
  <c r="K56" i="27"/>
  <c r="C45" i="27"/>
  <c r="G35" i="23" s="1"/>
  <c r="H31" i="23" s="1"/>
  <c r="I33" i="23" l="1"/>
  <c r="J33" i="23"/>
  <c r="K33" i="23"/>
  <c r="L33" i="23"/>
  <c r="M33" i="23"/>
  <c r="N33" i="23"/>
  <c r="O33" i="23"/>
  <c r="H33" i="23"/>
  <c r="H35" i="23" s="1"/>
  <c r="K60" i="27"/>
  <c r="I31" i="23" l="1"/>
  <c r="I35" i="23" s="1"/>
  <c r="H22" i="25"/>
  <c r="J31" i="23" l="1"/>
  <c r="J35" i="23" s="1"/>
  <c r="I22" i="25"/>
  <c r="K31" i="23" l="1"/>
  <c r="K35" i="23" s="1"/>
  <c r="J22" i="25"/>
  <c r="L31" i="23" l="1"/>
  <c r="L35" i="23" s="1"/>
  <c r="K22" i="25"/>
  <c r="M31" i="23" l="1"/>
  <c r="M35" i="23" s="1"/>
  <c r="L22" i="25"/>
  <c r="N31" i="23" l="1"/>
  <c r="N35" i="23" s="1"/>
  <c r="M22" i="25"/>
  <c r="O31" i="23" l="1"/>
  <c r="O35" i="23" s="1"/>
  <c r="O22" i="25" s="1"/>
  <c r="N22" i="25"/>
  <c r="A3" i="28" l="1" a="1"/>
  <c r="A3" i="28" s="1"/>
  <c r="A3" i="26" a="1"/>
  <c r="A3" i="26" s="1"/>
  <c r="A3" i="25" a="1"/>
  <c r="A3" i="25" s="1"/>
  <c r="A3" i="24" a="1"/>
  <c r="A3" i="24" s="1"/>
  <c r="A3" i="23" a="1"/>
  <c r="A3" i="23" s="1"/>
  <c r="A3" i="22" a="1"/>
  <c r="A3" i="22" s="1"/>
  <c r="A3" i="27" a="1"/>
  <c r="A3" i="27" s="1"/>
  <c r="I17" i="22" l="1"/>
  <c r="D13" i="27" l="1"/>
  <c r="D53" i="28"/>
  <c r="P98" i="27" l="1"/>
  <c r="P99" i="27"/>
  <c r="P100" i="27"/>
  <c r="P101" i="27"/>
  <c r="H84" i="27"/>
  <c r="J15" i="22"/>
  <c r="K15" i="22" s="1"/>
  <c r="L15" i="22" s="1"/>
  <c r="J14" i="22"/>
  <c r="K14" i="22" s="1"/>
  <c r="M9" i="22"/>
  <c r="M10" i="22" s="1" a="1"/>
  <c r="M10" i="22" s="1"/>
  <c r="I10" i="22" a="1"/>
  <c r="I10" i="22" s="1"/>
  <c r="J10" i="22" a="1"/>
  <c r="J10" i="22" s="1"/>
  <c r="K10" i="22" a="1"/>
  <c r="K10" i="22" s="1"/>
  <c r="L10" i="22" a="1"/>
  <c r="L10" i="22" s="1"/>
  <c r="H10" i="22" a="1"/>
  <c r="H10" i="22" s="1"/>
  <c r="M8" i="22"/>
  <c r="N8" i="22" s="1"/>
  <c r="O8" i="22" s="1"/>
  <c r="I26" i="28"/>
  <c r="J26" i="28"/>
  <c r="K26" i="28"/>
  <c r="L26" i="28"/>
  <c r="M26" i="28"/>
  <c r="N26" i="28"/>
  <c r="O26" i="28"/>
  <c r="G26" i="28"/>
  <c r="H26" i="28"/>
  <c r="C113" i="27"/>
  <c r="C114" i="27" s="1"/>
  <c r="C111" i="27"/>
  <c r="C110" i="27" s="1"/>
  <c r="D39" i="27"/>
  <c r="C59" i="27" a="1"/>
  <c r="C59" i="27" s="1"/>
  <c r="J16" i="22" l="1" a="1"/>
  <c r="J16" i="22" s="1"/>
  <c r="L14" i="22"/>
  <c r="M14" i="22" s="1"/>
  <c r="N14" i="22" s="1"/>
  <c r="O14" i="22" s="1"/>
  <c r="K16" i="22" a="1"/>
  <c r="K16" i="22" s="1"/>
  <c r="I14" i="22"/>
  <c r="I15" i="22"/>
  <c r="H15" i="22" s="1"/>
  <c r="N9" i="22"/>
  <c r="O9" i="22" s="1"/>
  <c r="O10" i="22" s="1" a="1"/>
  <c r="O10" i="22" s="1"/>
  <c r="M15" i="22"/>
  <c r="N10" i="22" a="1"/>
  <c r="N10" i="22" s="1"/>
  <c r="L16" i="22" l="1" a="1"/>
  <c r="L16" i="22" s="1"/>
  <c r="H14" i="22"/>
  <c r="H16" i="22" s="1" a="1"/>
  <c r="H16" i="22" s="1"/>
  <c r="I16" i="22" a="1"/>
  <c r="I16" i="22" s="1"/>
  <c r="N15" i="22"/>
  <c r="M16" i="22" a="1"/>
  <c r="M16" i="22" s="1"/>
  <c r="O15" i="22" l="1"/>
  <c r="O16" i="22" s="1" a="1"/>
  <c r="O16" i="22" s="1"/>
  <c r="N16" i="22" a="1"/>
  <c r="N16" i="22" s="1"/>
  <c r="K24" i="22" l="1"/>
  <c r="L24" i="22" s="1"/>
  <c r="M24" i="22" s="1"/>
  <c r="N24" i="22" s="1"/>
  <c r="O24" i="22" s="1"/>
  <c r="L18" i="22"/>
  <c r="M18" i="22" s="1"/>
  <c r="N18" i="22" s="1"/>
  <c r="O18" i="22" s="1"/>
  <c r="D27" i="25"/>
  <c r="D28" i="22" s="1"/>
  <c r="H28" i="22" s="1"/>
  <c r="H27" i="25" s="1"/>
  <c r="C27" i="25"/>
  <c r="C28" i="22" s="1"/>
  <c r="D18" i="25"/>
  <c r="D27" i="22" s="1"/>
  <c r="H27" i="22" s="1"/>
  <c r="C18" i="25"/>
  <c r="C27" i="22" s="1"/>
  <c r="D12" i="25"/>
  <c r="D25" i="22" s="1"/>
  <c r="H25" i="22" s="1"/>
  <c r="I25" i="22" s="1"/>
  <c r="J25" i="22" s="1"/>
  <c r="K25" i="22" s="1"/>
  <c r="K12" i="25" s="1"/>
  <c r="C12" i="25"/>
  <c r="C25" i="22" s="1"/>
  <c r="D12" i="24"/>
  <c r="C12" i="24"/>
  <c r="I9" i="24"/>
  <c r="I18" i="24" s="1"/>
  <c r="J9" i="24"/>
  <c r="J18" i="24" s="1"/>
  <c r="K9" i="24"/>
  <c r="K18" i="24" s="1"/>
  <c r="L9" i="24"/>
  <c r="L18" i="24" s="1"/>
  <c r="M9" i="24"/>
  <c r="M18" i="24" s="1"/>
  <c r="N9" i="24"/>
  <c r="N18" i="24" s="1"/>
  <c r="O9" i="24"/>
  <c r="H9" i="24"/>
  <c r="H18" i="24" s="1"/>
  <c r="D13" i="22"/>
  <c r="C13" i="22"/>
  <c r="B56" i="27"/>
  <c r="B24" i="25" s="1"/>
  <c r="B7" i="28" s="1"/>
  <c r="B17" i="28" s="1"/>
  <c r="B55" i="27"/>
  <c r="B23" i="25" s="1"/>
  <c r="J12" i="22"/>
  <c r="K12" i="22" s="1"/>
  <c r="L12" i="22" s="1"/>
  <c r="M12" i="22" s="1"/>
  <c r="N12" i="22" s="1"/>
  <c r="O12" i="22" s="1"/>
  <c r="D17" i="22"/>
  <c r="C19" i="24"/>
  <c r="D19" i="24"/>
  <c r="A1" i="26"/>
  <c r="D3" i="26"/>
  <c r="H3" i="26" s="1"/>
  <c r="I3" i="26" s="1"/>
  <c r="J3" i="26" s="1"/>
  <c r="K3" i="26" s="1"/>
  <c r="L3" i="26" s="1"/>
  <c r="M3" i="26" s="1"/>
  <c r="N3" i="26" s="1"/>
  <c r="O3" i="26" s="1"/>
  <c r="J17" i="22"/>
  <c r="K17" i="22" s="1"/>
  <c r="L17" i="22" s="1"/>
  <c r="M17" i="22" s="1"/>
  <c r="N17" i="22" s="1"/>
  <c r="H5" i="24"/>
  <c r="C12" i="22"/>
  <c r="D12" i="22"/>
  <c r="D10" i="22"/>
  <c r="C11" i="22"/>
  <c r="D11" i="22"/>
  <c r="C65" i="27"/>
  <c r="C57" i="27" a="1"/>
  <c r="C57" i="27" s="1"/>
  <c r="F30" i="25"/>
  <c r="C55" i="27" a="1"/>
  <c r="C55" i="27" s="1"/>
  <c r="C56" i="27" a="1"/>
  <c r="C56" i="27" s="1"/>
  <c r="C54" i="27" a="1"/>
  <c r="C54" i="27" s="1"/>
  <c r="D8" i="27"/>
  <c r="C18" i="24"/>
  <c r="D18" i="24"/>
  <c r="C7" i="24"/>
  <c r="C11" i="24" s="1"/>
  <c r="D7" i="24"/>
  <c r="D11" i="24" s="1"/>
  <c r="C21" i="22"/>
  <c r="D21" i="22"/>
  <c r="H21" i="22" s="1"/>
  <c r="I21" i="22" s="1"/>
  <c r="D3" i="28"/>
  <c r="H3" i="28" s="1"/>
  <c r="I3" i="28" s="1"/>
  <c r="J3" i="28" s="1"/>
  <c r="K3" i="28" s="1"/>
  <c r="L3" i="28" s="1"/>
  <c r="M3" i="28" s="1"/>
  <c r="N3" i="28" s="1"/>
  <c r="O3" i="28" s="1"/>
  <c r="D3" i="25"/>
  <c r="H3" i="25" s="1"/>
  <c r="I3" i="25" s="1"/>
  <c r="J3" i="25" s="1"/>
  <c r="K3" i="25" s="1"/>
  <c r="L3" i="25" s="1"/>
  <c r="M3" i="25" s="1"/>
  <c r="N3" i="25" s="1"/>
  <c r="O3" i="25" s="1"/>
  <c r="D3" i="24"/>
  <c r="C3" i="24" s="1"/>
  <c r="D3" i="23"/>
  <c r="H3" i="23" s="1"/>
  <c r="I3" i="23" s="1"/>
  <c r="J3" i="23" s="1"/>
  <c r="K3" i="23" s="1"/>
  <c r="L3" i="23" s="1"/>
  <c r="M3" i="23" s="1"/>
  <c r="N3" i="23" s="1"/>
  <c r="O3" i="23" s="1"/>
  <c r="D3" i="22"/>
  <c r="C3" i="22" s="1"/>
  <c r="D3" i="27"/>
  <c r="A2" i="6" a="1"/>
  <c r="A2" i="6" s="1"/>
  <c r="A1" i="28"/>
  <c r="A1" i="25"/>
  <c r="A1" i="24"/>
  <c r="A1" i="23"/>
  <c r="A1" i="22"/>
  <c r="A1" i="27"/>
  <c r="D26" i="22"/>
  <c r="H26" i="22" s="1"/>
  <c r="I26" i="22" s="1"/>
  <c r="C26" i="22"/>
  <c r="L11" i="22"/>
  <c r="M11" i="22" s="1"/>
  <c r="N11" i="22" s="1"/>
  <c r="O11" i="22" s="1"/>
  <c r="I75" i="27"/>
  <c r="F21" i="25"/>
  <c r="G21" i="25" s="1"/>
  <c r="H21" i="25" s="1"/>
  <c r="F5" i="25"/>
  <c r="G5" i="25" s="1"/>
  <c r="G27" i="25"/>
  <c r="G17" i="25"/>
  <c r="G26" i="23" s="1"/>
  <c r="G11" i="25"/>
  <c r="G9" i="23" s="1"/>
  <c r="H6" i="23" s="1"/>
  <c r="G8" i="25"/>
  <c r="G25" i="23" s="1"/>
  <c r="G7" i="25"/>
  <c r="G24" i="23" s="1"/>
  <c r="G6" i="25"/>
  <c r="G23" i="23" s="1"/>
  <c r="G55" i="27"/>
  <c r="G56" i="27"/>
  <c r="G54" i="27"/>
  <c r="B43" i="27"/>
  <c r="C44" i="27"/>
  <c r="C24" i="22"/>
  <c r="D24" i="22"/>
  <c r="C23" i="22"/>
  <c r="D23" i="22"/>
  <c r="H23" i="22" s="1"/>
  <c r="I23" i="22" s="1"/>
  <c r="J23" i="22" s="1"/>
  <c r="K23" i="22" s="1"/>
  <c r="C22" i="22"/>
  <c r="D22" i="22"/>
  <c r="H22" i="22" s="1"/>
  <c r="B26" i="23"/>
  <c r="B25" i="23"/>
  <c r="B24" i="23"/>
  <c r="B23" i="23"/>
  <c r="C9" i="25"/>
  <c r="D9" i="25"/>
  <c r="F24" i="25" l="1"/>
  <c r="G47" i="28" s="1"/>
  <c r="D66" i="27"/>
  <c r="D65" i="27" s="1"/>
  <c r="E30" i="27"/>
  <c r="E29" i="27"/>
  <c r="O18" i="24"/>
  <c r="F16" i="25"/>
  <c r="G16" i="25" s="1"/>
  <c r="G23" i="28" s="1"/>
  <c r="G27" i="28" s="1"/>
  <c r="G28" i="28" s="1"/>
  <c r="I84" i="27"/>
  <c r="I10" i="24"/>
  <c r="C19" i="25"/>
  <c r="C28" i="25" s="1"/>
  <c r="C31" i="25" s="1"/>
  <c r="G12" i="25"/>
  <c r="D14" i="25"/>
  <c r="B43" i="28"/>
  <c r="J10" i="24"/>
  <c r="D19" i="25"/>
  <c r="D28" i="25" s="1"/>
  <c r="D31" i="25" s="1"/>
  <c r="G18" i="25"/>
  <c r="G27" i="23" s="1"/>
  <c r="G28" i="23" s="1"/>
  <c r="H9" i="26"/>
  <c r="C3" i="23"/>
  <c r="C14" i="25"/>
  <c r="C3" i="25"/>
  <c r="C3" i="26"/>
  <c r="C13" i="24"/>
  <c r="C18" i="22" s="1"/>
  <c r="H3" i="24"/>
  <c r="I3" i="24" s="1"/>
  <c r="J3" i="24" s="1"/>
  <c r="K3" i="24" s="1"/>
  <c r="L3" i="24" s="1"/>
  <c r="M3" i="24" s="1"/>
  <c r="N3" i="24" s="1"/>
  <c r="O3" i="24" s="1"/>
  <c r="H17" i="26"/>
  <c r="I21" i="25"/>
  <c r="C17" i="24"/>
  <c r="C20" i="24" s="1"/>
  <c r="I28" i="22"/>
  <c r="H7" i="23"/>
  <c r="H13" i="26" s="1"/>
  <c r="H14" i="26" s="1"/>
  <c r="H12" i="28" s="1"/>
  <c r="H3" i="22"/>
  <c r="I3" i="22" s="1"/>
  <c r="J3" i="22" s="1"/>
  <c r="K3" i="22" s="1"/>
  <c r="L3" i="22" s="1"/>
  <c r="M3" i="22" s="1"/>
  <c r="N3" i="22" s="1"/>
  <c r="O3" i="22" s="1"/>
  <c r="H12" i="25"/>
  <c r="H8" i="25"/>
  <c r="H25" i="23" s="1"/>
  <c r="H6" i="24"/>
  <c r="H7" i="24" s="1"/>
  <c r="H8" i="24"/>
  <c r="I5" i="24"/>
  <c r="B18" i="26"/>
  <c r="B6" i="28"/>
  <c r="B19" i="26"/>
  <c r="C3" i="28"/>
  <c r="G24" i="26"/>
  <c r="H22" i="26" s="1"/>
  <c r="H10" i="28"/>
  <c r="G9" i="25"/>
  <c r="J21" i="22"/>
  <c r="H8" i="23"/>
  <c r="H19" i="24" s="1"/>
  <c r="L23" i="22"/>
  <c r="H44" i="28"/>
  <c r="H45" i="28" s="1"/>
  <c r="H17" i="28" s="1"/>
  <c r="G94" i="27"/>
  <c r="G97" i="27" s="1"/>
  <c r="F25" i="25"/>
  <c r="G25" i="25" s="1"/>
  <c r="G57" i="28"/>
  <c r="H55" i="28" s="1"/>
  <c r="H56" i="28" s="1"/>
  <c r="O17" i="22"/>
  <c r="J26" i="22"/>
  <c r="H3" i="27"/>
  <c r="I3" i="27" s="1"/>
  <c r="J3" i="27" s="1"/>
  <c r="K3" i="27" s="1"/>
  <c r="L3" i="27" s="1"/>
  <c r="M3" i="27" s="1"/>
  <c r="N3" i="27" s="1"/>
  <c r="O3" i="27" s="1"/>
  <c r="C3" i="27"/>
  <c r="G24" i="25"/>
  <c r="I27" i="22"/>
  <c r="H18" i="25"/>
  <c r="H27" i="23" s="1"/>
  <c r="D13" i="24"/>
  <c r="D17" i="24"/>
  <c r="D20" i="24" s="1"/>
  <c r="D15" i="27" s="1"/>
  <c r="F23" i="25"/>
  <c r="L25" i="22"/>
  <c r="J12" i="25"/>
  <c r="K8" i="26" s="1"/>
  <c r="I12" i="25"/>
  <c r="J75" i="27"/>
  <c r="J84" i="27" s="1"/>
  <c r="I22" i="22"/>
  <c r="H6" i="25"/>
  <c r="H23" i="23" s="1"/>
  <c r="G102" i="27"/>
  <c r="G88" i="27"/>
  <c r="H10" i="24"/>
  <c r="K10" i="24"/>
  <c r="D64" i="27" l="1"/>
  <c r="D10" i="27"/>
  <c r="D11" i="27" s="1"/>
  <c r="D33" i="25"/>
  <c r="D71" i="27"/>
  <c r="H8" i="26"/>
  <c r="C33" i="25"/>
  <c r="B16" i="28"/>
  <c r="B34" i="28"/>
  <c r="H11" i="24"/>
  <c r="H17" i="24" s="1"/>
  <c r="H20" i="24" s="1"/>
  <c r="G19" i="25"/>
  <c r="J28" i="22"/>
  <c r="C15" i="24"/>
  <c r="I27" i="25"/>
  <c r="I9" i="26" s="1"/>
  <c r="J21" i="25"/>
  <c r="I17" i="26"/>
  <c r="H9" i="23"/>
  <c r="H11" i="25" s="1"/>
  <c r="I8" i="25"/>
  <c r="I25" i="23" s="1"/>
  <c r="I6" i="24"/>
  <c r="I17" i="25" s="1"/>
  <c r="I26" i="23" s="1"/>
  <c r="J5" i="24"/>
  <c r="J8" i="25" s="1"/>
  <c r="J25" i="23" s="1"/>
  <c r="I8" i="24"/>
  <c r="I7" i="23"/>
  <c r="I13" i="26" s="1"/>
  <c r="I14" i="26" s="1"/>
  <c r="I12" i="28" s="1"/>
  <c r="H17" i="25"/>
  <c r="H26" i="23" s="1"/>
  <c r="H7" i="25"/>
  <c r="H24" i="23" s="1"/>
  <c r="D54" i="27"/>
  <c r="D55" i="27" s="1"/>
  <c r="K21" i="22"/>
  <c r="H57" i="28"/>
  <c r="G38" i="28"/>
  <c r="G66" i="28" s="1"/>
  <c r="G23" i="25"/>
  <c r="K75" i="27"/>
  <c r="K84" i="27" s="1"/>
  <c r="M23" i="22"/>
  <c r="J8" i="26"/>
  <c r="I8" i="26"/>
  <c r="D15" i="24"/>
  <c r="D18" i="22"/>
  <c r="K26" i="22"/>
  <c r="I6" i="25"/>
  <c r="I23" i="23" s="1"/>
  <c r="J22" i="22"/>
  <c r="M25" i="22"/>
  <c r="L12" i="25"/>
  <c r="I18" i="25"/>
  <c r="I27" i="23" s="1"/>
  <c r="J27" i="22"/>
  <c r="H21" i="28"/>
  <c r="H58" i="28" l="1"/>
  <c r="H95" i="27" s="1"/>
  <c r="D56" i="27"/>
  <c r="D57" i="27" s="1"/>
  <c r="H5" i="26"/>
  <c r="H64" i="28" s="1"/>
  <c r="H65" i="28" s="1"/>
  <c r="J7" i="23"/>
  <c r="J13" i="26" s="1"/>
  <c r="J14" i="26" s="1"/>
  <c r="J12" i="28" s="1"/>
  <c r="I7" i="24"/>
  <c r="I11" i="24" s="1"/>
  <c r="K28" i="22"/>
  <c r="J27" i="25"/>
  <c r="J9" i="26" s="1"/>
  <c r="I7" i="25"/>
  <c r="I24" i="23" s="1"/>
  <c r="I28" i="23" s="1"/>
  <c r="H76" i="27"/>
  <c r="K21" i="25"/>
  <c r="J17" i="26"/>
  <c r="I6" i="23"/>
  <c r="I8" i="23" s="1"/>
  <c r="I19" i="24" s="1"/>
  <c r="J8" i="24"/>
  <c r="K5" i="24"/>
  <c r="K8" i="25" s="1"/>
  <c r="K25" i="23" s="1"/>
  <c r="J6" i="24"/>
  <c r="J7" i="25" s="1"/>
  <c r="J24" i="23" s="1"/>
  <c r="H28" i="23"/>
  <c r="H10" i="26" s="1"/>
  <c r="D12" i="27"/>
  <c r="H25" i="25"/>
  <c r="H80" i="27"/>
  <c r="H94" i="27" s="1"/>
  <c r="I55" i="28"/>
  <c r="I56" i="28" s="1"/>
  <c r="L75" i="27"/>
  <c r="L84" i="27" s="1"/>
  <c r="L26" i="22"/>
  <c r="K22" i="22"/>
  <c r="J6" i="25"/>
  <c r="J23" i="23" s="1"/>
  <c r="L8" i="26"/>
  <c r="N23" i="22"/>
  <c r="J18" i="25"/>
  <c r="J27" i="23" s="1"/>
  <c r="K27" i="22"/>
  <c r="M12" i="25"/>
  <c r="N25" i="22"/>
  <c r="H35" i="28"/>
  <c r="H36" i="28" s="1"/>
  <c r="H16" i="28" s="1"/>
  <c r="L21" i="22"/>
  <c r="L10" i="24"/>
  <c r="I17" i="24" l="1"/>
  <c r="I20" i="24" s="1"/>
  <c r="L28" i="22"/>
  <c r="K27" i="25"/>
  <c r="K9" i="26" s="1"/>
  <c r="K8" i="24"/>
  <c r="L5" i="24"/>
  <c r="M5" i="24" s="1"/>
  <c r="J17" i="25"/>
  <c r="J26" i="23" s="1"/>
  <c r="J28" i="23" s="1"/>
  <c r="J10" i="26" s="1"/>
  <c r="K7" i="23"/>
  <c r="K13" i="26" s="1"/>
  <c r="K14" i="26" s="1"/>
  <c r="K12" i="28" s="1"/>
  <c r="K17" i="26"/>
  <c r="L21" i="25"/>
  <c r="K6" i="24"/>
  <c r="K7" i="25" s="1"/>
  <c r="K24" i="23" s="1"/>
  <c r="J7" i="24"/>
  <c r="J11" i="24" s="1"/>
  <c r="I10" i="26"/>
  <c r="D14" i="27"/>
  <c r="C43" i="27"/>
  <c r="N12" i="25"/>
  <c r="N8" i="26" s="1"/>
  <c r="O25" i="22"/>
  <c r="O12" i="25" s="1"/>
  <c r="M26" i="22"/>
  <c r="L27" i="22"/>
  <c r="K18" i="25"/>
  <c r="K27" i="23" s="1"/>
  <c r="I57" i="28"/>
  <c r="M21" i="22"/>
  <c r="M75" i="27"/>
  <c r="O23" i="22"/>
  <c r="M8" i="26"/>
  <c r="K6" i="25"/>
  <c r="K23" i="23" s="1"/>
  <c r="L22" i="22"/>
  <c r="I9" i="23"/>
  <c r="M10" i="24"/>
  <c r="M84" i="27" l="1"/>
  <c r="M95" i="27"/>
  <c r="D70" i="27"/>
  <c r="I58" i="28"/>
  <c r="I95" i="27" s="1"/>
  <c r="J17" i="24"/>
  <c r="L8" i="24"/>
  <c r="L7" i="23"/>
  <c r="L13" i="26" s="1"/>
  <c r="L14" i="26" s="1"/>
  <c r="L12" i="28" s="1"/>
  <c r="L6" i="24"/>
  <c r="L7" i="24" s="1"/>
  <c r="L8" i="25"/>
  <c r="L25" i="23" s="1"/>
  <c r="L27" i="25"/>
  <c r="L9" i="26" s="1"/>
  <c r="M28" i="22"/>
  <c r="K7" i="24"/>
  <c r="K17" i="25"/>
  <c r="K26" i="23" s="1"/>
  <c r="K28" i="23" s="1"/>
  <c r="L17" i="26"/>
  <c r="M21" i="25"/>
  <c r="D16" i="27"/>
  <c r="C46" i="27"/>
  <c r="N21" i="22"/>
  <c r="M6" i="24"/>
  <c r="M7" i="24" s="1"/>
  <c r="M7" i="23"/>
  <c r="M13" i="26" s="1"/>
  <c r="M14" i="26" s="1"/>
  <c r="M12" i="28" s="1"/>
  <c r="M8" i="24"/>
  <c r="N5" i="24"/>
  <c r="M8" i="25"/>
  <c r="M25" i="23" s="1"/>
  <c r="J55" i="28"/>
  <c r="J56" i="28" s="1"/>
  <c r="I25" i="25"/>
  <c r="I80" i="27"/>
  <c r="I94" i="27" s="1"/>
  <c r="L18" i="25"/>
  <c r="L27" i="23" s="1"/>
  <c r="M27" i="22"/>
  <c r="I11" i="25"/>
  <c r="J6" i="23"/>
  <c r="I76" i="27"/>
  <c r="I5" i="26"/>
  <c r="I64" i="28" s="1"/>
  <c r="I65" i="28" s="1"/>
  <c r="M22" i="22"/>
  <c r="L6" i="25"/>
  <c r="L23" i="23" s="1"/>
  <c r="O8" i="26"/>
  <c r="N75" i="27"/>
  <c r="N26" i="22"/>
  <c r="O10" i="24"/>
  <c r="N10" i="24"/>
  <c r="N84" i="27" l="1"/>
  <c r="N95" i="27"/>
  <c r="D72" i="27"/>
  <c r="K11" i="24"/>
  <c r="K17" i="24" s="1"/>
  <c r="L11" i="24"/>
  <c r="L17" i="24" s="1"/>
  <c r="L17" i="25"/>
  <c r="L26" i="23" s="1"/>
  <c r="L7" i="25"/>
  <c r="L24" i="23" s="1"/>
  <c r="N28" i="22"/>
  <c r="M27" i="25"/>
  <c r="M9" i="26" s="1"/>
  <c r="N21" i="25"/>
  <c r="M17" i="26"/>
  <c r="M11" i="24"/>
  <c r="M17" i="24" s="1"/>
  <c r="E30" i="25"/>
  <c r="G30" i="25" s="1"/>
  <c r="G20" i="23" s="1"/>
  <c r="H17" i="23" s="1"/>
  <c r="C47" i="27"/>
  <c r="D17" i="27"/>
  <c r="H77" i="27" s="1"/>
  <c r="K10" i="26"/>
  <c r="J8" i="23"/>
  <c r="J19" i="24" s="1"/>
  <c r="J57" i="28"/>
  <c r="M17" i="25"/>
  <c r="M26" i="23" s="1"/>
  <c r="N22" i="22"/>
  <c r="M6" i="25"/>
  <c r="M23" i="23" s="1"/>
  <c r="M18" i="25"/>
  <c r="M27" i="23" s="1"/>
  <c r="N27" i="22"/>
  <c r="N8" i="24"/>
  <c r="N6" i="24"/>
  <c r="N7" i="24" s="1"/>
  <c r="N7" i="23"/>
  <c r="N13" i="26" s="1"/>
  <c r="N14" i="26" s="1"/>
  <c r="N12" i="28" s="1"/>
  <c r="O5" i="24"/>
  <c r="N8" i="25"/>
  <c r="N25" i="23" s="1"/>
  <c r="M7" i="25"/>
  <c r="M24" i="23" s="1"/>
  <c r="O26" i="22"/>
  <c r="O75" i="27"/>
  <c r="O95" i="27" s="1"/>
  <c r="O21" i="22"/>
  <c r="E13" i="25" l="1"/>
  <c r="G13" i="25" s="1"/>
  <c r="J58" i="28"/>
  <c r="J95" i="27" s="1"/>
  <c r="O84" i="27"/>
  <c r="L28" i="23"/>
  <c r="L10" i="26" s="1"/>
  <c r="N11" i="24"/>
  <c r="N17" i="24" s="1"/>
  <c r="N27" i="25"/>
  <c r="N9" i="26" s="1"/>
  <c r="O28" i="22"/>
  <c r="N17" i="26"/>
  <c r="O21" i="25"/>
  <c r="C40" i="27"/>
  <c r="C38" i="27" s="1"/>
  <c r="D40" i="27"/>
  <c r="I77" i="27"/>
  <c r="O8" i="24"/>
  <c r="O6" i="24"/>
  <c r="O7" i="23"/>
  <c r="O8" i="25"/>
  <c r="J25" i="25"/>
  <c r="J80" i="27"/>
  <c r="J94" i="27" s="1"/>
  <c r="K55" i="28"/>
  <c r="K56" i="28" s="1"/>
  <c r="N18" i="25"/>
  <c r="N27" i="23" s="1"/>
  <c r="O27" i="22"/>
  <c r="O18" i="25" s="1"/>
  <c r="J20" i="24"/>
  <c r="N7" i="25"/>
  <c r="N24" i="23" s="1"/>
  <c r="N17" i="25"/>
  <c r="N26" i="23" s="1"/>
  <c r="M28" i="23"/>
  <c r="O22" i="22"/>
  <c r="N6" i="25"/>
  <c r="N23" i="23" s="1"/>
  <c r="J9" i="23"/>
  <c r="G14" i="25" l="1"/>
  <c r="H13" i="25"/>
  <c r="I13" i="25" s="1"/>
  <c r="J13" i="25" s="1"/>
  <c r="K13" i="25" s="1"/>
  <c r="L13" i="25" s="1"/>
  <c r="M13" i="25" s="1"/>
  <c r="N13" i="25" s="1"/>
  <c r="O13" i="25" s="1"/>
  <c r="O17" i="26"/>
  <c r="O25" i="23"/>
  <c r="O27" i="23"/>
  <c r="O13" i="26"/>
  <c r="O17" i="25"/>
  <c r="D38" i="27"/>
  <c r="C58" i="27" s="1" a="1"/>
  <c r="C58" i="27" s="1"/>
  <c r="C60" i="27" s="1"/>
  <c r="E58" i="27" s="1"/>
  <c r="O27" i="25"/>
  <c r="O6" i="25"/>
  <c r="O7" i="24"/>
  <c r="O7" i="25"/>
  <c r="K57" i="28"/>
  <c r="J76" i="27"/>
  <c r="J77" i="27" s="1"/>
  <c r="J5" i="26"/>
  <c r="J64" i="28" s="1"/>
  <c r="J65" i="28" s="1"/>
  <c r="J11" i="25"/>
  <c r="K6" i="23"/>
  <c r="N28" i="23"/>
  <c r="N10" i="26" s="1"/>
  <c r="M10" i="26"/>
  <c r="K58" i="28" l="1"/>
  <c r="K95" i="27" s="1"/>
  <c r="O9" i="26"/>
  <c r="O14" i="26"/>
  <c r="O24" i="23"/>
  <c r="O11" i="24"/>
  <c r="O26" i="23"/>
  <c r="O23" i="23"/>
  <c r="G14" i="23"/>
  <c r="H12" i="23" s="1"/>
  <c r="H13" i="23" s="1"/>
  <c r="H18" i="23" s="1"/>
  <c r="F26" i="25"/>
  <c r="G26" i="25" s="1"/>
  <c r="G28" i="25" s="1"/>
  <c r="G31" i="25" s="1"/>
  <c r="G33" i="25" s="1"/>
  <c r="G87" i="27"/>
  <c r="G89" i="27" s="1"/>
  <c r="E54" i="27"/>
  <c r="E55" i="27"/>
  <c r="E59" i="27"/>
  <c r="E57" i="27"/>
  <c r="E56" i="27"/>
  <c r="K25" i="25"/>
  <c r="K80" i="27"/>
  <c r="K94" i="27" s="1"/>
  <c r="L55" i="28"/>
  <c r="L56" i="28" s="1"/>
  <c r="K8" i="23"/>
  <c r="K19" i="24" s="1"/>
  <c r="K20" i="24" s="1"/>
  <c r="O17" i="24" l="1"/>
  <c r="O28" i="23"/>
  <c r="O12" i="28"/>
  <c r="H14" i="23"/>
  <c r="H26" i="25" s="1"/>
  <c r="E60" i="27"/>
  <c r="K9" i="23"/>
  <c r="K76" i="27"/>
  <c r="K77" i="27" s="1"/>
  <c r="K5" i="26"/>
  <c r="K64" i="28" s="1"/>
  <c r="K65" i="28" s="1"/>
  <c r="L57" i="28"/>
  <c r="L58" i="28" l="1"/>
  <c r="L95" i="27" s="1"/>
  <c r="O10" i="26"/>
  <c r="I12" i="23"/>
  <c r="I13" i="23" s="1"/>
  <c r="I18" i="23" s="1"/>
  <c r="H79" i="27"/>
  <c r="H87" i="27" s="1"/>
  <c r="L25" i="25"/>
  <c r="M55" i="28"/>
  <c r="M56" i="28" s="1"/>
  <c r="L80" i="27"/>
  <c r="L94" i="27" s="1"/>
  <c r="K11" i="25"/>
  <c r="L6" i="23"/>
  <c r="I14" i="23" l="1"/>
  <c r="J12" i="23" s="1"/>
  <c r="J13" i="23" s="1"/>
  <c r="J18" i="23" s="1"/>
  <c r="M57" i="28"/>
  <c r="L8" i="23"/>
  <c r="L19" i="24" s="1"/>
  <c r="L20" i="24" s="1"/>
  <c r="M58" i="28" l="1"/>
  <c r="I79" i="27"/>
  <c r="I87" i="27" s="1"/>
  <c r="J14" i="23"/>
  <c r="K12" i="23" s="1"/>
  <c r="I26" i="25"/>
  <c r="L5" i="26"/>
  <c r="L76" i="27"/>
  <c r="L77" i="27" s="1"/>
  <c r="L9" i="23"/>
  <c r="M80" i="27"/>
  <c r="M94" i="27" s="1"/>
  <c r="N55" i="28"/>
  <c r="N56" i="28" s="1"/>
  <c r="M25" i="25"/>
  <c r="J79" i="27" l="1"/>
  <c r="J87" i="27" s="1"/>
  <c r="J26" i="25"/>
  <c r="M6" i="23"/>
  <c r="L11" i="25"/>
  <c r="K13" i="23"/>
  <c r="K18" i="23" s="1"/>
  <c r="L64" i="28"/>
  <c r="N57" i="28" l="1"/>
  <c r="K14" i="23"/>
  <c r="L65" i="28"/>
  <c r="M8" i="23"/>
  <c r="M19" i="24" s="1"/>
  <c r="M20" i="24" s="1"/>
  <c r="N58" i="28" l="1"/>
  <c r="M5" i="26"/>
  <c r="M76" i="27"/>
  <c r="M77" i="27" s="1"/>
  <c r="L12" i="23"/>
  <c r="K79" i="27"/>
  <c r="K87" i="27" s="1"/>
  <c r="K26" i="25"/>
  <c r="M9" i="23"/>
  <c r="N80" i="27"/>
  <c r="N94" i="27" s="1"/>
  <c r="O55" i="28"/>
  <c r="O56" i="28" s="1"/>
  <c r="N25" i="25"/>
  <c r="N6" i="23" l="1"/>
  <c r="M11" i="25"/>
  <c r="L13" i="23"/>
  <c r="L18" i="23" s="1"/>
  <c r="M64" i="28"/>
  <c r="L14" i="23" l="1"/>
  <c r="L79" i="27" s="1"/>
  <c r="L87" i="27" s="1"/>
  <c r="O57" i="28"/>
  <c r="O58" i="28" s="1"/>
  <c r="M65" i="28"/>
  <c r="N8" i="23"/>
  <c r="N19" i="24" s="1"/>
  <c r="N20" i="24" s="1"/>
  <c r="N9" i="23" l="1"/>
  <c r="M12" i="23"/>
  <c r="M13" i="23" s="1"/>
  <c r="M18" i="23" s="1"/>
  <c r="L26" i="25"/>
  <c r="O80" i="27"/>
  <c r="O25" i="25"/>
  <c r="N76" i="27"/>
  <c r="N77" i="27" s="1"/>
  <c r="N5" i="26"/>
  <c r="O6" i="23" l="1"/>
  <c r="O8" i="23" s="1"/>
  <c r="O94" i="27"/>
  <c r="N11" i="25"/>
  <c r="M14" i="23"/>
  <c r="N12" i="23" s="1"/>
  <c r="N64" i="28"/>
  <c r="O19" i="24" l="1"/>
  <c r="M26" i="25"/>
  <c r="M79" i="27"/>
  <c r="M87" i="27" s="1"/>
  <c r="N13" i="23"/>
  <c r="N18" i="23" s="1"/>
  <c r="N65" i="28"/>
  <c r="O9" i="23"/>
  <c r="O11" i="25" l="1"/>
  <c r="O20" i="24"/>
  <c r="N14" i="23"/>
  <c r="O12" i="23" s="1"/>
  <c r="O5" i="26" l="1"/>
  <c r="O76" i="27"/>
  <c r="N79" i="27"/>
  <c r="N87" i="27" s="1"/>
  <c r="N26" i="25"/>
  <c r="O13" i="23"/>
  <c r="O77" i="27" l="1"/>
  <c r="O64" i="28"/>
  <c r="O18" i="23"/>
  <c r="O14" i="23"/>
  <c r="O65" i="28" l="1"/>
  <c r="O26" i="25"/>
  <c r="O79" i="27"/>
  <c r="O87" i="27" l="1"/>
  <c r="H5" i="25" l="1"/>
  <c r="I5" i="25"/>
  <c r="J5" i="25"/>
  <c r="K5" i="25"/>
  <c r="L5" i="25"/>
  <c r="M5" i="25"/>
  <c r="N5" i="25"/>
  <c r="O5" i="25"/>
  <c r="H9" i="25"/>
  <c r="I9" i="25"/>
  <c r="J9" i="25"/>
  <c r="K9" i="25"/>
  <c r="L9" i="25"/>
  <c r="M9" i="25"/>
  <c r="N9" i="25"/>
  <c r="O9" i="25"/>
  <c r="H14" i="25"/>
  <c r="I14" i="25"/>
  <c r="J14" i="25"/>
  <c r="K14" i="25"/>
  <c r="L14" i="25"/>
  <c r="M14" i="25"/>
  <c r="N14" i="25"/>
  <c r="O14" i="25"/>
  <c r="H16" i="25"/>
  <c r="I16" i="25"/>
  <c r="J16" i="25"/>
  <c r="K16" i="25"/>
  <c r="L16" i="25"/>
  <c r="M16" i="25"/>
  <c r="N16" i="25"/>
  <c r="O16" i="25"/>
  <c r="H19" i="25"/>
  <c r="I19" i="25"/>
  <c r="J19" i="25"/>
  <c r="K19" i="25"/>
  <c r="L19" i="25"/>
  <c r="M19" i="25"/>
  <c r="N19" i="25"/>
  <c r="O19" i="25"/>
  <c r="H23" i="25"/>
  <c r="I23" i="25"/>
  <c r="J23" i="25"/>
  <c r="K23" i="25"/>
  <c r="L23" i="25"/>
  <c r="M23" i="25"/>
  <c r="N23" i="25"/>
  <c r="O23" i="25"/>
  <c r="H24" i="25"/>
  <c r="I24" i="25"/>
  <c r="J24" i="25"/>
  <c r="K24" i="25"/>
  <c r="L24" i="25"/>
  <c r="M24" i="25"/>
  <c r="N24" i="25"/>
  <c r="O24" i="25"/>
  <c r="H28" i="25"/>
  <c r="I28" i="25"/>
  <c r="J28" i="25"/>
  <c r="K28" i="25"/>
  <c r="L28" i="25"/>
  <c r="M28" i="25"/>
  <c r="N28" i="25"/>
  <c r="O28" i="25"/>
  <c r="H30" i="25"/>
  <c r="I30" i="25"/>
  <c r="J30" i="25"/>
  <c r="K30" i="25"/>
  <c r="L30" i="25"/>
  <c r="M30" i="25"/>
  <c r="N30" i="25"/>
  <c r="O30" i="25"/>
  <c r="H31" i="25"/>
  <c r="I31" i="25"/>
  <c r="J31" i="25"/>
  <c r="K31" i="25"/>
  <c r="L31" i="25"/>
  <c r="M31" i="25"/>
  <c r="N31" i="25"/>
  <c r="O31" i="25"/>
  <c r="H33" i="25"/>
  <c r="I33" i="25"/>
  <c r="J33" i="25"/>
  <c r="K33" i="25"/>
  <c r="L33" i="25"/>
  <c r="M33" i="25"/>
  <c r="N33" i="25"/>
  <c r="O33" i="25"/>
  <c r="I17" i="23"/>
  <c r="J17" i="23"/>
  <c r="K17" i="23"/>
  <c r="L17" i="23"/>
  <c r="M17" i="23"/>
  <c r="N17" i="23"/>
  <c r="O17" i="23"/>
  <c r="H19" i="23"/>
  <c r="I19" i="23"/>
  <c r="J19" i="23"/>
  <c r="K19" i="23"/>
  <c r="L19" i="23"/>
  <c r="M19" i="23"/>
  <c r="N19" i="23"/>
  <c r="O19" i="23"/>
  <c r="H20" i="23"/>
  <c r="I20" i="23"/>
  <c r="J20" i="23"/>
  <c r="K20" i="23"/>
  <c r="L20" i="23"/>
  <c r="M20" i="23"/>
  <c r="N20" i="23"/>
  <c r="O20" i="23"/>
  <c r="H6" i="26"/>
  <c r="I6" i="26"/>
  <c r="J6" i="26"/>
  <c r="K6" i="26"/>
  <c r="L6" i="26"/>
  <c r="M6" i="26"/>
  <c r="N6" i="26"/>
  <c r="O6" i="26"/>
  <c r="H7" i="26"/>
  <c r="I7" i="26"/>
  <c r="J7" i="26"/>
  <c r="K7" i="26"/>
  <c r="L7" i="26"/>
  <c r="M7" i="26"/>
  <c r="N7" i="26"/>
  <c r="O7" i="26"/>
  <c r="H11" i="26"/>
  <c r="I11" i="26"/>
  <c r="J11" i="26"/>
  <c r="K11" i="26"/>
  <c r="L11" i="26"/>
  <c r="M11" i="26"/>
  <c r="N11" i="26"/>
  <c r="O11" i="26"/>
  <c r="H16" i="26"/>
  <c r="I16" i="26"/>
  <c r="J16" i="26"/>
  <c r="K16" i="26"/>
  <c r="L16" i="26"/>
  <c r="M16" i="26"/>
  <c r="N16" i="26"/>
  <c r="O16" i="26"/>
  <c r="H18" i="26"/>
  <c r="I18" i="26"/>
  <c r="J18" i="26"/>
  <c r="K18" i="26"/>
  <c r="L18" i="26"/>
  <c r="M18" i="26"/>
  <c r="N18" i="26"/>
  <c r="O18" i="26"/>
  <c r="H19" i="26"/>
  <c r="I19" i="26"/>
  <c r="J19" i="26"/>
  <c r="K19" i="26"/>
  <c r="L19" i="26"/>
  <c r="M19" i="26"/>
  <c r="N19" i="26"/>
  <c r="O19" i="26"/>
  <c r="H20" i="26"/>
  <c r="I20" i="26"/>
  <c r="J20" i="26"/>
  <c r="K20" i="26"/>
  <c r="L20" i="26"/>
  <c r="M20" i="26"/>
  <c r="N20" i="26"/>
  <c r="O20" i="26"/>
  <c r="I22" i="26"/>
  <c r="J22" i="26"/>
  <c r="K22" i="26"/>
  <c r="L22" i="26"/>
  <c r="M22" i="26"/>
  <c r="N22" i="26"/>
  <c r="O22" i="26"/>
  <c r="H23" i="26"/>
  <c r="I23" i="26"/>
  <c r="J23" i="26"/>
  <c r="K23" i="26"/>
  <c r="L23" i="26"/>
  <c r="M23" i="26"/>
  <c r="N23" i="26"/>
  <c r="O23" i="26"/>
  <c r="H24" i="26"/>
  <c r="I24" i="26"/>
  <c r="J24" i="26"/>
  <c r="K24" i="26"/>
  <c r="L24" i="26"/>
  <c r="M24" i="26"/>
  <c r="N24" i="26"/>
  <c r="O24" i="26"/>
  <c r="I10" i="28"/>
  <c r="J10" i="28"/>
  <c r="K10" i="28"/>
  <c r="L10" i="28"/>
  <c r="M10" i="28"/>
  <c r="N10" i="28"/>
  <c r="O10" i="28"/>
  <c r="H11" i="28"/>
  <c r="I11" i="28"/>
  <c r="J11" i="28"/>
  <c r="K11" i="28"/>
  <c r="L11" i="28"/>
  <c r="M11" i="28"/>
  <c r="N11" i="28"/>
  <c r="O11" i="28"/>
  <c r="H13" i="28"/>
  <c r="I13" i="28"/>
  <c r="J13" i="28"/>
  <c r="K13" i="28"/>
  <c r="L13" i="28"/>
  <c r="M13" i="28"/>
  <c r="N13" i="28"/>
  <c r="O13" i="28"/>
  <c r="I16" i="28"/>
  <c r="J16" i="28"/>
  <c r="K16" i="28"/>
  <c r="L16" i="28"/>
  <c r="M16" i="28"/>
  <c r="N16" i="28"/>
  <c r="O16" i="28"/>
  <c r="I17" i="28"/>
  <c r="J17" i="28"/>
  <c r="K17" i="28"/>
  <c r="L17" i="28"/>
  <c r="M17" i="28"/>
  <c r="N17" i="28"/>
  <c r="O17" i="28"/>
  <c r="H18" i="28"/>
  <c r="I18" i="28"/>
  <c r="J18" i="28"/>
  <c r="K18" i="28"/>
  <c r="L18" i="28"/>
  <c r="M18" i="28"/>
  <c r="N18" i="28"/>
  <c r="O18" i="28"/>
  <c r="I21" i="28"/>
  <c r="J21" i="28"/>
  <c r="K21" i="28"/>
  <c r="L21" i="28"/>
  <c r="M21" i="28"/>
  <c r="N21" i="28"/>
  <c r="O21" i="28"/>
  <c r="H22" i="28"/>
  <c r="I22" i="28"/>
  <c r="J22" i="28"/>
  <c r="K22" i="28"/>
  <c r="L22" i="28"/>
  <c r="M22" i="28"/>
  <c r="N22" i="28"/>
  <c r="O22" i="28"/>
  <c r="H23" i="28"/>
  <c r="I23" i="28"/>
  <c r="J23" i="28"/>
  <c r="K23" i="28"/>
  <c r="L23" i="28"/>
  <c r="M23" i="28"/>
  <c r="N23" i="28"/>
  <c r="O23" i="28"/>
  <c r="H24" i="28"/>
  <c r="I24" i="28"/>
  <c r="J24" i="28"/>
  <c r="K24" i="28"/>
  <c r="L24" i="28"/>
  <c r="M24" i="28"/>
  <c r="N24" i="28"/>
  <c r="O24" i="28"/>
  <c r="H27" i="28"/>
  <c r="I27" i="28"/>
  <c r="J27" i="28"/>
  <c r="K27" i="28"/>
  <c r="L27" i="28"/>
  <c r="M27" i="28"/>
  <c r="N27" i="28"/>
  <c r="O27" i="28"/>
  <c r="H28" i="28"/>
  <c r="I28" i="28"/>
  <c r="J28" i="28"/>
  <c r="K28" i="28"/>
  <c r="L28" i="28"/>
  <c r="M28" i="28"/>
  <c r="N28" i="28"/>
  <c r="O28" i="28"/>
  <c r="H29" i="28"/>
  <c r="I29" i="28"/>
  <c r="J29" i="28"/>
  <c r="K29" i="28"/>
  <c r="L29" i="28"/>
  <c r="M29" i="28"/>
  <c r="N29" i="28"/>
  <c r="O29" i="28"/>
  <c r="H30" i="28"/>
  <c r="I30" i="28"/>
  <c r="J30" i="28"/>
  <c r="K30" i="28"/>
  <c r="L30" i="28"/>
  <c r="M30" i="28"/>
  <c r="N30" i="28"/>
  <c r="O30" i="28"/>
  <c r="H32" i="28"/>
  <c r="I32" i="28"/>
  <c r="J32" i="28"/>
  <c r="K32" i="28"/>
  <c r="L32" i="28"/>
  <c r="M32" i="28"/>
  <c r="N32" i="28"/>
  <c r="O32" i="28"/>
  <c r="I35" i="28"/>
  <c r="J35" i="28"/>
  <c r="K35" i="28"/>
  <c r="L35" i="28"/>
  <c r="M35" i="28"/>
  <c r="N35" i="28"/>
  <c r="O35" i="28"/>
  <c r="I36" i="28"/>
  <c r="J36" i="28"/>
  <c r="K36" i="28"/>
  <c r="L36" i="28"/>
  <c r="M36" i="28"/>
  <c r="N36" i="28"/>
  <c r="O36" i="28"/>
  <c r="H37" i="28"/>
  <c r="I37" i="28"/>
  <c r="J37" i="28"/>
  <c r="K37" i="28"/>
  <c r="L37" i="28"/>
  <c r="M37" i="28"/>
  <c r="N37" i="28"/>
  <c r="O37" i="28"/>
  <c r="H38" i="28"/>
  <c r="I38" i="28"/>
  <c r="J38" i="28"/>
  <c r="K38" i="28"/>
  <c r="L38" i="28"/>
  <c r="M38" i="28"/>
  <c r="N38" i="28"/>
  <c r="O38" i="28"/>
  <c r="H39" i="28"/>
  <c r="I39" i="28"/>
  <c r="J39" i="28"/>
  <c r="K39" i="28"/>
  <c r="L39" i="28"/>
  <c r="M39" i="28"/>
  <c r="N39" i="28"/>
  <c r="O39" i="28"/>
  <c r="H41" i="28"/>
  <c r="I41" i="28"/>
  <c r="J41" i="28"/>
  <c r="K41" i="28"/>
  <c r="L41" i="28"/>
  <c r="M41" i="28"/>
  <c r="N41" i="28"/>
  <c r="O41" i="28"/>
  <c r="I44" i="28"/>
  <c r="J44" i="28"/>
  <c r="K44" i="28"/>
  <c r="L44" i="28"/>
  <c r="M44" i="28"/>
  <c r="N44" i="28"/>
  <c r="O44" i="28"/>
  <c r="I45" i="28"/>
  <c r="J45" i="28"/>
  <c r="K45" i="28"/>
  <c r="L45" i="28"/>
  <c r="M45" i="28"/>
  <c r="N45" i="28"/>
  <c r="O45" i="28"/>
  <c r="H46" i="28"/>
  <c r="I46" i="28"/>
  <c r="J46" i="28"/>
  <c r="K46" i="28"/>
  <c r="L46" i="28"/>
  <c r="M46" i="28"/>
  <c r="N46" i="28"/>
  <c r="O46" i="28"/>
  <c r="H47" i="28"/>
  <c r="I47" i="28"/>
  <c r="J47" i="28"/>
  <c r="K47" i="28"/>
  <c r="L47" i="28"/>
  <c r="M47" i="28"/>
  <c r="N47" i="28"/>
  <c r="O47" i="28"/>
  <c r="H48" i="28"/>
  <c r="I48" i="28"/>
  <c r="J48" i="28"/>
  <c r="K48" i="28"/>
  <c r="L48" i="28"/>
  <c r="M48" i="28"/>
  <c r="N48" i="28"/>
  <c r="O48" i="28"/>
  <c r="H60" i="28"/>
  <c r="I60" i="28"/>
  <c r="J60" i="28"/>
  <c r="K60" i="28"/>
  <c r="L60" i="28"/>
  <c r="M60" i="28"/>
  <c r="N60" i="28"/>
  <c r="O60" i="28"/>
  <c r="H61" i="28"/>
  <c r="I61" i="28"/>
  <c r="J61" i="28"/>
  <c r="K61" i="28"/>
  <c r="L61" i="28"/>
  <c r="M61" i="28"/>
  <c r="N61" i="28"/>
  <c r="O61" i="28"/>
  <c r="H66" i="28"/>
  <c r="I66" i="28"/>
  <c r="J66" i="28"/>
  <c r="K66" i="28"/>
  <c r="L66" i="28"/>
  <c r="M66" i="28"/>
  <c r="N66" i="28"/>
  <c r="O66" i="28"/>
  <c r="H68" i="28"/>
  <c r="I68" i="28"/>
  <c r="J68" i="28"/>
  <c r="K68" i="28"/>
  <c r="L68" i="28"/>
  <c r="M68" i="28"/>
  <c r="N68" i="28"/>
  <c r="O68" i="28"/>
  <c r="H69" i="28"/>
  <c r="I69" i="28"/>
  <c r="J69" i="28"/>
  <c r="K69" i="28"/>
  <c r="L69" i="28"/>
  <c r="M69" i="28"/>
  <c r="N69" i="28"/>
  <c r="O69" i="28"/>
  <c r="H70" i="28"/>
  <c r="I70" i="28"/>
  <c r="J70" i="28"/>
  <c r="K70" i="28"/>
  <c r="L70" i="28"/>
  <c r="M70" i="28"/>
  <c r="N70" i="28"/>
  <c r="O70" i="28"/>
  <c r="H71" i="28"/>
  <c r="I71" i="28"/>
  <c r="J71" i="28"/>
  <c r="K71" i="28"/>
  <c r="L71" i="28"/>
  <c r="M71" i="28"/>
  <c r="N71" i="28"/>
  <c r="O71" i="28"/>
  <c r="H72" i="28"/>
  <c r="I72" i="28"/>
  <c r="J72" i="28"/>
  <c r="K72" i="28"/>
  <c r="L72" i="28"/>
  <c r="M72" i="28"/>
  <c r="N72" i="28"/>
  <c r="O72" i="28"/>
  <c r="H12" i="24"/>
  <c r="I12" i="24"/>
  <c r="J12" i="24"/>
  <c r="K12" i="24"/>
  <c r="L12" i="24"/>
  <c r="M12" i="24"/>
  <c r="N12" i="24"/>
  <c r="O12" i="24"/>
  <c r="H13" i="24"/>
  <c r="I13" i="24"/>
  <c r="J13" i="24"/>
  <c r="K13" i="24"/>
  <c r="L13" i="24"/>
  <c r="M13" i="24"/>
  <c r="N13" i="24"/>
  <c r="O13" i="24"/>
  <c r="H14" i="24"/>
  <c r="I14" i="24"/>
  <c r="J14" i="24"/>
  <c r="K14" i="24"/>
  <c r="L14" i="24"/>
  <c r="M14" i="24"/>
  <c r="N14" i="24"/>
  <c r="O14" i="24"/>
  <c r="H15" i="24"/>
  <c r="I15" i="24"/>
  <c r="J15" i="24"/>
  <c r="K15" i="24"/>
  <c r="L15" i="24"/>
  <c r="M15" i="24"/>
  <c r="N15" i="24"/>
  <c r="O15" i="24"/>
  <c r="H78" i="27"/>
  <c r="I78" i="27"/>
  <c r="J78" i="27"/>
  <c r="K78" i="27"/>
  <c r="L78" i="27"/>
  <c r="M78" i="27"/>
  <c r="N78" i="27"/>
  <c r="O78" i="27"/>
  <c r="H81" i="27"/>
  <c r="I81" i="27"/>
  <c r="J81" i="27"/>
  <c r="K81" i="27"/>
  <c r="L81" i="27"/>
  <c r="M81" i="27"/>
  <c r="N81" i="27"/>
  <c r="O81" i="27"/>
  <c r="H82" i="27"/>
  <c r="I82" i="27"/>
  <c r="J82" i="27"/>
  <c r="K82" i="27"/>
  <c r="L82" i="27"/>
  <c r="M82" i="27"/>
  <c r="N82" i="27"/>
  <c r="O82" i="27"/>
  <c r="H88" i="27"/>
  <c r="I88" i="27"/>
  <c r="J88" i="27"/>
  <c r="K88" i="27"/>
  <c r="L88" i="27"/>
  <c r="M88" i="27"/>
  <c r="N88" i="27"/>
  <c r="O88" i="27"/>
  <c r="H89" i="27"/>
  <c r="I89" i="27"/>
  <c r="J89" i="27"/>
  <c r="K89" i="27"/>
  <c r="L89" i="27"/>
  <c r="M89" i="27"/>
  <c r="N89" i="27"/>
  <c r="O89" i="27"/>
  <c r="G90" i="27"/>
  <c r="G91" i="27"/>
  <c r="H96" i="27"/>
  <c r="I96" i="27"/>
  <c r="J96" i="27"/>
  <c r="K96" i="27"/>
  <c r="L96" i="27"/>
  <c r="M96" i="27"/>
  <c r="N96" i="27"/>
  <c r="O96" i="27"/>
  <c r="H97" i="27"/>
  <c r="I97" i="27"/>
  <c r="J97" i="27"/>
  <c r="K97" i="27"/>
  <c r="L97" i="27"/>
  <c r="M97" i="27"/>
  <c r="N97" i="27"/>
  <c r="O97" i="27"/>
  <c r="G98" i="27"/>
  <c r="G99" i="27"/>
  <c r="H102" i="27"/>
  <c r="I102" i="27"/>
  <c r="J102" i="27"/>
  <c r="K102" i="27"/>
  <c r="L102" i="27"/>
  <c r="M102" i="27"/>
  <c r="N102" i="27"/>
  <c r="O102" i="27"/>
  <c r="G103" i="27"/>
  <c r="G104" i="27"/>
  <c r="C109" i="27"/>
  <c r="D117" i="27"/>
  <c r="E117" i="27"/>
  <c r="F117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Financial Edge</author>
  </authors>
  <commentList>
    <comment ref="D22" authorId="0" shapeId="0" xr:uid="{5C7252DF-C897-48AF-B319-BF2854532C6B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Margin improvement run rate is a single cell to be controlled by data tables. It controls the input tab 3rd year improvements.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Financial Edge</author>
  </authors>
  <commentList>
    <comment ref="K8" authorId="0" shapeId="0" xr:uid="{0D58BE62-A247-449D-9EF6-2F0E417678E9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  <comment ref="J11" authorId="0" shapeId="0" xr:uid="{CDE7FC5E-286C-43F7-9BFC-C73FC6216E85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  <comment ref="J12" authorId="0" shapeId="0" xr:uid="{144E7629-61A0-421C-955D-E8E93707A975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  <comment ref="K18" authorId="0" shapeId="0" xr:uid="{59DA29ED-2E90-42CA-A2B6-FB3D691A8396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<sst xmlns="http://schemas.openxmlformats.org/spreadsheetml/2006/main" count="382" uniqueCount="231">
  <si>
    <t>Features</t>
  </si>
  <si>
    <t>◦</t>
  </si>
  <si>
    <t>Model Details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</si>
  <si>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</si>
  <si>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</si>
  <si>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</si>
  <si>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</si>
  <si>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</si>
  <si>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</si>
  <si>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</si>
  <si>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</si>
  <si>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</si>
  <si>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</si>
  <si>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Goodwill</t>
  </si>
  <si>
    <t>Depreciation</t>
  </si>
  <si>
    <t>Target</t>
  </si>
  <si>
    <t>Figures in MMs</t>
  </si>
  <si>
    <t>Hist.</t>
  </si>
  <si>
    <t>Proj.</t>
  </si>
  <si>
    <t>SG&amp;A % sales</t>
  </si>
  <si>
    <t>Effective tax rate</t>
  </si>
  <si>
    <t>Balance sheet assumptions</t>
  </si>
  <si>
    <t>Inventory days</t>
  </si>
  <si>
    <t>Receivable days</t>
  </si>
  <si>
    <t>Other current assets % of sales</t>
  </si>
  <si>
    <t>Capex % sales</t>
  </si>
  <si>
    <t>Payable days</t>
  </si>
  <si>
    <t>Net PP&amp;E</t>
  </si>
  <si>
    <t>Beginning</t>
  </si>
  <si>
    <t>Capex</t>
  </si>
  <si>
    <t xml:space="preserve"> Ending</t>
  </si>
  <si>
    <t>Equity</t>
  </si>
  <si>
    <t>Net income</t>
  </si>
  <si>
    <t>Operating working capital</t>
  </si>
  <si>
    <t xml:space="preserve"> OWC</t>
  </si>
  <si>
    <t>Beginning cash</t>
  </si>
  <si>
    <t>Net sales</t>
  </si>
  <si>
    <t>SG&amp;A</t>
  </si>
  <si>
    <t>Interest expense</t>
  </si>
  <si>
    <t>Income before tax</t>
  </si>
  <si>
    <t>Provision for income taxes</t>
  </si>
  <si>
    <t>Cash</t>
  </si>
  <si>
    <t>Accounts receivable</t>
  </si>
  <si>
    <t>Inventories</t>
  </si>
  <si>
    <t>Other current assets</t>
  </si>
  <si>
    <t xml:space="preserve"> Total current assets</t>
  </si>
  <si>
    <t>PP&amp;E</t>
  </si>
  <si>
    <t xml:space="preserve"> Total assets</t>
  </si>
  <si>
    <t>Revolver</t>
  </si>
  <si>
    <t>Accounts payable</t>
  </si>
  <si>
    <t xml:space="preserve"> Total current liabilities</t>
  </si>
  <si>
    <t xml:space="preserve"> Total liabilities</t>
  </si>
  <si>
    <t xml:space="preserve"> Total liabilities and equity</t>
  </si>
  <si>
    <t>Balance?</t>
  </si>
  <si>
    <t>(Inc) dec in other LT assets</t>
  </si>
  <si>
    <t>Inc (dec) in other LT liabilities</t>
  </si>
  <si>
    <t>(Inc) dec in OWC</t>
  </si>
  <si>
    <t xml:space="preserve"> Cash flow from operations</t>
  </si>
  <si>
    <t>(Capex)</t>
  </si>
  <si>
    <t xml:space="preserve"> Cash flow from investing activities</t>
  </si>
  <si>
    <t>Inc (dec) in revolver</t>
  </si>
  <si>
    <t xml:space="preserve"> Cash flow from financing activities</t>
  </si>
  <si>
    <t>Net cash flow</t>
  </si>
  <si>
    <t xml:space="preserve"> Ending cash</t>
  </si>
  <si>
    <t>© 2016 Financial Edge Training</t>
  </si>
  <si>
    <t>Other LT assets</t>
  </si>
  <si>
    <t>Debt</t>
  </si>
  <si>
    <t>Other LT liabilities</t>
  </si>
  <si>
    <t>Income statement assumptions</t>
  </si>
  <si>
    <t>Inc (dec) in LT debt</t>
  </si>
  <si>
    <t>Key assumptions</t>
  </si>
  <si>
    <t>Historic EBITDA</t>
  </si>
  <si>
    <t>Acquisition EV</t>
  </si>
  <si>
    <t>Fees % EV</t>
  </si>
  <si>
    <t>Exit year</t>
  </si>
  <si>
    <t>Net debt</t>
  </si>
  <si>
    <t>Acquisition equity value</t>
  </si>
  <si>
    <t>Refinanced net debt</t>
  </si>
  <si>
    <t>Fees</t>
  </si>
  <si>
    <t xml:space="preserve"> Total uses</t>
  </si>
  <si>
    <t>Common equity</t>
  </si>
  <si>
    <t xml:space="preserve"> Total sources</t>
  </si>
  <si>
    <t>Spread</t>
  </si>
  <si>
    <t>Rate</t>
  </si>
  <si>
    <t>Ownership</t>
  </si>
  <si>
    <t>Mezzanine</t>
  </si>
  <si>
    <t>Equity purchase price</t>
  </si>
  <si>
    <t>Net identifable assets</t>
  </si>
  <si>
    <t xml:space="preserve"> Goodwill</t>
  </si>
  <si>
    <t>Accounting</t>
  </si>
  <si>
    <t>Financing</t>
  </si>
  <si>
    <t>Combo</t>
  </si>
  <si>
    <t>Beginning cash balance</t>
  </si>
  <si>
    <t>Cash flow from operations</t>
  </si>
  <si>
    <t>Cash flow from investing</t>
  </si>
  <si>
    <t>Mandatory repayment</t>
  </si>
  <si>
    <t xml:space="preserve"> Cash flow for debt repayment</t>
  </si>
  <si>
    <t>Mandatory repayments</t>
  </si>
  <si>
    <t>Beginning balance</t>
  </si>
  <si>
    <t>Accelerated repayment</t>
  </si>
  <si>
    <t xml:space="preserve"> Ending balance</t>
  </si>
  <si>
    <t xml:space="preserve"> Cash flow for second lien acceleration</t>
  </si>
  <si>
    <t>Cash flow</t>
  </si>
  <si>
    <t>Preference shares</t>
  </si>
  <si>
    <t xml:space="preserve"> Cash flow for revolver</t>
  </si>
  <si>
    <t>Issuance (repayment)</t>
  </si>
  <si>
    <t>Cash flow for first lien acceleration</t>
  </si>
  <si>
    <t>Management</t>
  </si>
  <si>
    <t>Mandatory repayment assumptions</t>
  </si>
  <si>
    <t>Tax expense</t>
  </si>
  <si>
    <t>Credit ratios</t>
  </si>
  <si>
    <t>EBITDA</t>
  </si>
  <si>
    <t>EBITDA - capex</t>
  </si>
  <si>
    <t>Total debt</t>
  </si>
  <si>
    <t>Total debt / EBITDA</t>
  </si>
  <si>
    <t>Total debt / EBITDA - capex</t>
  </si>
  <si>
    <t>EBITDA / cash interest</t>
  </si>
  <si>
    <t>% of total debt repaid</t>
  </si>
  <si>
    <t>EBITDA - capex / cash interest</t>
  </si>
  <si>
    <t>Equity returns</t>
  </si>
  <si>
    <t>Year count</t>
  </si>
  <si>
    <t>% total</t>
  </si>
  <si>
    <t>% cash sweep</t>
  </si>
  <si>
    <t>Enterprise value</t>
  </si>
  <si>
    <t>+ Cash</t>
  </si>
  <si>
    <t>- Preference shares</t>
  </si>
  <si>
    <t xml:space="preserve"> = Equity value</t>
  </si>
  <si>
    <t xml:space="preserve">Other LT assets amount </t>
  </si>
  <si>
    <t>Other LT liabilities amount</t>
  </si>
  <si>
    <t>LBO Model</t>
  </si>
  <si>
    <t>Acquisition date</t>
  </si>
  <si>
    <t>Last target year end</t>
  </si>
  <si>
    <t>Consolidation</t>
  </si>
  <si>
    <t>SOFR</t>
  </si>
  <si>
    <t>Other current liabilities</t>
  </si>
  <si>
    <t>Other current lia % sales</t>
  </si>
  <si>
    <t>Other current lia</t>
  </si>
  <si>
    <t>PIK dividends</t>
  </si>
  <si>
    <t>Ending</t>
  </si>
  <si>
    <t>Total</t>
  </si>
  <si>
    <t>Financing package scenarios</t>
  </si>
  <si>
    <t>COS</t>
  </si>
  <si>
    <t>Gross profit</t>
  </si>
  <si>
    <t>Non-recurring expenses</t>
  </si>
  <si>
    <t>Operating profits</t>
  </si>
  <si>
    <t>Operating profit</t>
  </si>
  <si>
    <t>Share price</t>
  </si>
  <si>
    <t>Premium</t>
  </si>
  <si>
    <t>Acquisition share price</t>
  </si>
  <si>
    <t>Basic shares outstanding</t>
  </si>
  <si>
    <t>Dilution adjustment</t>
  </si>
  <si>
    <t>Diluted shares outstanding</t>
  </si>
  <si>
    <t>Instrument</t>
  </si>
  <si>
    <t>Price</t>
  </si>
  <si>
    <t>Dilution</t>
  </si>
  <si>
    <t>Financing package options</t>
  </si>
  <si>
    <t>Package 1</t>
  </si>
  <si>
    <t>Package 2</t>
  </si>
  <si>
    <t>Entry</t>
  </si>
  <si>
    <t>Exit</t>
  </si>
  <si>
    <t>PE institution</t>
  </si>
  <si>
    <t>Cost of sales % sales</t>
  </si>
  <si>
    <t>PIK interest</t>
  </si>
  <si>
    <t>Cash interest</t>
  </si>
  <si>
    <t xml:space="preserve">Mezzanine </t>
  </si>
  <si>
    <t xml:space="preserve">PE institution </t>
  </si>
  <si>
    <t>IRR</t>
  </si>
  <si>
    <t>Multiple of money</t>
  </si>
  <si>
    <t>Mezzanine debt</t>
  </si>
  <si>
    <t>- Total debt excl mezz</t>
  </si>
  <si>
    <t>-Mezzanine debt</t>
  </si>
  <si>
    <t>Exit mult</t>
  </si>
  <si>
    <t>Hologic LBO model</t>
  </si>
  <si>
    <t>Hologic</t>
  </si>
  <si>
    <t>Millions $</t>
  </si>
  <si>
    <t>Revolver committed amount</t>
  </si>
  <si>
    <t>Revolver commitment fee</t>
  </si>
  <si>
    <t>Subordinated debt</t>
  </si>
  <si>
    <t>Term loan B</t>
  </si>
  <si>
    <t>Mezzanine warrant exit %</t>
  </si>
  <si>
    <t>Hologic LBO</t>
  </si>
  <si>
    <t>Depreciation % of opening PP&amp;E</t>
  </si>
  <si>
    <t xml:space="preserve">Depn </t>
  </si>
  <si>
    <t>Margin improvement run rate</t>
  </si>
  <si>
    <t>EBITDA post cost improvements</t>
  </si>
  <si>
    <t>Revolver facility total commitment</t>
  </si>
  <si>
    <t>Drawn</t>
  </si>
  <si>
    <t>Undrawn</t>
  </si>
  <si>
    <t>Uses</t>
  </si>
  <si>
    <t>Sources</t>
  </si>
  <si>
    <t>Debt/LTM</t>
  </si>
  <si>
    <t>Margin improvement in 3rd yr</t>
  </si>
  <si>
    <t>Fund IRR sensitivity to exit multiple and margin improvement run-rate</t>
  </si>
  <si>
    <t>Margin improvements</t>
  </si>
  <si>
    <t>EBITDA post margin improvements</t>
  </si>
  <si>
    <t>Commitment fee</t>
  </si>
  <si>
    <t>Compliance check</t>
  </si>
  <si>
    <t>Total interest expense (incl fees)</t>
  </si>
  <si>
    <t>Selected case</t>
  </si>
  <si>
    <t>Base</t>
  </si>
  <si>
    <t>Base case sales growth</t>
  </si>
  <si>
    <t>Bank case sales growth</t>
  </si>
  <si>
    <t>Selected case sales growth</t>
  </si>
  <si>
    <t>Bank</t>
  </si>
  <si>
    <t>Base case margin improvement as a % of LTM sales</t>
  </si>
  <si>
    <t>Bank case margin improvement as a % of LTM sales</t>
  </si>
  <si>
    <t>Selected case margin improvement as a % of LTM sales</t>
  </si>
  <si>
    <t>Entry EV/historic EBITDA</t>
  </si>
  <si>
    <t>Exit EV/historic EBITDA</t>
  </si>
  <si>
    <t>Options</t>
  </si>
  <si>
    <t>RSUs</t>
  </si>
  <si>
    <t>Exit year flag</t>
  </si>
  <si>
    <t>Bank and base case assumptions</t>
  </si>
  <si>
    <t>Cash interest reduction</t>
  </si>
  <si>
    <t>Mezz cash int rate</t>
  </si>
  <si>
    <t>Mezzanine cash interest</t>
  </si>
  <si>
    <t>PIK interest switch</t>
  </si>
  <si>
    <t>Number</t>
  </si>
  <si>
    <t>Selected financing package</t>
  </si>
  <si>
    <t>fee/OID</t>
  </si>
  <si>
    <t>Term</t>
  </si>
  <si>
    <t>Fee/yr</t>
  </si>
  <si>
    <t>Amortising fees</t>
  </si>
  <si>
    <t>Opening</t>
  </si>
  <si>
    <t>Closing</t>
  </si>
  <si>
    <t>Fee</t>
  </si>
  <si>
    <t>Fees amortisation</t>
  </si>
  <si>
    <t>Total cash interest (incl cash fees)</t>
  </si>
  <si>
    <t>Fund</t>
  </si>
  <si>
    <t>Mezz</t>
  </si>
  <si>
    <t>Mgt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</si>
</sst>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#,##0.0_);\(#,##0.0\)"/>
    <numFmt numFmtId="176" formatCode="_ \ * #,##0.0_)_%;_ \ * \(#,##0.0\)_%;;_ \ * @_)_%"/>
    <numFmt numFmtId="177" formatCode="#,##0.0_)_%;\(#,##0.0\)_%;#,##0.0_)_%;@_)_%"/>
    <numFmt numFmtId="178" formatCode="0.00%_);\(0.00%\)"/>
    <numFmt numFmtId="179" formatCode="#,##0.00_);\(#,##0.00\);0.00_);@_)"/>
  </numFmts>
  <fonts count="53" x14ac:knownFonts="1">
    <font>
      <sz val="1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808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6"/>
      <color rgb="FF0F2FB5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66CC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">
    <xf numFmtId="174" fontId="0" fillId="0" borderId="0" applyFill="0" applyBorder="0" applyAlignment="0" applyProtection="0"/>
    <xf numFmtId="0" fontId="8" fillId="0" borderId="0" applyNumberFormat="0" applyFill="0" applyBorder="0" applyAlignment="0" applyProtection="0"/>
    <xf numFmtId="167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5" applyNumberFormat="0" applyAlignment="0" applyProtection="0"/>
    <xf numFmtId="0" fontId="20" fillId="10" borderId="6" applyNumberFormat="0" applyAlignment="0" applyProtection="0"/>
    <xf numFmtId="0" fontId="21" fillId="10" borderId="5" applyNumberFormat="0" applyAlignment="0" applyProtection="0"/>
    <xf numFmtId="0" fontId="22" fillId="0" borderId="7" applyNumberFormat="0" applyFill="0" applyAlignment="0" applyProtection="0"/>
    <xf numFmtId="0" fontId="23" fillId="11" borderId="8" applyNumberFormat="0" applyAlignment="0" applyProtection="0"/>
    <xf numFmtId="0" fontId="24" fillId="0" borderId="0" applyNumberFormat="0" applyFill="0" applyBorder="0" applyAlignment="0" applyProtection="0"/>
    <xf numFmtId="0" fontId="11" fillId="12" borderId="9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7" fillId="36" borderId="0" applyNumberFormat="0" applyBorder="0" applyAlignment="0" applyProtection="0"/>
    <xf numFmtId="0" fontId="34" fillId="2" borderId="0" applyNumberFormat="0">
      <alignment horizontal="left"/>
    </xf>
    <xf numFmtId="0" fontId="10" fillId="3" borderId="0" applyNumberFormat="0" applyAlignment="0">
      <alignment horizontal="left"/>
    </xf>
    <xf numFmtId="0" fontId="6" fillId="0" borderId="0" applyNumberFormat="0" applyFill="0" applyBorder="0">
      <alignment horizontal="left" vertical="center"/>
    </xf>
    <xf numFmtId="0" fontId="4" fillId="5" borderId="0" applyNumberFormat="0" applyFont="0" applyAlignment="0" applyProtection="0">
      <alignment vertical="top"/>
    </xf>
    <xf numFmtId="168" fontId="30" fillId="3" borderId="0">
      <alignment horizontal="center"/>
    </xf>
    <xf numFmtId="170" fontId="29" fillId="2" borderId="0">
      <alignment horizontal="center"/>
    </xf>
    <xf numFmtId="170" fontId="5" fillId="0" borderId="0">
      <alignment vertical="top"/>
    </xf>
    <xf numFmtId="168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31" fillId="2" borderId="0" applyFont="0" applyFill="0" applyBorder="0" applyAlignment="0" applyProtection="0"/>
    <xf numFmtId="170" fontId="32" fillId="2" borderId="0" applyNumberFormat="0" applyFill="0" applyBorder="0" applyAlignment="0" applyProtection="0"/>
    <xf numFmtId="170" fontId="33" fillId="0" borderId="0" applyNumberFormat="0" applyFill="0" applyBorder="0" applyAlignment="0">
      <alignment vertical="top"/>
    </xf>
    <xf numFmtId="173" fontId="31" fillId="2" borderId="0" applyFont="0" applyFill="0" applyBorder="0" applyAlignment="0" applyProtection="0"/>
    <xf numFmtId="171" fontId="32" fillId="37" borderId="11" applyNumberFormat="0">
      <protection locked="0"/>
    </xf>
    <xf numFmtId="0" fontId="4" fillId="5" borderId="12" applyFont="0" applyAlignment="0" applyProtection="0">
      <alignment vertical="top"/>
    </xf>
    <xf numFmtId="170" fontId="34" fillId="3" borderId="0" applyNumberFormat="0" applyBorder="0">
      <alignment horizontal="center" vertical="top"/>
    </xf>
    <xf numFmtId="170" fontId="5" fillId="38" borderId="0" applyNumberFormat="0" applyFont="0" applyBorder="0" applyAlignment="0" applyProtection="0">
      <alignment vertical="top"/>
    </xf>
    <xf numFmtId="175" fontId="32" fillId="0" borderId="0" applyNumberFormat="0" applyFill="0" applyBorder="0" applyAlignment="0" applyProtection="0"/>
    <xf numFmtId="15" fontId="37" fillId="0" borderId="0" applyFill="0" applyBorder="0" applyAlignment="0" applyProtection="0"/>
    <xf numFmtId="176" fontId="38" fillId="39" borderId="0" applyFill="0" applyBorder="0" applyAlignment="0" applyProtection="0">
      <alignment horizontal="center"/>
    </xf>
    <xf numFmtId="0" fontId="39" fillId="39" borderId="13" applyNumberFormat="0" applyBorder="0" applyAlignment="0" applyProtection="0">
      <alignment horizontal="center"/>
    </xf>
    <xf numFmtId="0" fontId="40" fillId="0" borderId="0" applyNumberFormat="0" applyFill="0" applyBorder="0" applyAlignment="0" applyProtection="0"/>
    <xf numFmtId="171" fontId="2" fillId="0" borderId="0" applyFont="0" applyFill="0" applyBorder="0" applyAlignment="0" applyProtection="0"/>
    <xf numFmtId="177" fontId="41" fillId="0" borderId="0" applyFont="0" applyFill="0" applyBorder="0" applyAlignment="0" applyProtection="0">
      <alignment horizontal="right"/>
    </xf>
    <xf numFmtId="172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77" fontId="43" fillId="0" borderId="14" applyNumberFormat="0" applyFill="0" applyAlignment="0">
      <alignment horizontal="right"/>
    </xf>
    <xf numFmtId="175" fontId="1" fillId="0" borderId="0" applyFont="0" applyFill="0" applyBorder="0" applyAlignment="0" applyProtection="0"/>
    <xf numFmtId="15" fontId="1" fillId="0" borderId="0" applyFont="0" applyFill="0" applyBorder="0" applyAlignment="0" applyProtection="0"/>
    <xf numFmtId="175" fontId="44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4" fontId="46" fillId="0" borderId="0"/>
    <xf numFmtId="0" fontId="47" fillId="0" borderId="0" applyFill="0" applyBorder="0" applyAlignment="0" applyProtection="0"/>
    <xf numFmtId="0" fontId="48" fillId="4" borderId="0" applyNumberFormat="0" applyFill="0" applyBorder="0" applyAlignment="0" applyProtection="0">
      <alignment horizontal="right"/>
    </xf>
  </cellStyleXfs>
  <cellXfs count="103">
    <xf numFmtId="174" fontId="0" fillId="0" borderId="0" xfId="0"/>
    <xf numFmtId="174" fontId="4" fillId="5" borderId="0" xfId="0" applyFont="1" applyFill="1" applyBorder="1"/>
    <xf numFmtId="174" fontId="4" fillId="4" borderId="0" xfId="0" applyFont="1" applyFill="1" applyBorder="1"/>
    <xf numFmtId="174" fontId="4" fillId="5" borderId="0" xfId="0" applyFont="1" applyFill="1" applyBorder="1" applyAlignment="1">
      <alignment vertical="top" wrapText="1"/>
    </xf>
    <xf numFmtId="174" fontId="4" fillId="5" borderId="1" xfId="0" applyFont="1" applyFill="1" applyBorder="1" applyAlignment="1">
      <alignment vertical="top"/>
    </xf>
    <xf numFmtId="170" fontId="34" fillId="2" borderId="0" xfId="48" applyNumberFormat="1">
      <alignment horizontal="left"/>
    </xf>
    <xf numFmtId="174" fontId="27" fillId="2" borderId="0" xfId="0" applyFont="1" applyFill="1" applyBorder="1" applyAlignment="1"/>
    <xf numFmtId="174" fontId="28" fillId="3" borderId="0" xfId="0" applyFont="1" applyFill="1" applyBorder="1" applyAlignment="1"/>
    <xf numFmtId="174" fontId="5" fillId="5" borderId="0" xfId="0" applyFont="1" applyFill="1" applyBorder="1" applyAlignment="1">
      <alignment horizontal="center" vertical="top"/>
    </xf>
    <xf numFmtId="174" fontId="5" fillId="5" borderId="0" xfId="0" applyFont="1" applyFill="1" applyBorder="1" applyAlignment="1">
      <alignment vertical="top"/>
    </xf>
    <xf numFmtId="174" fontId="27" fillId="2" borderId="0" xfId="0" applyFont="1" applyFill="1" applyBorder="1" applyAlignment="1">
      <alignment vertical="center"/>
    </xf>
    <xf numFmtId="168" fontId="30" fillId="3" borderId="0" xfId="52">
      <alignment horizontal="center"/>
    </xf>
    <xf numFmtId="170" fontId="29" fillId="2" borderId="0" xfId="53">
      <alignment horizontal="center"/>
    </xf>
    <xf numFmtId="170" fontId="34" fillId="2" borderId="0" xfId="48" applyNumberFormat="1" applyAlignment="1"/>
    <xf numFmtId="170" fontId="10" fillId="3" borderId="0" xfId="49" applyNumberFormat="1" applyAlignment="1"/>
    <xf numFmtId="174" fontId="4" fillId="5" borderId="0" xfId="0" applyFont="1" applyFill="1" applyBorder="1" applyAlignment="1">
      <alignment horizontal="left" vertical="top"/>
    </xf>
    <xf numFmtId="174" fontId="4" fillId="5" borderId="0" xfId="0" applyFont="1" applyFill="1" applyBorder="1" applyAlignment="1">
      <alignment vertical="top"/>
    </xf>
    <xf numFmtId="174" fontId="4" fillId="0" borderId="0" xfId="0" applyFont="1" applyFill="1" applyBorder="1" applyAlignment="1">
      <alignment vertical="top" wrapText="1"/>
    </xf>
    <xf numFmtId="174" fontId="5" fillId="0" borderId="0" xfId="0" applyFont="1" applyFill="1" applyBorder="1" applyAlignment="1">
      <alignment vertical="top"/>
    </xf>
    <xf numFmtId="174" fontId="4" fillId="0" borderId="0" xfId="0" applyFont="1" applyFill="1" applyBorder="1" applyAlignment="1">
      <alignment horizontal="left" wrapText="1"/>
    </xf>
    <xf numFmtId="174" fontId="4" fillId="0" borderId="0" xfId="0" applyFont="1" applyFill="1" applyBorder="1" applyAlignment="1">
      <alignment vertical="top"/>
    </xf>
    <xf numFmtId="174" fontId="4" fillId="0" borderId="0" xfId="0" applyFont="1" applyFill="1" applyBorder="1"/>
    <xf numFmtId="174" fontId="6" fillId="0" borderId="0" xfId="0" applyFont="1" applyFill="1" applyBorder="1" applyAlignment="1">
      <alignment vertical="center"/>
    </xf>
    <xf numFmtId="174" fontId="7" fillId="0" borderId="0" xfId="0" applyFont="1" applyFill="1" applyBorder="1" applyAlignment="1">
      <alignment vertical="center" wrapText="1"/>
    </xf>
    <xf numFmtId="174" fontId="4" fillId="0" borderId="0" xfId="0" applyFont="1" applyFill="1" applyBorder="1" applyAlignment="1">
      <alignment horizontal="left" vertical="top"/>
    </xf>
    <xf numFmtId="174" fontId="5" fillId="0" borderId="0" xfId="0" applyFont="1" applyFill="1" applyBorder="1" applyAlignment="1">
      <alignment horizontal="center" vertical="top"/>
    </xf>
    <xf numFmtId="174" fontId="9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left"/>
    </xf>
    <xf numFmtId="174" fontId="4" fillId="0" borderId="0" xfId="0" applyFont="1" applyFill="1" applyBorder="1" applyAlignment="1">
      <alignment horizontal="left"/>
    </xf>
    <xf numFmtId="169" fontId="4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0" fillId="0" borderId="0" xfId="0" applyFill="1" applyBorder="1"/>
    <xf numFmtId="174" fontId="27" fillId="0" borderId="0" xfId="0" applyFont="1" applyFill="1" applyBorder="1" applyAlignment="1"/>
    <xf numFmtId="174" fontId="28" fillId="0" borderId="0" xfId="0" applyFont="1" applyFill="1" applyBorder="1" applyAlignment="1"/>
    <xf numFmtId="170" fontId="32" fillId="0" borderId="0" xfId="58" applyFill="1" applyBorder="1" applyAlignment="1">
      <alignment vertical="top"/>
    </xf>
    <xf numFmtId="170" fontId="4" fillId="5" borderId="0" xfId="51" applyNumberFormat="1" applyFont="1" applyAlignment="1">
      <alignment horizontal="left" vertical="top"/>
    </xf>
    <xf numFmtId="170" fontId="5" fillId="5" borderId="0" xfId="51" applyNumberFormat="1" applyFont="1" applyAlignment="1">
      <alignment horizontal="center" vertical="top"/>
    </xf>
    <xf numFmtId="170" fontId="4" fillId="5" borderId="0" xfId="51" applyNumberFormat="1" applyFont="1" applyAlignment="1"/>
    <xf numFmtId="170" fontId="7" fillId="5" borderId="0" xfId="51" applyNumberFormat="1" applyFont="1" applyAlignment="1">
      <alignment vertical="center" wrapText="1"/>
    </xf>
    <xf numFmtId="170" fontId="4" fillId="5" borderId="0" xfId="51" applyNumberFormat="1" applyFont="1" applyAlignment="1">
      <alignment vertical="top"/>
    </xf>
    <xf numFmtId="0" fontId="4" fillId="5" borderId="12" xfId="62" applyFont="1" applyAlignment="1">
      <alignment vertical="top"/>
    </xf>
    <xf numFmtId="0" fontId="5" fillId="5" borderId="12" xfId="62" applyFont="1" applyAlignment="1">
      <alignment horizontal="center" vertical="top"/>
    </xf>
    <xf numFmtId="0" fontId="4" fillId="5" borderId="12" xfId="62" applyFont="1" applyAlignment="1"/>
    <xf numFmtId="0" fontId="7" fillId="5" borderId="12" xfId="62" applyFont="1" applyAlignment="1">
      <alignment vertical="center" wrapText="1"/>
    </xf>
    <xf numFmtId="170" fontId="9" fillId="5" borderId="0" xfId="51" applyNumberFormat="1" applyFont="1" applyAlignment="1">
      <alignment vertical="center" wrapText="1"/>
    </xf>
    <xf numFmtId="0" fontId="5" fillId="5" borderId="12" xfId="62" applyFont="1" applyAlignment="1"/>
    <xf numFmtId="0" fontId="4" fillId="5" borderId="12" xfId="62" applyFont="1" applyAlignment="1">
      <alignment horizontal="left"/>
    </xf>
    <xf numFmtId="0" fontId="9" fillId="5" borderId="12" xfId="62" applyFont="1" applyAlignment="1">
      <alignment horizontal="center" vertical="center" wrapText="1"/>
    </xf>
    <xf numFmtId="0" fontId="9" fillId="5" borderId="12" xfId="62" applyFont="1" applyAlignment="1">
      <alignment vertical="center" wrapText="1"/>
    </xf>
    <xf numFmtId="170" fontId="32" fillId="37" borderId="11" xfId="61" applyNumberFormat="1">
      <protection locked="0"/>
    </xf>
    <xf numFmtId="170" fontId="4" fillId="0" borderId="0" xfId="51" applyNumberFormat="1" applyFont="1" applyFill="1" applyAlignment="1"/>
    <xf numFmtId="0" fontId="4" fillId="0" borderId="0" xfId="62" applyFont="1" applyFill="1" applyBorder="1" applyAlignment="1"/>
    <xf numFmtId="174" fontId="0" fillId="5" borderId="0" xfId="51" applyNumberFormat="1" applyFont="1" applyAlignment="1"/>
    <xf numFmtId="174" fontId="4" fillId="5" borderId="0" xfId="51" applyNumberFormat="1" applyFont="1" applyAlignment="1">
      <alignment vertical="top"/>
    </xf>
    <xf numFmtId="0" fontId="0" fillId="5" borderId="12" xfId="62" applyFont="1" applyAlignment="1"/>
    <xf numFmtId="174" fontId="6" fillId="5" borderId="0" xfId="51" applyNumberFormat="1" applyFont="1" applyAlignment="1">
      <alignment vertical="center"/>
    </xf>
    <xf numFmtId="0" fontId="5" fillId="5" borderId="12" xfId="62" applyFont="1" applyAlignment="1">
      <alignment horizontal="left" vertical="top"/>
    </xf>
    <xf numFmtId="170" fontId="4" fillId="5" borderId="0" xfId="51" applyNumberFormat="1" applyFont="1" applyAlignment="1">
      <alignment horizontal="left"/>
    </xf>
    <xf numFmtId="172" fontId="0" fillId="0" borderId="0" xfId="57" applyFont="1" applyFill="1"/>
    <xf numFmtId="174" fontId="32" fillId="0" borderId="0" xfId="65" applyNumberFormat="1"/>
    <xf numFmtId="174" fontId="45" fillId="0" borderId="0" xfId="0" applyFont="1"/>
    <xf numFmtId="172" fontId="32" fillId="0" borderId="0" xfId="57" applyFont="1" applyFill="1"/>
    <xf numFmtId="172" fontId="0" fillId="0" borderId="0" xfId="72" applyFont="1"/>
    <xf numFmtId="174" fontId="0" fillId="0" borderId="0" xfId="0" applyAlignment="1">
      <alignment horizontal="right"/>
    </xf>
    <xf numFmtId="171" fontId="0" fillId="0" borderId="0" xfId="56" applyFont="1"/>
    <xf numFmtId="171" fontId="32" fillId="37" borderId="11" xfId="61">
      <protection locked="0"/>
    </xf>
    <xf numFmtId="174" fontId="32" fillId="37" borderId="11" xfId="61" applyNumberFormat="1">
      <protection locked="0"/>
    </xf>
    <xf numFmtId="172" fontId="32" fillId="37" borderId="11" xfId="72" applyFont="1" applyFill="1" applyBorder="1" applyProtection="1">
      <protection locked="0"/>
    </xf>
    <xf numFmtId="178" fontId="32" fillId="37" borderId="11" xfId="72" applyNumberFormat="1" applyFont="1" applyFill="1" applyBorder="1" applyProtection="1">
      <protection locked="0"/>
    </xf>
    <xf numFmtId="178" fontId="0" fillId="0" borderId="0" xfId="72" applyNumberFormat="1" applyFont="1"/>
    <xf numFmtId="172" fontId="32" fillId="37" borderId="11" xfId="57" applyFont="1" applyFill="1" applyBorder="1" applyProtection="1">
      <protection locked="0"/>
    </xf>
    <xf numFmtId="0" fontId="32" fillId="0" borderId="0" xfId="65" applyNumberFormat="1"/>
    <xf numFmtId="0" fontId="0" fillId="0" borderId="0" xfId="0" applyNumberFormat="1"/>
    <xf numFmtId="174" fontId="0" fillId="0" borderId="0" xfId="0" quotePrefix="1"/>
    <xf numFmtId="174" fontId="49" fillId="4" borderId="0" xfId="0" applyFont="1" applyFill="1" applyBorder="1"/>
    <xf numFmtId="174" fontId="32" fillId="0" borderId="0" xfId="58" applyNumberFormat="1" applyFill="1"/>
    <xf numFmtId="174" fontId="49" fillId="0" borderId="0" xfId="0" applyFont="1"/>
    <xf numFmtId="172" fontId="32" fillId="37" borderId="11" xfId="61" applyNumberFormat="1">
      <protection locked="0"/>
    </xf>
    <xf numFmtId="178" fontId="32" fillId="37" borderId="11" xfId="61" applyNumberFormat="1">
      <protection locked="0"/>
    </xf>
    <xf numFmtId="172" fontId="32" fillId="0" borderId="0" xfId="58" applyNumberFormat="1" applyFill="1"/>
    <xf numFmtId="174" fontId="50" fillId="0" borderId="0" xfId="0" applyFont="1"/>
    <xf numFmtId="171" fontId="0" fillId="0" borderId="0" xfId="70" applyFont="1"/>
    <xf numFmtId="171" fontId="0" fillId="0" borderId="0" xfId="70" applyFont="1" applyFill="1"/>
    <xf numFmtId="171" fontId="29" fillId="2" borderId="0" xfId="70" applyFont="1" applyFill="1" applyAlignment="1">
      <alignment horizontal="center"/>
    </xf>
    <xf numFmtId="172" fontId="29" fillId="2" borderId="0" xfId="57" applyFont="1" applyAlignment="1">
      <alignment horizontal="center"/>
    </xf>
    <xf numFmtId="179" fontId="0" fillId="0" borderId="0" xfId="0" applyNumberFormat="1"/>
    <xf numFmtId="172" fontId="49" fillId="0" borderId="0" xfId="57" applyFont="1" applyFill="1"/>
    <xf numFmtId="174" fontId="32" fillId="0" borderId="0" xfId="65" applyNumberFormat="1" applyFill="1"/>
    <xf numFmtId="174" fontId="51" fillId="0" borderId="0" xfId="0" applyFont="1"/>
    <xf numFmtId="174" fontId="52" fillId="0" borderId="0" xfId="0" applyFont="1"/>
    <xf numFmtId="170" fontId="34" fillId="2" borderId="0" xfId="48" applyNumberFormat="1" applyAlignment="1">
      <alignment horizontal="center"/>
    </xf>
    <xf numFmtId="174" fontId="7" fillId="0" borderId="0" xfId="0" applyFont="1" applyFill="1" applyBorder="1" applyAlignment="1">
      <alignment horizontal="center" vertical="center" wrapText="1"/>
    </xf>
    <xf numFmtId="170" fontId="4" fillId="5" borderId="0" xfId="51" applyNumberFormat="1" applyFont="1" applyAlignment="1">
      <alignment horizontal="left" vertical="top"/>
    </xf>
    <xf numFmtId="170" fontId="34" fillId="3" borderId="0" xfId="49" applyNumberFormat="1" applyFont="1" applyAlignment="1">
      <alignment horizontal="center" vertical="center"/>
    </xf>
    <xf numFmtId="170" fontId="33" fillId="5" borderId="0" xfId="59" applyNumberFormat="1" applyFill="1" applyBorder="1" applyAlignment="1">
      <alignment horizontal="center" vertical="center" wrapText="1"/>
    </xf>
    <xf numFmtId="174" fontId="9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0" fontId="4" fillId="5" borderId="0" xfId="51" applyNumberFormat="1" applyFont="1" applyAlignment="1">
      <alignment horizontal="left"/>
    </xf>
    <xf numFmtId="168" fontId="4" fillId="5" borderId="0" xfId="51" applyNumberFormat="1" applyFont="1" applyAlignment="1">
      <alignment horizontal="left"/>
    </xf>
    <xf numFmtId="0" fontId="4" fillId="5" borderId="0" xfId="51" applyNumberFormat="1" applyFont="1" applyAlignment="1">
      <alignment horizontal="left"/>
    </xf>
    <xf numFmtId="174" fontId="6" fillId="5" borderId="0" xfId="0" applyFont="1" applyFill="1" applyBorder="1" applyAlignment="1">
      <alignment horizontal="left" vertical="center"/>
    </xf>
    <xf numFmtId="174" fontId="6" fillId="5" borderId="0" xfId="50" applyNumberFormat="1" applyFill="1">
      <alignment horizontal="left" vertical="center"/>
    </xf>
    <xf numFmtId="174" fontId="0" fillId="40" borderId="0" xfId="0" applyFill="1"/>
  </cellXfs>
  <cellStyles count="82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" xfId="65" xr:uid="{00000000-0005-0000-0000-000018000000}"/>
    <cellStyle name="b 2" xfId="77" xr:uid="{00000000-0005-0000-0000-000019000000}"/>
    <cellStyle name="Background Fill" xfId="51" xr:uid="{00000000-0005-0000-0000-00001A000000}"/>
    <cellStyle name="Bad" xfId="13" builtinId="27" hidden="1"/>
    <cellStyle name="BG Border" xfId="62" xr:uid="{00000000-0005-0000-0000-00001C000000}"/>
    <cellStyle name="Blank" xfId="60" xr:uid="{00000000-0005-0000-0000-00001D000000}"/>
    <cellStyle name="Calculation" xfId="17" builtinId="22" hidden="1"/>
    <cellStyle name="CapIQ_date" xfId="66" xr:uid="{00000000-0005-0000-0000-00001F000000}"/>
    <cellStyle name="Check Cell" xfId="19" builtinId="23" hidden="1"/>
    <cellStyle name="Column_header" xfId="67" xr:uid="{00000000-0005-0000-0000-000021000000}"/>
    <cellStyle name="Comma" xfId="2" builtinId="3" hidden="1"/>
    <cellStyle name="Comma [0]" xfId="3" builtinId="6" hidden="1"/>
    <cellStyle name="Cover Title" xfId="63" xr:uid="{00000000-0005-0000-0000-000024000000}"/>
    <cellStyle name="Currency" xfId="4" builtinId="4" hidden="1"/>
    <cellStyle name="Currency [0]" xfId="5" builtinId="7" hidden="1"/>
    <cellStyle name="d" xfId="76" xr:uid="{00000000-0005-0000-0000-000027000000}"/>
    <cellStyle name="DataOutput" xfId="81" xr:uid="{00000000-0005-0000-0000-000028000000}"/>
    <cellStyle name="Date" xfId="55" xr:uid="{00000000-0005-0000-0000-000029000000}"/>
    <cellStyle name="Date Heading" xfId="52" xr:uid="{00000000-0005-0000-0000-00002A000000}"/>
    <cellStyle name="Explanatory Text" xfId="22" builtinId="53" hidden="1"/>
    <cellStyle name="Good" xfId="12" builtinId="26" hidden="1"/>
    <cellStyle name="Hard Coded Number" xfId="58" xr:uid="{00000000-0005-0000-0000-00002D000000}"/>
    <cellStyle name="Heading" xfId="68" xr:uid="{00000000-0005-0000-0000-00002E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33000000}"/>
    <cellStyle name="Hist Proj Title" xfId="53" xr:uid="{00000000-0005-0000-0000-000034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ain_heading" xfId="69" xr:uid="{00000000-0005-0000-0000-000039000000}"/>
    <cellStyle name="Multiple" xfId="56" xr:uid="{00000000-0005-0000-0000-00003A000000}"/>
    <cellStyle name="Multiple 2" xfId="70" xr:uid="{00000000-0005-0000-0000-00003B000000}"/>
    <cellStyle name="Neutral" xfId="14" builtinId="28" hidden="1"/>
    <cellStyle name="Normal" xfId="0" builtinId="0" customBuiltin="1"/>
    <cellStyle name="Normal 2" xfId="75" xr:uid="{00000000-0005-0000-0000-00003E000000}"/>
    <cellStyle name="Normal 3" xfId="79" xr:uid="{00000000-0005-0000-0000-00003F000000}"/>
    <cellStyle name="Normal 4" xfId="80" xr:uid="{00000000-0005-0000-0000-000040000000}"/>
    <cellStyle name="Note" xfId="21" builtinId="10" hidden="1"/>
    <cellStyle name="Notes and Comments" xfId="59" xr:uid="{00000000-0005-0000-0000-000042000000}"/>
    <cellStyle name="Number_1dp" xfId="71" xr:uid="{00000000-0005-0000-0000-000043000000}"/>
    <cellStyle name="Output" xfId="16" builtinId="21" hidden="1"/>
    <cellStyle name="P" xfId="72" xr:uid="{00000000-0005-0000-0000-000045000000}"/>
    <cellStyle name="p 2" xfId="78" xr:uid="{00000000-0005-0000-0000-000046000000}"/>
    <cellStyle name="Percent" xfId="6" builtinId="5" hidden="1"/>
    <cellStyle name="Percent" xfId="57" builtinId="5" customBuiltin="1"/>
    <cellStyle name="Primary Title" xfId="48" xr:uid="{00000000-0005-0000-0000-000049000000}"/>
    <cellStyle name="Row Label" xfId="54" xr:uid="{00000000-0005-0000-0000-00004A000000}"/>
    <cellStyle name="Secondary Title" xfId="49" xr:uid="{00000000-0005-0000-0000-00004B000000}"/>
    <cellStyle name="Section_heading" xfId="73" xr:uid="{00000000-0005-0000-0000-00004C000000}"/>
    <cellStyle name="Switch" xfId="74" xr:uid="{00000000-0005-0000-0000-00004D000000}"/>
    <cellStyle name="Tertiary Title" xfId="50" xr:uid="{00000000-0005-0000-0000-00004E000000}"/>
    <cellStyle name="Title" xfId="7" builtinId="15" hidden="1"/>
    <cellStyle name="Total" xfId="23" builtinId="25" hidden="1"/>
    <cellStyle name="Warning Text" xfId="20" builtinId="11" hidden="1"/>
  </cellStyles>
  <dxfs count="1">
    <dxf>
      <font>
        <color theme="0"/>
      </font>
      <fill>
        <patternFill>
          <bgColor rgb="FF002060"/>
        </patternFill>
      </fill>
    </dxf>
  </dxfs>
  <tableStyles count="0" defaultTableStyle="TableStyleMedium2" defaultPivotStyle="PivotStyleLight16"/>
  <colors>
    <mruColors>
      <color rgb="FFE2F1FE"/>
      <color rgb="FFF0F8FE"/>
      <color rgb="FF163260"/>
      <color rgb="FF085393"/>
      <color rgb="FFBBDEFB"/>
      <color rgb="FF0000FF"/>
      <color rgb="FFEBF1FB"/>
      <color rgb="FFD3E0F5"/>
      <color rgb="FFC9D9F3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FE Training">
  <a:themeElements>
    <a:clrScheme name="Financial Edge">
      <a:dk1>
        <a:srgbClr val="3F3F3F"/>
      </a:dk1>
      <a:lt1>
        <a:sysClr val="window" lastClr="FFFFFF"/>
      </a:lt1>
      <a:dk2>
        <a:srgbClr val="163260"/>
      </a:dk2>
      <a:lt2>
        <a:srgbClr val="F2F2F2"/>
      </a:lt2>
      <a:accent1>
        <a:srgbClr val="085393"/>
      </a:accent1>
      <a:accent2>
        <a:srgbClr val="8064A2"/>
      </a:accent2>
      <a:accent3>
        <a:srgbClr val="C0504D"/>
      </a:accent3>
      <a:accent4>
        <a:srgbClr val="ED7D31"/>
      </a:accent4>
      <a:accent5>
        <a:srgbClr val="FFC000"/>
      </a:accent5>
      <a:accent6>
        <a:srgbClr val="70AD47"/>
      </a:accent6>
      <a:hlink>
        <a:srgbClr val="085393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workbookViewId="0">
      <selection sqref="A1:N1"/>
    </sheetView>
  </sheetViews>
  <sheetFormatPr defaultColWidth="9.140625" defaultRowHeight="15" x14ac:dyDescent="0.25"/>
  <cols>
    <col min="1" max="1" width="9.85546875" style="30" customWidth="1"/>
    <col min="2" max="13" width="9.140625" style="30" customWidth="1"/>
    <col min="14" max="14" width="9.85546875" style="30" customWidth="1"/>
    <col min="15" max="26" width="9.140625" style="30" customWidth="1"/>
    <col min="27" max="16384" width="9.140625" style="30"/>
  </cols>
  <sheetData>
    <row r="1" spans="1:14" s="32" customFormat="1" ht="189.75" customHeight="1" x14ac:dyDescent="0.4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s="20" customFormat="1" ht="75" customHeight="1" x14ac:dyDescent="0.25">
      <c r="A2" s="93" t="s">
        <v>172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s="21" customFormat="1" ht="7.5" customHeight="1" x14ac:dyDescent="0.25">
      <c r="B3" s="22"/>
      <c r="C3" s="22"/>
      <c r="F3" s="23"/>
      <c r="G3" s="23"/>
      <c r="H3" s="23"/>
      <c r="I3" s="23"/>
      <c r="J3" s="23"/>
      <c r="K3" s="23"/>
    </row>
    <row r="4" spans="1:14" s="21" customFormat="1" ht="15" customHeight="1" x14ac:dyDescent="0.25">
      <c r="A4" s="35"/>
      <c r="B4" s="36"/>
      <c r="C4" s="92"/>
      <c r="D4" s="92"/>
      <c r="E4" s="37"/>
      <c r="F4" s="38"/>
      <c r="G4" s="38"/>
      <c r="H4" s="38"/>
      <c r="I4" s="38"/>
      <c r="J4" s="38"/>
      <c r="K4" s="38"/>
      <c r="L4" s="37"/>
      <c r="M4" s="37"/>
      <c r="N4" s="37"/>
    </row>
    <row r="5" spans="1:14" s="21" customFormat="1" ht="15" customHeight="1" x14ac:dyDescent="0.25">
      <c r="A5" s="94" t="s">
        <v>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s="21" customFormat="1" ht="15" customHeight="1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4" s="21" customFormat="1" ht="15" customHeight="1" x14ac:dyDescent="0.25">
      <c r="A7" s="94" t="s">
        <v>64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4" s="21" customFormat="1" ht="15" customHeight="1" thickBot="1" x14ac:dyDescent="0.3">
      <c r="A8" s="40"/>
      <c r="B8" s="41"/>
      <c r="C8" s="40"/>
      <c r="D8" s="40"/>
      <c r="E8" s="42"/>
      <c r="F8" s="43"/>
      <c r="G8" s="43"/>
      <c r="H8" s="43"/>
      <c r="I8" s="43"/>
      <c r="J8" s="43"/>
      <c r="K8" s="43"/>
      <c r="L8" s="42"/>
      <c r="M8" s="42"/>
      <c r="N8" s="42"/>
    </row>
    <row r="9" spans="1:14" s="21" customFormat="1" ht="15" customHeight="1" x14ac:dyDescent="0.25">
      <c r="F9" s="26"/>
      <c r="G9" s="95"/>
      <c r="H9" s="95"/>
      <c r="I9" s="95"/>
      <c r="J9" s="95"/>
      <c r="K9" s="26"/>
    </row>
    <row r="10" spans="1:14" s="21" customFormat="1" ht="15" customHeight="1" x14ac:dyDescent="0.25">
      <c r="B10" s="22"/>
      <c r="C10" s="22"/>
      <c r="F10" s="26"/>
      <c r="G10" s="95"/>
      <c r="H10" s="95"/>
      <c r="I10" s="95"/>
      <c r="J10" s="95"/>
      <c r="K10" s="26"/>
    </row>
    <row r="11" spans="1:14" s="21" customFormat="1" ht="15" customHeight="1" x14ac:dyDescent="0.25">
      <c r="B11" s="18"/>
      <c r="C11" s="18"/>
      <c r="D11" s="19"/>
      <c r="F11" s="23"/>
      <c r="G11" s="23"/>
      <c r="H11" s="23"/>
      <c r="I11" s="23"/>
      <c r="J11" s="23"/>
      <c r="K11" s="23"/>
    </row>
    <row r="12" spans="1:14" s="21" customFormat="1" ht="15" customHeight="1" x14ac:dyDescent="0.25">
      <c r="A12" s="24"/>
      <c r="B12" s="18"/>
      <c r="C12" s="18"/>
      <c r="D12" s="27"/>
      <c r="F12" s="23"/>
      <c r="G12" s="91"/>
      <c r="H12" s="91"/>
      <c r="I12" s="91"/>
      <c r="J12" s="91"/>
      <c r="K12" s="23"/>
    </row>
    <row r="13" spans="1:14" s="21" customFormat="1" ht="15" customHeight="1" x14ac:dyDescent="0.25">
      <c r="A13" s="17"/>
      <c r="B13" s="18"/>
      <c r="C13" s="18"/>
      <c r="D13" s="28"/>
      <c r="F13" s="23"/>
      <c r="G13" s="91"/>
      <c r="H13" s="91"/>
      <c r="I13" s="91"/>
      <c r="J13" s="91"/>
      <c r="K13" s="23"/>
    </row>
    <row r="14" spans="1:14" s="21" customFormat="1" ht="15" customHeight="1" x14ac:dyDescent="0.25">
      <c r="A14" s="20"/>
      <c r="B14" s="18"/>
      <c r="C14" s="18"/>
      <c r="D14" s="28"/>
      <c r="F14" s="23"/>
      <c r="G14" s="91"/>
      <c r="H14" s="91"/>
      <c r="I14" s="91"/>
      <c r="J14" s="91"/>
      <c r="K14" s="23"/>
    </row>
    <row r="15" spans="1:14" s="21" customFormat="1" ht="15" customHeight="1" x14ac:dyDescent="0.25">
      <c r="A15" s="20"/>
      <c r="B15" s="18"/>
      <c r="C15" s="18"/>
      <c r="D15" s="28"/>
      <c r="F15" s="23"/>
      <c r="G15" s="23"/>
      <c r="H15" s="23"/>
      <c r="I15" s="23"/>
      <c r="J15" s="23"/>
      <c r="K15" s="23"/>
    </row>
    <row r="16" spans="1:14" s="21" customFormat="1" ht="15" customHeight="1" x14ac:dyDescent="0.25">
      <c r="A16" s="20"/>
      <c r="B16" s="18"/>
      <c r="C16" s="18"/>
      <c r="D16" s="29"/>
      <c r="F16" s="23"/>
      <c r="G16" s="91"/>
      <c r="H16" s="91"/>
      <c r="I16" s="91"/>
      <c r="J16" s="91"/>
      <c r="K16" s="23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showGridLines="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140625" customWidth="1"/>
    <col min="4" max="4" width="2.85546875" customWidth="1"/>
    <col min="5" max="7" width="1.42578125" customWidth="1"/>
    <col min="8" max="8" width="2.85546875" customWidth="1"/>
    <col min="9" max="9" width="42.85546875" customWidth="1"/>
    <col min="10" max="11" width="1.42578125" customWidth="1"/>
    <col min="12" max="12" width="31.42578125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85546875" bestFit="1" customWidth="1"/>
  </cols>
  <sheetData>
    <row r="1" spans="1:19" s="32" customFormat="1" ht="45" customHeight="1" x14ac:dyDescent="0.45">
      <c r="A1" s="13" t="s">
        <v>180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9" s="33" customFormat="1" ht="30" customHeight="1" x14ac:dyDescent="0.35">
      <c r="A2" s="14" t="str" cm="1">
        <f t="array" aca="1" ref="A2" ca="1">MID(CELL("filename",C1),FIND("]",CELL("filename",C1))+1,255)</f>
        <v>Info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9" s="2" customFormat="1" ht="7.5" customHeight="1" x14ac:dyDescent="0.25"/>
    <row r="4" spans="1:19" s="2" customFormat="1" ht="22.5" customHeight="1" x14ac:dyDescent="0.25">
      <c r="A4" s="1"/>
      <c r="B4" s="100" t="s">
        <v>0</v>
      </c>
      <c r="C4" s="100"/>
      <c r="D4" s="100"/>
      <c r="E4" s="100"/>
      <c r="F4" s="100"/>
      <c r="G4" s="100"/>
      <c r="H4" s="100"/>
      <c r="I4" s="100"/>
      <c r="K4" s="1"/>
      <c r="L4" s="100" t="s">
        <v>2</v>
      </c>
      <c r="M4" s="100"/>
      <c r="N4" s="100"/>
      <c r="O4" s="100"/>
      <c r="P4" s="100"/>
      <c r="Q4" s="38"/>
      <c r="R4" s="38"/>
    </row>
    <row r="5" spans="1:19" s="2" customFormat="1" ht="15" customHeight="1" x14ac:dyDescent="0.25">
      <c r="A5" s="15"/>
      <c r="B5" s="8" t="s">
        <v>1</v>
      </c>
      <c r="C5" s="52" t="s">
        <v>129</v>
      </c>
      <c r="D5" s="16"/>
      <c r="E5" s="16"/>
      <c r="F5" s="16"/>
      <c r="G5" s="16"/>
      <c r="H5" s="16"/>
      <c r="I5" s="16"/>
      <c r="K5" s="1"/>
      <c r="L5" s="9"/>
      <c r="M5" s="9"/>
      <c r="N5" s="97"/>
      <c r="O5" s="97"/>
      <c r="P5" s="97"/>
      <c r="Q5" s="97"/>
      <c r="R5" s="38"/>
    </row>
    <row r="6" spans="1:19" s="2" customFormat="1" ht="15" customHeight="1" x14ac:dyDescent="0.25">
      <c r="A6" s="15"/>
      <c r="B6" s="8" t="s">
        <v>1</v>
      </c>
      <c r="C6" s="52" t="s">
        <v>132</v>
      </c>
      <c r="D6" s="16"/>
      <c r="E6" s="16"/>
      <c r="F6" s="16"/>
      <c r="G6" s="16"/>
      <c r="H6" s="16"/>
      <c r="I6" s="16"/>
      <c r="K6" s="1"/>
      <c r="L6" s="9" t="s">
        <v>15</v>
      </c>
      <c r="M6" s="9"/>
      <c r="N6" s="9" t="s">
        <v>173</v>
      </c>
      <c r="O6" s="9"/>
      <c r="P6" s="57"/>
      <c r="Q6" s="57"/>
      <c r="R6" s="38"/>
    </row>
    <row r="7" spans="1:19" s="2" customFormat="1" ht="15" customHeight="1" x14ac:dyDescent="0.25">
      <c r="A7" s="3"/>
      <c r="B7" s="8" t="s">
        <v>1</v>
      </c>
      <c r="C7" s="52" t="s">
        <v>140</v>
      </c>
      <c r="D7" s="16"/>
      <c r="E7" s="16"/>
      <c r="F7" s="16"/>
      <c r="G7" s="16"/>
      <c r="H7" s="16"/>
      <c r="I7" s="16"/>
      <c r="K7" s="15"/>
      <c r="L7" s="9" t="s">
        <v>130</v>
      </c>
      <c r="M7" s="9"/>
      <c r="N7" s="98">
        <v>45930</v>
      </c>
      <c r="O7" s="98"/>
      <c r="P7" s="98"/>
      <c r="Q7" s="98"/>
      <c r="R7" s="38"/>
    </row>
    <row r="8" spans="1:19" s="2" customFormat="1" ht="15" customHeight="1" x14ac:dyDescent="0.25">
      <c r="A8" s="16"/>
      <c r="B8" s="8" t="s">
        <v>1</v>
      </c>
      <c r="C8" s="52" t="s">
        <v>176</v>
      </c>
      <c r="D8" s="16"/>
      <c r="E8" s="16"/>
      <c r="F8" s="16"/>
      <c r="G8" s="16"/>
      <c r="H8" s="16"/>
      <c r="I8" s="16"/>
      <c r="K8" s="3"/>
      <c r="L8" s="9" t="s">
        <v>131</v>
      </c>
      <c r="M8" s="9"/>
      <c r="N8" s="98">
        <v>45930</v>
      </c>
      <c r="O8" s="98"/>
      <c r="P8" s="98"/>
      <c r="Q8" s="98"/>
      <c r="R8" s="38"/>
      <c r="S8" s="74"/>
    </row>
    <row r="9" spans="1:19" s="2" customFormat="1" ht="15" customHeight="1" x14ac:dyDescent="0.25">
      <c r="A9" s="16"/>
      <c r="B9" s="8" t="s">
        <v>1</v>
      </c>
      <c r="C9" s="52" t="s">
        <v>212</v>
      </c>
      <c r="D9" s="16"/>
      <c r="E9" s="16"/>
      <c r="F9" s="16"/>
      <c r="G9" s="16"/>
      <c r="H9" s="16"/>
      <c r="I9" s="16"/>
      <c r="K9" s="16"/>
      <c r="L9" s="9" t="s">
        <v>3</v>
      </c>
      <c r="M9" s="9"/>
      <c r="N9" s="97" t="s">
        <v>174</v>
      </c>
      <c r="O9" s="97"/>
      <c r="P9" s="97"/>
      <c r="Q9" s="97"/>
      <c r="R9" s="38"/>
    </row>
    <row r="10" spans="1:19" s="2" customFormat="1" ht="15" customHeight="1" x14ac:dyDescent="0.25">
      <c r="A10" s="39"/>
      <c r="B10" s="36"/>
      <c r="C10" s="39"/>
      <c r="D10" s="39"/>
      <c r="E10" s="39"/>
      <c r="F10" s="39"/>
      <c r="G10" s="39"/>
      <c r="H10" s="39"/>
      <c r="I10" s="39"/>
      <c r="K10" s="16"/>
      <c r="L10" s="9" t="s">
        <v>4</v>
      </c>
      <c r="M10" s="9"/>
      <c r="N10" s="97" t="s">
        <v>6</v>
      </c>
      <c r="O10" s="97"/>
      <c r="P10" s="97"/>
      <c r="Q10" s="97"/>
      <c r="R10" s="38"/>
    </row>
    <row r="11" spans="1:19" s="2" customFormat="1" ht="15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K11" s="16"/>
      <c r="L11" s="9" t="s">
        <v>5</v>
      </c>
      <c r="M11" s="9"/>
      <c r="N11" s="99">
        <v>1</v>
      </c>
      <c r="O11" s="99"/>
      <c r="P11" s="99"/>
      <c r="Q11" s="99"/>
      <c r="R11" s="44"/>
    </row>
    <row r="12" spans="1:19" s="2" customFormat="1" ht="15" customHeight="1" thickBot="1" x14ac:dyDescent="0.3">
      <c r="A12" s="42"/>
      <c r="B12" s="42"/>
      <c r="C12" s="42"/>
      <c r="D12" s="42"/>
      <c r="E12" s="42"/>
      <c r="F12" s="42"/>
      <c r="G12" s="42"/>
      <c r="H12" s="42"/>
      <c r="I12" s="42"/>
      <c r="K12" s="4"/>
      <c r="L12" s="56"/>
      <c r="M12" s="56"/>
      <c r="N12" s="45"/>
      <c r="O12" s="46"/>
      <c r="P12" s="46"/>
      <c r="Q12" s="47"/>
      <c r="R12" s="48"/>
    </row>
    <row r="13" spans="1:19" s="2" customFormat="1" ht="7.5" customHeight="1" x14ac:dyDescent="0.25">
      <c r="K13" s="23"/>
      <c r="L13" s="23"/>
      <c r="M13" s="23"/>
      <c r="N13" s="23"/>
      <c r="O13" s="23"/>
      <c r="P13" s="23"/>
      <c r="Q13" s="23"/>
      <c r="R13" s="23"/>
    </row>
    <row r="14" spans="1:19" s="2" customFormat="1" ht="22.5" customHeight="1" x14ac:dyDescent="0.25">
      <c r="A14" s="52"/>
      <c r="B14" s="101" t="s">
        <v>12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N14" s="1"/>
      <c r="O14" s="100" t="s">
        <v>8</v>
      </c>
      <c r="P14" s="100"/>
      <c r="Q14" s="100"/>
      <c r="R14" s="55"/>
    </row>
    <row r="15" spans="1:19" s="2" customFormat="1" ht="15" customHeight="1" x14ac:dyDescent="0.25">
      <c r="A15" s="53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N15" s="15"/>
      <c r="O15" s="25"/>
      <c r="P15" s="20"/>
      <c r="Q15" s="20"/>
      <c r="R15" s="53"/>
    </row>
    <row r="16" spans="1:19" s="2" customFormat="1" ht="15" customHeight="1" x14ac:dyDescent="0.25">
      <c r="A16" s="53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N16" s="3"/>
      <c r="O16" s="25"/>
      <c r="P16" s="49" t="s">
        <v>9</v>
      </c>
      <c r="Q16" s="20"/>
      <c r="R16" s="53"/>
    </row>
    <row r="17" spans="1:18" s="2" customFormat="1" ht="15" customHeight="1" x14ac:dyDescent="0.25">
      <c r="A17" s="53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N17" s="16"/>
      <c r="O17" s="25"/>
      <c r="P17" s="34" t="s">
        <v>10</v>
      </c>
      <c r="Q17" s="20"/>
      <c r="R17" s="53"/>
    </row>
    <row r="18" spans="1:18" s="2" customFormat="1" ht="15" customHeight="1" x14ac:dyDescent="0.25">
      <c r="A18" s="53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N18" s="16"/>
      <c r="O18" s="25"/>
      <c r="P18" t="s">
        <v>11</v>
      </c>
      <c r="Q18" s="20"/>
      <c r="R18" s="53"/>
    </row>
    <row r="19" spans="1:18" s="2" customFormat="1" ht="15" customHeight="1" x14ac:dyDescent="0.25">
      <c r="A19" s="37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N19" s="37"/>
      <c r="O19" s="50"/>
      <c r="P19" s="50"/>
      <c r="Q19" s="50"/>
      <c r="R19" s="37"/>
    </row>
    <row r="20" spans="1:18" ht="15.75" thickBot="1" x14ac:dyDescent="0.3">
      <c r="A20" s="42"/>
      <c r="B20" s="42"/>
      <c r="C20" s="42"/>
      <c r="D20" s="54"/>
      <c r="E20" s="54"/>
      <c r="F20" s="54"/>
      <c r="G20" s="54"/>
      <c r="H20" s="54"/>
      <c r="I20" s="54"/>
      <c r="J20" s="54"/>
      <c r="K20" s="54"/>
      <c r="L20" s="54"/>
      <c r="N20" s="42"/>
      <c r="O20" s="42"/>
      <c r="P20" s="42"/>
      <c r="Q20" s="42"/>
      <c r="R20" s="42"/>
    </row>
    <row r="21" spans="1:18" x14ac:dyDescent="0.25">
      <c r="Q21" s="51"/>
      <c r="R21" s="31"/>
    </row>
    <row r="22" spans="1:18" x14ac:dyDescent="0.25"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x14ac:dyDescent="0.25"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x14ac:dyDescent="0.25">
      <c r="F24" s="31"/>
      <c r="G24" s="31"/>
      <c r="H24" s="31"/>
      <c r="I24" s="31"/>
      <c r="J24" s="31"/>
      <c r="K24" s="31"/>
      <c r="L24" s="31"/>
      <c r="M24" s="31"/>
      <c r="N24" s="30"/>
      <c r="O24" s="30"/>
      <c r="P24" s="30"/>
      <c r="Q24" s="30"/>
    </row>
    <row r="25" spans="1:18" x14ac:dyDescent="0.25"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x14ac:dyDescent="0.25"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x14ac:dyDescent="0.25"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</sheetData>
  <mergeCells count="20">
    <mergeCell ref="L4:P4"/>
    <mergeCell ref="B4:I4"/>
    <mergeCell ref="B14:L14"/>
    <mergeCell ref="N7:Q7"/>
    <mergeCell ref="B19:C19"/>
    <mergeCell ref="D17:L17"/>
    <mergeCell ref="D18:L18"/>
    <mergeCell ref="D19:L19"/>
    <mergeCell ref="N5:Q5"/>
    <mergeCell ref="N8:Q8"/>
    <mergeCell ref="N9:Q9"/>
    <mergeCell ref="N10:Q10"/>
    <mergeCell ref="N11:Q11"/>
    <mergeCell ref="O14:Q14"/>
    <mergeCell ref="D15:L15"/>
    <mergeCell ref="D16:L16"/>
    <mergeCell ref="B15:C15"/>
    <mergeCell ref="B16:C16"/>
    <mergeCell ref="B17:C17"/>
    <mergeCell ref="B18:C18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6"/>
  <sheetViews>
    <sheetView tabSelected="1" topLeftCell="B98" zoomScale="190" zoomScaleNormal="190" workbookViewId="0">
      <selection activeCell="C116" sqref="C116:F116"/>
    </sheetView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LBO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A5" s="60" t="s">
        <v>70</v>
      </c>
    </row>
    <row r="6" spans="1:15" x14ac:dyDescent="0.25">
      <c r="A6" s="60"/>
      <c r="B6" t="s">
        <v>146</v>
      </c>
      <c r="D6" s="66">
        <v>54.1</v>
      </c>
    </row>
    <row r="7" spans="1:15" x14ac:dyDescent="0.25">
      <c r="A7" s="60"/>
      <c r="B7" t="s">
        <v>147</v>
      </c>
      <c r="D7" s="77">
        <v>0.46</v>
      </c>
    </row>
    <row r="8" spans="1:15" x14ac:dyDescent="0.25">
      <c r="A8" s="60"/>
      <c r="B8" t="s">
        <v>148</v>
      </c>
      <c r="D8" s="85">
        <f>D6*(1+D7)</f>
        <v>78.986000000000004</v>
      </c>
    </row>
    <row r="9" spans="1:15" x14ac:dyDescent="0.25">
      <c r="A9" s="60"/>
      <c r="B9" t="s">
        <v>149</v>
      </c>
      <c r="D9" s="66">
        <v>222.9</v>
      </c>
    </row>
    <row r="10" spans="1:15" x14ac:dyDescent="0.25">
      <c r="A10" s="60"/>
      <c r="B10" t="s">
        <v>150</v>
      </c>
      <c r="D10">
        <f>SUM(E29:E30)</f>
        <v>2.8261464056921479</v>
      </c>
    </row>
    <row r="11" spans="1:15" x14ac:dyDescent="0.25">
      <c r="A11" s="60"/>
      <c r="B11" t="s">
        <v>151</v>
      </c>
      <c r="D11">
        <f>SUM(D9:D10)</f>
        <v>225.72614640569216</v>
      </c>
    </row>
    <row r="12" spans="1:15" x14ac:dyDescent="0.25">
      <c r="B12" t="s">
        <v>76</v>
      </c>
      <c r="D12">
        <f>D8*D11</f>
        <v>17829.205400000003</v>
      </c>
    </row>
    <row r="13" spans="1:15" x14ac:dyDescent="0.25">
      <c r="B13" t="s">
        <v>75</v>
      </c>
      <c r="D13">
        <f>BS!D16+BS!D21-BS!D5</f>
        <v>423.40000000000009</v>
      </c>
    </row>
    <row r="14" spans="1:15" x14ac:dyDescent="0.25">
      <c r="B14" t="s">
        <v>72</v>
      </c>
      <c r="D14">
        <f>D12+D13</f>
        <v>18252.605400000004</v>
      </c>
    </row>
    <row r="15" spans="1:15" x14ac:dyDescent="0.25">
      <c r="B15" t="s">
        <v>71</v>
      </c>
      <c r="D15">
        <f>IS!D20</f>
        <v>1077.7000000000003</v>
      </c>
    </row>
    <row r="16" spans="1:15" x14ac:dyDescent="0.25">
      <c r="B16" t="s">
        <v>207</v>
      </c>
      <c r="D16" s="81">
        <f>D14/D15</f>
        <v>16.936629303145587</v>
      </c>
    </row>
    <row r="17" spans="1:5" x14ac:dyDescent="0.25">
      <c r="B17" t="s">
        <v>208</v>
      </c>
      <c r="D17" s="65">
        <f>D16</f>
        <v>16.936629303145587</v>
      </c>
    </row>
    <row r="18" spans="1:5" x14ac:dyDescent="0.25">
      <c r="B18" t="s">
        <v>73</v>
      </c>
      <c r="D18" s="67">
        <v>0.02</v>
      </c>
    </row>
    <row r="19" spans="1:5" x14ac:dyDescent="0.25">
      <c r="B19" t="s">
        <v>133</v>
      </c>
      <c r="D19" s="67">
        <v>4.0500000000000001E-2</v>
      </c>
    </row>
    <row r="20" spans="1:5" x14ac:dyDescent="0.25">
      <c r="B20" t="s">
        <v>74</v>
      </c>
      <c r="D20" s="66">
        <v>5</v>
      </c>
    </row>
    <row r="21" spans="1:5" x14ac:dyDescent="0.25">
      <c r="B21" t="s">
        <v>122</v>
      </c>
      <c r="D21" s="67">
        <v>0.75</v>
      </c>
    </row>
    <row r="22" spans="1:5" x14ac:dyDescent="0.25">
      <c r="B22" t="s">
        <v>191</v>
      </c>
      <c r="D22" s="67">
        <v>0.03</v>
      </c>
    </row>
    <row r="23" spans="1:5" x14ac:dyDescent="0.25">
      <c r="B23" t="s">
        <v>175</v>
      </c>
      <c r="D23" s="66">
        <v>750</v>
      </c>
    </row>
    <row r="24" spans="1:5" x14ac:dyDescent="0.25">
      <c r="B24" t="s">
        <v>176</v>
      </c>
      <c r="D24" s="70">
        <v>5.0000000000000001E-3</v>
      </c>
    </row>
    <row r="25" spans="1:5" x14ac:dyDescent="0.25">
      <c r="B25" t="s">
        <v>179</v>
      </c>
      <c r="D25" s="70">
        <v>0.05</v>
      </c>
    </row>
    <row r="27" spans="1:5" x14ac:dyDescent="0.25">
      <c r="A27" s="60" t="s">
        <v>150</v>
      </c>
      <c r="C27" s="89"/>
    </row>
    <row r="28" spans="1:5" x14ac:dyDescent="0.25">
      <c r="B28" s="60" t="s">
        <v>152</v>
      </c>
      <c r="C28" s="60" t="s">
        <v>217</v>
      </c>
      <c r="D28" s="60" t="s">
        <v>153</v>
      </c>
      <c r="E28" s="60" t="s">
        <v>154</v>
      </c>
    </row>
    <row r="29" spans="1:5" x14ac:dyDescent="0.25">
      <c r="B29" t="s">
        <v>209</v>
      </c>
      <c r="C29" s="66">
        <v>4.3</v>
      </c>
      <c r="D29" s="66">
        <v>58.3</v>
      </c>
      <c r="E29">
        <f>C29*MAX(0,($D$8-D29)/$D$8)</f>
        <v>1.1261464056921482</v>
      </c>
    </row>
    <row r="30" spans="1:5" x14ac:dyDescent="0.25">
      <c r="B30" t="s">
        <v>210</v>
      </c>
      <c r="C30" s="66">
        <v>1.7</v>
      </c>
      <c r="D30" s="66">
        <v>0</v>
      </c>
      <c r="E30">
        <f>C30*MAX(0,($D$8-D30)/$D$8)</f>
        <v>1.7</v>
      </c>
    </row>
    <row r="32" spans="1:5" x14ac:dyDescent="0.25">
      <c r="A32" s="60" t="s">
        <v>155</v>
      </c>
    </row>
    <row r="33" spans="1:4" x14ac:dyDescent="0.25">
      <c r="B33" t="s">
        <v>152</v>
      </c>
      <c r="C33" t="s">
        <v>156</v>
      </c>
      <c r="D33" t="s">
        <v>157</v>
      </c>
    </row>
    <row r="34" spans="1:4" x14ac:dyDescent="0.25">
      <c r="B34" t="s">
        <v>48</v>
      </c>
      <c r="C34" s="66">
        <v>0</v>
      </c>
      <c r="D34" s="66">
        <v>0</v>
      </c>
    </row>
    <row r="35" spans="1:4" x14ac:dyDescent="0.25">
      <c r="B35" t="s">
        <v>178</v>
      </c>
      <c r="C35" s="66">
        <v>9500</v>
      </c>
      <c r="D35" s="66">
        <v>5000</v>
      </c>
    </row>
    <row r="36" spans="1:4" x14ac:dyDescent="0.25">
      <c r="B36" t="s">
        <v>177</v>
      </c>
      <c r="C36" s="66">
        <v>2000</v>
      </c>
      <c r="D36" s="66">
        <v>2000</v>
      </c>
    </row>
    <row r="37" spans="1:4" x14ac:dyDescent="0.25">
      <c r="B37" t="s">
        <v>85</v>
      </c>
      <c r="C37" s="66">
        <v>0</v>
      </c>
      <c r="D37" s="66">
        <v>1500</v>
      </c>
    </row>
    <row r="38" spans="1:4" x14ac:dyDescent="0.25">
      <c r="B38" t="s">
        <v>103</v>
      </c>
      <c r="C38">
        <f>C40-C39-SUM(C34:C37)</f>
        <v>3222.6575080000039</v>
      </c>
      <c r="D38">
        <f>D40-D39-SUM(D34:D37)</f>
        <v>6222.6575080000039</v>
      </c>
    </row>
    <row r="39" spans="1:4" x14ac:dyDescent="0.25">
      <c r="B39" t="s">
        <v>80</v>
      </c>
      <c r="C39" s="66">
        <v>4000</v>
      </c>
      <c r="D39" s="66">
        <f>C39</f>
        <v>4000</v>
      </c>
    </row>
    <row r="40" spans="1:4" x14ac:dyDescent="0.25">
      <c r="B40" t="s">
        <v>81</v>
      </c>
      <c r="C40">
        <f>$C$47</f>
        <v>18722.657508000004</v>
      </c>
      <c r="D40">
        <f>$C$47</f>
        <v>18722.657508000004</v>
      </c>
    </row>
    <row r="42" spans="1:4" x14ac:dyDescent="0.25">
      <c r="A42" s="60" t="s">
        <v>188</v>
      </c>
    </row>
    <row r="43" spans="1:4" x14ac:dyDescent="0.25">
      <c r="B43" t="str">
        <f>B12</f>
        <v>Acquisition equity value</v>
      </c>
      <c r="C43">
        <f>D12</f>
        <v>17829.205400000003</v>
      </c>
    </row>
    <row r="44" spans="1:4" x14ac:dyDescent="0.25">
      <c r="B44" t="s">
        <v>77</v>
      </c>
      <c r="C44">
        <f>D13</f>
        <v>423.40000000000009</v>
      </c>
    </row>
    <row r="45" spans="1:4" x14ac:dyDescent="0.25">
      <c r="B45" t="s">
        <v>222</v>
      </c>
      <c r="C45">
        <f>J60</f>
        <v>105</v>
      </c>
    </row>
    <row r="46" spans="1:4" x14ac:dyDescent="0.25">
      <c r="B46" t="s">
        <v>78</v>
      </c>
      <c r="C46">
        <f>D18*D14</f>
        <v>365.05210800000009</v>
      </c>
    </row>
    <row r="47" spans="1:4" x14ac:dyDescent="0.25">
      <c r="B47" t="s">
        <v>79</v>
      </c>
      <c r="C47">
        <f>SUM(C43:C46)</f>
        <v>18722.657508000004</v>
      </c>
    </row>
    <row r="49" spans="1:11" x14ac:dyDescent="0.25">
      <c r="A49" s="60" t="s">
        <v>189</v>
      </c>
    </row>
    <row r="50" spans="1:11" x14ac:dyDescent="0.25">
      <c r="B50" t="s">
        <v>218</v>
      </c>
      <c r="D50" s="66">
        <v>2</v>
      </c>
    </row>
    <row r="52" spans="1:11" x14ac:dyDescent="0.25">
      <c r="D52" s="63" t="s">
        <v>190</v>
      </c>
    </row>
    <row r="53" spans="1:11" x14ac:dyDescent="0.25">
      <c r="C53" t="s">
        <v>186</v>
      </c>
      <c r="D53" s="63" t="s">
        <v>111</v>
      </c>
      <c r="E53" s="63" t="s">
        <v>121</v>
      </c>
      <c r="F53" s="63" t="s">
        <v>82</v>
      </c>
      <c r="G53" s="63" t="s">
        <v>83</v>
      </c>
      <c r="H53" s="102" t="s">
        <v>219</v>
      </c>
      <c r="I53" s="102" t="s">
        <v>220</v>
      </c>
      <c r="J53" s="102" t="s">
        <v>225</v>
      </c>
      <c r="K53" s="102" t="s">
        <v>221</v>
      </c>
    </row>
    <row r="54" spans="1:11" x14ac:dyDescent="0.25">
      <c r="B54" t="s">
        <v>48</v>
      </c>
      <c r="C54" cm="1">
        <f t="array" ref="C54">INDEX(C34:D34,,$D$50)</f>
        <v>0</v>
      </c>
      <c r="D54" s="64">
        <f>C54/$D$15</f>
        <v>0</v>
      </c>
      <c r="E54" s="62">
        <f t="shared" ref="E54:E59" si="1">C54/$C$60</f>
        <v>0</v>
      </c>
      <c r="F54" s="68">
        <v>2.75E-2</v>
      </c>
      <c r="G54" s="69">
        <f>F54+$D$19</f>
        <v>6.8000000000000005E-2</v>
      </c>
    </row>
    <row r="55" spans="1:11" x14ac:dyDescent="0.25">
      <c r="B55" t="str">
        <f>B35</f>
        <v>Term loan B</v>
      </c>
      <c r="C55" cm="1">
        <f t="array" ref="C55">INDEX(C35:D35,,$D$50)</f>
        <v>5000</v>
      </c>
      <c r="D55" s="64">
        <f>C55/$D$15+D54</f>
        <v>4.6395100677368459</v>
      </c>
      <c r="E55" s="62">
        <f t="shared" si="1"/>
        <v>0.26705610556960463</v>
      </c>
      <c r="F55" s="68">
        <v>2.75E-2</v>
      </c>
      <c r="G55" s="69">
        <f>F55+$D$19</f>
        <v>6.8000000000000005E-2</v>
      </c>
      <c r="H55" s="78">
        <v>0.01</v>
      </c>
      <c r="I55" s="66">
        <v>7</v>
      </c>
      <c r="J55">
        <f>C55*H55</f>
        <v>50</v>
      </c>
      <c r="K55">
        <f>J55/I55</f>
        <v>7.1428571428571432</v>
      </c>
    </row>
    <row r="56" spans="1:11" x14ac:dyDescent="0.25">
      <c r="B56" t="str">
        <f>B36</f>
        <v>Subordinated debt</v>
      </c>
      <c r="C56" cm="1">
        <f t="array" ref="C56">INDEX(C36:D36,,$D$50)</f>
        <v>2000</v>
      </c>
      <c r="D56" s="64">
        <f>C56/$D$15+D55</f>
        <v>6.495314094831584</v>
      </c>
      <c r="E56" s="62">
        <f t="shared" si="1"/>
        <v>0.10682244222784186</v>
      </c>
      <c r="F56" s="68">
        <v>0.04</v>
      </c>
      <c r="G56" s="69">
        <f>F56+$D$19</f>
        <v>8.0500000000000002E-2</v>
      </c>
      <c r="H56" s="68">
        <v>0.02</v>
      </c>
      <c r="I56" s="66">
        <v>8</v>
      </c>
      <c r="J56">
        <f t="shared" ref="J56:J57" si="2">C56*H56</f>
        <v>40</v>
      </c>
      <c r="K56">
        <f t="shared" ref="K56:K57" si="3">J56/I56</f>
        <v>5</v>
      </c>
    </row>
    <row r="57" spans="1:11" x14ac:dyDescent="0.25">
      <c r="B57" t="s">
        <v>85</v>
      </c>
      <c r="C57" cm="1">
        <f t="array" ref="C57">INDEX(C37:D37,,$D$50)</f>
        <v>1500</v>
      </c>
      <c r="D57" s="64">
        <f>C57/$D$15+D56</f>
        <v>7.8871671151526375</v>
      </c>
      <c r="E57" s="62">
        <f t="shared" si="1"/>
        <v>8.0116831670881392E-2</v>
      </c>
      <c r="G57" s="78">
        <v>0.12</v>
      </c>
      <c r="H57" s="78">
        <v>0.01</v>
      </c>
      <c r="I57" s="66">
        <v>9</v>
      </c>
      <c r="J57">
        <f t="shared" si="2"/>
        <v>15</v>
      </c>
      <c r="K57">
        <f t="shared" si="3"/>
        <v>1.6666666666666667</v>
      </c>
    </row>
    <row r="58" spans="1:11" x14ac:dyDescent="0.25">
      <c r="B58" t="s">
        <v>103</v>
      </c>
      <c r="C58" cm="1">
        <f t="array" ref="C58">INDEX(C38:D38,,$D$50)</f>
        <v>6222.6575080000039</v>
      </c>
      <c r="D58" s="64"/>
      <c r="E58" s="62">
        <f t="shared" si="1"/>
        <v>0.3323597360759884</v>
      </c>
      <c r="G58" s="68">
        <v>0.12</v>
      </c>
    </row>
    <row r="59" spans="1:11" x14ac:dyDescent="0.25">
      <c r="B59" t="s">
        <v>80</v>
      </c>
      <c r="C59" cm="1">
        <f t="array" ref="C59">INDEX(C39:D39,,$D$50)</f>
        <v>4000</v>
      </c>
      <c r="E59" s="62">
        <f t="shared" si="1"/>
        <v>0.21364488445568372</v>
      </c>
    </row>
    <row r="60" spans="1:11" x14ac:dyDescent="0.25">
      <c r="B60" t="s">
        <v>81</v>
      </c>
      <c r="C60">
        <f>SUM(C54:C59)</f>
        <v>18722.657508000004</v>
      </c>
      <c r="E60" s="58">
        <f>SUM(E54:E59)</f>
        <v>1</v>
      </c>
      <c r="J60">
        <f>SUM(J54:J59)</f>
        <v>105</v>
      </c>
      <c r="K60">
        <f>SUM(K55:K59)</f>
        <v>13.809523809523808</v>
      </c>
    </row>
    <row r="61" spans="1:11" x14ac:dyDescent="0.25">
      <c r="F61" s="58"/>
    </row>
    <row r="62" spans="1:11" x14ac:dyDescent="0.25">
      <c r="A62" s="60" t="s">
        <v>84</v>
      </c>
      <c r="F62" s="58"/>
    </row>
    <row r="63" spans="1:11" x14ac:dyDescent="0.25">
      <c r="A63" s="60"/>
      <c r="C63" t="s">
        <v>158</v>
      </c>
      <c r="D63" t="s">
        <v>159</v>
      </c>
      <c r="F63" s="58"/>
    </row>
    <row r="64" spans="1:11" x14ac:dyDescent="0.25">
      <c r="A64" s="60"/>
      <c r="B64" t="s">
        <v>107</v>
      </c>
      <c r="C64" s="77">
        <v>0.05</v>
      </c>
      <c r="D64" s="58">
        <f>D67-D65-D66</f>
        <v>4.7500000000000028E-2</v>
      </c>
    </row>
    <row r="65" spans="1:15" x14ac:dyDescent="0.25">
      <c r="A65" s="60"/>
      <c r="B65" t="s">
        <v>160</v>
      </c>
      <c r="C65" s="58">
        <f>C67-C64</f>
        <v>0.95</v>
      </c>
      <c r="D65" s="58">
        <f>C65*(1-D66)</f>
        <v>0.90249999999999997</v>
      </c>
      <c r="F65" s="58"/>
    </row>
    <row r="66" spans="1:15" x14ac:dyDescent="0.25">
      <c r="A66" s="60"/>
      <c r="B66" t="s">
        <v>85</v>
      </c>
      <c r="C66" s="61">
        <v>0</v>
      </c>
      <c r="D66" s="58">
        <f>IF(C57&gt;0,D25,0)</f>
        <v>0.05</v>
      </c>
      <c r="F66" s="86"/>
    </row>
    <row r="67" spans="1:15" x14ac:dyDescent="0.25">
      <c r="A67" s="60"/>
      <c r="B67" t="s">
        <v>139</v>
      </c>
      <c r="C67" s="79">
        <v>1</v>
      </c>
      <c r="D67" s="79">
        <v>1</v>
      </c>
      <c r="F67" s="58"/>
    </row>
    <row r="69" spans="1:15" x14ac:dyDescent="0.25">
      <c r="A69" s="60" t="s">
        <v>13</v>
      </c>
    </row>
    <row r="70" spans="1:15" x14ac:dyDescent="0.25">
      <c r="B70" t="s">
        <v>86</v>
      </c>
      <c r="D70">
        <f>C43</f>
        <v>17829.205400000003</v>
      </c>
    </row>
    <row r="71" spans="1:15" x14ac:dyDescent="0.25">
      <c r="B71" t="s">
        <v>87</v>
      </c>
      <c r="D71">
        <f>BS!D14-BS!D13-BS!D28</f>
        <v>1407</v>
      </c>
    </row>
    <row r="72" spans="1:15" x14ac:dyDescent="0.25">
      <c r="B72" t="s">
        <v>88</v>
      </c>
      <c r="D72">
        <f>D70-D71</f>
        <v>16422.205400000003</v>
      </c>
    </row>
    <row r="74" spans="1:15" x14ac:dyDescent="0.25">
      <c r="A74" s="60" t="s">
        <v>119</v>
      </c>
    </row>
    <row r="75" spans="1:15" x14ac:dyDescent="0.25">
      <c r="B75" t="s">
        <v>120</v>
      </c>
      <c r="H75" s="71">
        <v>1</v>
      </c>
      <c r="I75" s="72">
        <f>H75+1</f>
        <v>2</v>
      </c>
      <c r="J75" s="72">
        <f t="shared" ref="J75:O75" si="4">I75+1</f>
        <v>3</v>
      </c>
      <c r="K75" s="72">
        <f t="shared" si="4"/>
        <v>4</v>
      </c>
      <c r="L75" s="72">
        <f t="shared" si="4"/>
        <v>5</v>
      </c>
      <c r="M75" s="72">
        <f t="shared" si="4"/>
        <v>6</v>
      </c>
      <c r="N75" s="72">
        <f t="shared" si="4"/>
        <v>7</v>
      </c>
      <c r="O75" s="72">
        <f t="shared" si="4"/>
        <v>8</v>
      </c>
    </row>
    <row r="76" spans="1:15" x14ac:dyDescent="0.25">
      <c r="B76" t="s">
        <v>184</v>
      </c>
      <c r="H76">
        <f>IS!H20</f>
        <v>1500.1218625000001</v>
      </c>
      <c r="I76">
        <f>IS!I20</f>
        <v>1620.5045861999997</v>
      </c>
      <c r="J76">
        <f>IS!J20</f>
        <v>1714.5898904447497</v>
      </c>
      <c r="K76">
        <f>IS!K20</f>
        <v>1737.1979915920515</v>
      </c>
      <c r="L76">
        <f>IS!L20</f>
        <v>1801.6299870067082</v>
      </c>
      <c r="M76">
        <f>IS!M20</f>
        <v>1868.6622673602856</v>
      </c>
      <c r="N76">
        <f>IS!N20</f>
        <v>1938.3949331795434</v>
      </c>
      <c r="O76">
        <f>IS!O20</f>
        <v>2010.9327538603479</v>
      </c>
    </row>
    <row r="77" spans="1:15" x14ac:dyDescent="0.25">
      <c r="B77" t="s">
        <v>123</v>
      </c>
      <c r="H77">
        <f t="shared" ref="H77:O77" si="5">H76*$D$17</f>
        <v>25407.007894706836</v>
      </c>
      <c r="I77">
        <f t="shared" si="5"/>
        <v>27445.885460516729</v>
      </c>
      <c r="J77">
        <f t="shared" si="5"/>
        <v>29039.373381383728</v>
      </c>
      <c r="K77">
        <f t="shared" si="5"/>
        <v>29422.278409763599</v>
      </c>
      <c r="L77">
        <f t="shared" si="5"/>
        <v>30513.539231363618</v>
      </c>
      <c r="M77">
        <f t="shared" si="5"/>
        <v>31648.840115056686</v>
      </c>
      <c r="N77">
        <f t="shared" si="5"/>
        <v>32829.876426357587</v>
      </c>
      <c r="O77">
        <f t="shared" si="5"/>
        <v>34058.422605686421</v>
      </c>
    </row>
    <row r="78" spans="1:15" x14ac:dyDescent="0.25">
      <c r="B78" s="73" t="s">
        <v>124</v>
      </c>
      <c r="H78">
        <f ca="1">BS!H5</f>
        <v>186.53215877814307</v>
      </c>
      <c r="I78">
        <f ca="1">BS!I5</f>
        <v>260.78242476541391</v>
      </c>
      <c r="J78">
        <f ca="1">BS!J5</f>
        <v>310.67255133092556</v>
      </c>
      <c r="K78">
        <f ca="1">BS!K5</f>
        <v>335.18699895236944</v>
      </c>
      <c r="L78">
        <f ca="1">BS!L5</f>
        <v>372.82093188274223</v>
      </c>
      <c r="M78">
        <f ca="1">BS!M5</f>
        <v>412.82300758793065</v>
      </c>
      <c r="N78">
        <f ca="1">BS!N5</f>
        <v>466.48064029059799</v>
      </c>
      <c r="O78">
        <f ca="1">BS!O5</f>
        <v>1986.6020994235355</v>
      </c>
    </row>
    <row r="79" spans="1:15" x14ac:dyDescent="0.25">
      <c r="B79" s="73" t="s">
        <v>125</v>
      </c>
      <c r="H79">
        <f>Calc!H14*-1</f>
        <v>-6969.3764089600045</v>
      </c>
      <c r="I79">
        <f>Calc!I14*-1</f>
        <v>-7805.7015780352049</v>
      </c>
      <c r="J79">
        <f>Calc!J14*-1</f>
        <v>-8742.3857673994298</v>
      </c>
      <c r="K79">
        <f>Calc!K14*-1</f>
        <v>-9791.4720594873615</v>
      </c>
      <c r="L79">
        <f>Calc!L14*-1</f>
        <v>-10966.448706625844</v>
      </c>
      <c r="M79">
        <f>Calc!M14*-1</f>
        <v>-12282.422551420947</v>
      </c>
      <c r="N79">
        <f>Calc!N14*-1</f>
        <v>-13756.313257591461</v>
      </c>
      <c r="O79">
        <f>Calc!O14*-1</f>
        <v>-15407.070848502435</v>
      </c>
    </row>
    <row r="80" spans="1:15" x14ac:dyDescent="0.25">
      <c r="B80" s="73" t="s">
        <v>170</v>
      </c>
      <c r="H80">
        <f>Debt!H57*-1</f>
        <v>-1680</v>
      </c>
      <c r="I80">
        <f>Debt!I57*-1</f>
        <v>-1881.6</v>
      </c>
      <c r="J80">
        <f>Debt!J57*-1</f>
        <v>-2107.3919999999998</v>
      </c>
      <c r="K80">
        <f>Debt!K57*-1</f>
        <v>-2360.2790399999999</v>
      </c>
      <c r="L80">
        <f>Debt!L57*-1</f>
        <v>-2643.5125247999999</v>
      </c>
      <c r="M80">
        <f>Debt!M57*-1</f>
        <v>-2960.7340277759999</v>
      </c>
      <c r="N80">
        <f>Debt!N57*-1</f>
        <v>-3316.02211110912</v>
      </c>
      <c r="O80">
        <f>Debt!O57*-1</f>
        <v>-3713.9447644422144</v>
      </c>
    </row>
    <row r="81" spans="1:18" x14ac:dyDescent="0.25">
      <c r="B81" s="73" t="s">
        <v>169</v>
      </c>
      <c r="H81">
        <f ca="1">(Debt!H23+Debt!H38+Debt!H47)*-1</f>
        <v>-6440.4035236655691</v>
      </c>
      <c r="I81">
        <f ca="1">(Debt!I23+Debt!I38+Debt!I47)*-1</f>
        <v>-5658.0562493693269</v>
      </c>
      <c r="J81">
        <f ca="1">(Debt!J23+Debt!J38+Debt!J47)*-1</f>
        <v>-4726.0385953765517</v>
      </c>
      <c r="K81">
        <f ca="1">(Debt!K23+Debt!K38+Debt!K47)*-1</f>
        <v>-3720.4775985194442</v>
      </c>
      <c r="L81">
        <f ca="1">(Debt!L23+Debt!L38+Debt!L47)*-1</f>
        <v>-2602.0148028712711</v>
      </c>
      <c r="M81">
        <f ca="1">(Debt!M23+Debt!M38+Debt!M47)*-1</f>
        <v>-1363.5457800223853</v>
      </c>
      <c r="N81">
        <f ca="1">(Debt!N23+Debt!N38+Debt!N47)*-1</f>
        <v>0</v>
      </c>
      <c r="O81">
        <f ca="1">(Debt!O23+Debt!O38+Debt!O47)*-1</f>
        <v>0</v>
      </c>
      <c r="R81" s="76"/>
    </row>
    <row r="82" spans="1:18" x14ac:dyDescent="0.25">
      <c r="B82" t="s">
        <v>126</v>
      </c>
      <c r="H82">
        <f t="shared" ref="H82:O82" ca="1" si="6">SUM(H77:H81)</f>
        <v>10503.760120859406</v>
      </c>
      <c r="I82">
        <f t="shared" ca="1" si="6"/>
        <v>12361.310057877612</v>
      </c>
      <c r="J82">
        <f t="shared" ca="1" si="6"/>
        <v>13774.229569938674</v>
      </c>
      <c r="K82">
        <f t="shared" ca="1" si="6"/>
        <v>13885.236710709161</v>
      </c>
      <c r="L82">
        <f t="shared" ca="1" si="6"/>
        <v>14674.384128949245</v>
      </c>
      <c r="M82">
        <f t="shared" ca="1" si="6"/>
        <v>15454.960763425282</v>
      </c>
      <c r="N82">
        <f t="shared" ca="1" si="6"/>
        <v>16224.021697947603</v>
      </c>
      <c r="O82">
        <f t="shared" ca="1" si="6"/>
        <v>16924.009092165306</v>
      </c>
    </row>
    <row r="84" spans="1:18" x14ac:dyDescent="0.25">
      <c r="A84" s="60"/>
      <c r="B84" t="s">
        <v>211</v>
      </c>
      <c r="H84">
        <f t="shared" ref="H84:O84" si="7">IF(H75=$D$20,1,0)</f>
        <v>0</v>
      </c>
      <c r="I84">
        <f t="shared" si="7"/>
        <v>0</v>
      </c>
      <c r="J84">
        <f t="shared" si="7"/>
        <v>0</v>
      </c>
      <c r="K84">
        <f t="shared" si="7"/>
        <v>0</v>
      </c>
      <c r="L84">
        <f t="shared" si="7"/>
        <v>1</v>
      </c>
      <c r="M84">
        <f t="shared" si="7"/>
        <v>0</v>
      </c>
      <c r="N84">
        <f t="shared" si="7"/>
        <v>0</v>
      </c>
      <c r="O84">
        <f t="shared" si="7"/>
        <v>0</v>
      </c>
    </row>
    <row r="86" spans="1:18" x14ac:dyDescent="0.25">
      <c r="A86" s="60" t="s">
        <v>165</v>
      </c>
    </row>
    <row r="87" spans="1:18" x14ac:dyDescent="0.25">
      <c r="B87" t="s">
        <v>103</v>
      </c>
      <c r="G87">
        <f>C58*-1</f>
        <v>-6222.6575080000039</v>
      </c>
      <c r="H87">
        <f t="shared" ref="H87:O87" si="8">H84*H79*-1</f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10966.448706625844</v>
      </c>
      <c r="M87">
        <f t="shared" si="8"/>
        <v>0</v>
      </c>
      <c r="N87">
        <f t="shared" si="8"/>
        <v>0</v>
      </c>
      <c r="O87">
        <f t="shared" si="8"/>
        <v>0</v>
      </c>
    </row>
    <row r="88" spans="1:18" x14ac:dyDescent="0.25">
      <c r="B88" t="s">
        <v>31</v>
      </c>
      <c r="G88">
        <f>C59*C65*-1</f>
        <v>-3800</v>
      </c>
      <c r="H88">
        <f t="shared" ref="H88:O88" ca="1" si="9">H84*H82*$D$65</f>
        <v>0</v>
      </c>
      <c r="I88">
        <f t="shared" ca="1" si="9"/>
        <v>0</v>
      </c>
      <c r="J88">
        <f t="shared" ca="1" si="9"/>
        <v>0</v>
      </c>
      <c r="K88">
        <f t="shared" ca="1" si="9"/>
        <v>0</v>
      </c>
      <c r="L88">
        <f t="shared" ca="1" si="9"/>
        <v>13243.631676376694</v>
      </c>
      <c r="M88">
        <f t="shared" ca="1" si="9"/>
        <v>0</v>
      </c>
      <c r="N88">
        <f t="shared" ca="1" si="9"/>
        <v>0</v>
      </c>
      <c r="O88">
        <f t="shared" ca="1" si="9"/>
        <v>0</v>
      </c>
    </row>
    <row r="89" spans="1:18" x14ac:dyDescent="0.25">
      <c r="B89" t="s">
        <v>139</v>
      </c>
      <c r="G89">
        <f>SUM(G87:G88)</f>
        <v>-10022.657508000004</v>
      </c>
      <c r="H89">
        <f t="shared" ref="H89:O89" ca="1" si="10">SUM(H87:H88)</f>
        <v>0</v>
      </c>
      <c r="I89">
        <f t="shared" ca="1" si="10"/>
        <v>0</v>
      </c>
      <c r="J89">
        <f t="shared" ca="1" si="10"/>
        <v>0</v>
      </c>
      <c r="K89">
        <f t="shared" ca="1" si="10"/>
        <v>0</v>
      </c>
      <c r="L89">
        <f t="shared" ca="1" si="10"/>
        <v>24210.08038300254</v>
      </c>
      <c r="M89">
        <f t="shared" ca="1" si="10"/>
        <v>0</v>
      </c>
      <c r="N89">
        <f t="shared" ca="1" si="10"/>
        <v>0</v>
      </c>
      <c r="O89">
        <f t="shared" ca="1" si="10"/>
        <v>0</v>
      </c>
    </row>
    <row r="90" spans="1:18" x14ac:dyDescent="0.25">
      <c r="B90" t="s">
        <v>166</v>
      </c>
      <c r="G90" s="58">
        <f ca="1">IRR(G89:O89)</f>
        <v>0.19289623612110018</v>
      </c>
    </row>
    <row r="91" spans="1:18" x14ac:dyDescent="0.25">
      <c r="B91" t="s">
        <v>167</v>
      </c>
      <c r="G91" s="82">
        <f ca="1">SUM(H89:O89)/G89*-1</f>
        <v>2.4155350378558031</v>
      </c>
    </row>
    <row r="92" spans="1:18" x14ac:dyDescent="0.25">
      <c r="G92" s="58"/>
    </row>
    <row r="93" spans="1:18" x14ac:dyDescent="0.25">
      <c r="A93" s="60" t="s">
        <v>164</v>
      </c>
    </row>
    <row r="94" spans="1:18" x14ac:dyDescent="0.25">
      <c r="B94" t="s">
        <v>168</v>
      </c>
      <c r="G94">
        <f>C57*-1</f>
        <v>-1500</v>
      </c>
      <c r="H94">
        <f>H84*H80*-1</f>
        <v>0</v>
      </c>
      <c r="I94">
        <f t="shared" ref="I94:O94" si="11">I84*I80*-1</f>
        <v>0</v>
      </c>
      <c r="J94">
        <f t="shared" si="11"/>
        <v>0</v>
      </c>
      <c r="K94">
        <f t="shared" si="11"/>
        <v>0</v>
      </c>
      <c r="L94">
        <f t="shared" si="11"/>
        <v>2643.5125247999999</v>
      </c>
      <c r="M94">
        <f t="shared" si="11"/>
        <v>0</v>
      </c>
      <c r="N94">
        <f t="shared" si="11"/>
        <v>0</v>
      </c>
      <c r="O94">
        <f t="shared" si="11"/>
        <v>0</v>
      </c>
    </row>
    <row r="95" spans="1:18" x14ac:dyDescent="0.25">
      <c r="B95" t="s">
        <v>215</v>
      </c>
      <c r="H95">
        <f>IF(H75&lt;=$D$20,Debt!H58*-1,0)</f>
        <v>0</v>
      </c>
      <c r="I95">
        <f>IF(I75&lt;=$D$20,Debt!I58*-1,0)</f>
        <v>0</v>
      </c>
      <c r="J95">
        <f>IF(J75&lt;=$D$20,Debt!J58*-1,0)</f>
        <v>0</v>
      </c>
      <c r="K95">
        <f>IF(K75&lt;=$D$20,Debt!K58*-1,0)</f>
        <v>0</v>
      </c>
      <c r="L95">
        <f>IF(L75&lt;=$D$20,Debt!L58*-1,0)</f>
        <v>0</v>
      </c>
      <c r="M95">
        <f>IF(M75&lt;=$D$20,Debt!M58*-1,0)</f>
        <v>0</v>
      </c>
      <c r="N95">
        <f>IF(N75&lt;=$D$20,Debt!N58*-1,0)</f>
        <v>0</v>
      </c>
      <c r="O95">
        <f>IF(O75&lt;=$D$20,Debt!O58*-1,0)</f>
        <v>0</v>
      </c>
    </row>
    <row r="96" spans="1:18" x14ac:dyDescent="0.25">
      <c r="B96" t="s">
        <v>31</v>
      </c>
      <c r="H96">
        <f ca="1">H84*H82*$D$66</f>
        <v>0</v>
      </c>
      <c r="I96">
        <f t="shared" ref="I96:O96" ca="1" si="12">I84*I82*$D$66</f>
        <v>0</v>
      </c>
      <c r="J96">
        <f t="shared" ca="1" si="12"/>
        <v>0</v>
      </c>
      <c r="K96">
        <f t="shared" ca="1" si="12"/>
        <v>0</v>
      </c>
      <c r="L96">
        <f t="shared" ca="1" si="12"/>
        <v>733.71920644746228</v>
      </c>
      <c r="M96">
        <f t="shared" ca="1" si="12"/>
        <v>0</v>
      </c>
      <c r="N96">
        <f t="shared" ca="1" si="12"/>
        <v>0</v>
      </c>
      <c r="O96">
        <f t="shared" ca="1" si="12"/>
        <v>0</v>
      </c>
    </row>
    <row r="97" spans="1:16" x14ac:dyDescent="0.25">
      <c r="B97" t="s">
        <v>139</v>
      </c>
      <c r="G97">
        <f>SUM(G94:G96)</f>
        <v>-1500</v>
      </c>
      <c r="H97">
        <f t="shared" ref="H97:O97" ca="1" si="13">SUM(H94:H96)</f>
        <v>0</v>
      </c>
      <c r="I97">
        <f t="shared" ca="1" si="13"/>
        <v>0</v>
      </c>
      <c r="J97">
        <f t="shared" ca="1" si="13"/>
        <v>0</v>
      </c>
      <c r="K97">
        <f t="shared" ca="1" si="13"/>
        <v>0</v>
      </c>
      <c r="L97">
        <f t="shared" ca="1" si="13"/>
        <v>3377.2317312474624</v>
      </c>
      <c r="M97">
        <f t="shared" ca="1" si="13"/>
        <v>0</v>
      </c>
      <c r="N97">
        <f t="shared" ca="1" si="13"/>
        <v>0</v>
      </c>
      <c r="O97">
        <f t="shared" ca="1" si="13"/>
        <v>0</v>
      </c>
    </row>
    <row r="98" spans="1:16" x14ac:dyDescent="0.25">
      <c r="B98" t="s">
        <v>166</v>
      </c>
      <c r="G98" s="58">
        <f ca="1">IFERROR(IRR(G97:O97),"na")</f>
        <v>0.17623451872098728</v>
      </c>
      <c r="P98" t="str">
        <f t="shared" ref="P98:P101" ca="1" si="14">IF(ISBLANK(O98),"",_xlfn.FORMULATEXT(O98))</f>
        <v/>
      </c>
    </row>
    <row r="99" spans="1:16" x14ac:dyDescent="0.25">
      <c r="B99" t="s">
        <v>167</v>
      </c>
      <c r="G99" s="82">
        <f ca="1">IFERROR(SUM(H97:O97)/G97*-1,"na")</f>
        <v>2.2514878208316418</v>
      </c>
      <c r="P99" t="str">
        <f t="shared" ca="1" si="14"/>
        <v/>
      </c>
    </row>
    <row r="100" spans="1:16" x14ac:dyDescent="0.25">
      <c r="P100" t="str">
        <f t="shared" ca="1" si="14"/>
        <v/>
      </c>
    </row>
    <row r="101" spans="1:16" x14ac:dyDescent="0.25">
      <c r="A101" s="60" t="s">
        <v>107</v>
      </c>
      <c r="P101" t="str">
        <f t="shared" ca="1" si="14"/>
        <v/>
      </c>
    </row>
    <row r="102" spans="1:16" x14ac:dyDescent="0.25">
      <c r="B102" t="s">
        <v>31</v>
      </c>
      <c r="G102">
        <f>C64*C59*-1</f>
        <v>-200</v>
      </c>
      <c r="H102">
        <f ca="1">H84*H82*$D$64</f>
        <v>0</v>
      </c>
      <c r="I102">
        <f t="shared" ref="I102:O102" ca="1" si="15">I84*I82*$D$64</f>
        <v>0</v>
      </c>
      <c r="J102">
        <f t="shared" ca="1" si="15"/>
        <v>0</v>
      </c>
      <c r="K102">
        <f t="shared" ca="1" si="15"/>
        <v>0</v>
      </c>
      <c r="L102">
        <f t="shared" ca="1" si="15"/>
        <v>697.03324612508959</v>
      </c>
      <c r="M102">
        <f t="shared" ca="1" si="15"/>
        <v>0</v>
      </c>
      <c r="N102">
        <f t="shared" ca="1" si="15"/>
        <v>0</v>
      </c>
      <c r="O102">
        <f t="shared" ca="1" si="15"/>
        <v>0</v>
      </c>
    </row>
    <row r="103" spans="1:16" x14ac:dyDescent="0.25">
      <c r="B103" t="s">
        <v>166</v>
      </c>
      <c r="G103" s="58">
        <f ca="1">IRR(G102:O102)</f>
        <v>0.28364430824603515</v>
      </c>
    </row>
    <row r="104" spans="1:16" x14ac:dyDescent="0.25">
      <c r="B104" t="s">
        <v>167</v>
      </c>
      <c r="G104" s="82">
        <f ca="1">SUM(H102:O102)/G102*-1</f>
        <v>3.4851662306254481</v>
      </c>
    </row>
    <row r="105" spans="1:16" x14ac:dyDescent="0.25">
      <c r="I105" s="82"/>
    </row>
    <row r="106" spans="1:16" x14ac:dyDescent="0.25">
      <c r="A106" s="60" t="s">
        <v>192</v>
      </c>
    </row>
    <row r="108" spans="1:16" x14ac:dyDescent="0.25">
      <c r="D108" s="60" t="s">
        <v>183</v>
      </c>
    </row>
    <row r="109" spans="1:16" x14ac:dyDescent="0.25">
      <c r="C109" s="58">
        <f ca="1">G90</f>
        <v>0.19289623612110018</v>
      </c>
      <c r="D109" s="84">
        <v>0.02</v>
      </c>
      <c r="E109" s="84">
        <v>2.5000000000000001E-2</v>
      </c>
      <c r="F109" s="84">
        <v>0.03</v>
      </c>
      <c r="G109" s="84">
        <v>3.5000000000000003E-2</v>
      </c>
      <c r="H109" s="84">
        <v>0.04</v>
      </c>
    </row>
    <row r="110" spans="1:16" x14ac:dyDescent="0.25">
      <c r="C110" s="83">
        <f>C111-1</f>
        <v>14.936629303145587</v>
      </c>
      <c r="D110" s="58">
        <f t="dataTable" ref="D110:H114" dt2D="1" dtr="1" r1="D22" r2="D17" ca="1"/>
        <v>0.15086620111741</v>
      </c>
      <c r="E110" s="58">
        <v>0.15494892248176062</v>
      </c>
      <c r="F110" s="58">
        <v>0.15897471767026539</v>
      </c>
      <c r="G110" s="58">
        <v>0.16294534203980082</v>
      </c>
      <c r="H110" s="58">
        <v>0.16686246816447592</v>
      </c>
    </row>
    <row r="111" spans="1:16" x14ac:dyDescent="0.25">
      <c r="C111" s="83">
        <f>C112-1</f>
        <v>15.936629303145587</v>
      </c>
      <c r="D111" s="58">
        <v>0.16839816265445728</v>
      </c>
      <c r="E111" s="58">
        <v>0.17243874261528802</v>
      </c>
      <c r="F111" s="58">
        <v>0.17642437812502054</v>
      </c>
      <c r="G111" s="58">
        <v>0.18035672220895238</v>
      </c>
      <c r="H111" s="58">
        <v>0.18423735179360357</v>
      </c>
    </row>
    <row r="112" spans="1:16" x14ac:dyDescent="0.25">
      <c r="B112" s="60" t="s">
        <v>171</v>
      </c>
      <c r="C112" s="83">
        <v>16.936629303145587</v>
      </c>
      <c r="D112" s="58">
        <v>0.18493693149683099</v>
      </c>
      <c r="E112" s="58">
        <v>0.18894322488993542</v>
      </c>
      <c r="F112" s="58">
        <v>0.19289623612109996</v>
      </c>
      <c r="G112" s="58">
        <v>0.19679753358181351</v>
      </c>
      <c r="H112" s="58">
        <v>0.20064861500264719</v>
      </c>
    </row>
    <row r="113" spans="3:8" x14ac:dyDescent="0.25">
      <c r="C113" s="83">
        <f>C112+1</f>
        <v>17.936629303145587</v>
      </c>
      <c r="D113" s="58">
        <v>0.20060078325894537</v>
      </c>
      <c r="E113" s="58">
        <v>0.20457910407850011</v>
      </c>
      <c r="F113" s="58">
        <v>0.2085055525320243</v>
      </c>
      <c r="G113" s="58">
        <v>0.21238162604333866</v>
      </c>
      <c r="H113" s="58">
        <v>0.21620875585424137</v>
      </c>
    </row>
    <row r="114" spans="3:8" x14ac:dyDescent="0.25">
      <c r="C114" s="83">
        <f>C113+1</f>
        <v>18.936629303145587</v>
      </c>
      <c r="D114" s="58">
        <v>0.2154874352492997</v>
      </c>
      <c r="E114" s="58">
        <v>0.21944292277598487</v>
      </c>
      <c r="F114" s="58">
        <v>0.22334774494983689</v>
      </c>
      <c r="G114" s="58">
        <v>0.22720333897008471</v>
      </c>
      <c r="H114" s="58">
        <v>0.23101107960095879</v>
      </c>
    </row>
    <row r="116" spans="3:8" x14ac:dyDescent="0.25">
      <c r="C116" s="102"/>
      <c r="D116" s="102" t="s">
        <v>228</v>
      </c>
      <c r="E116" s="102" t="s">
        <v>230</v>
      </c>
      <c r="F116" s="102" t="s">
        <v>229</v>
      </c>
    </row>
    <row r="117" spans="3:8" x14ac:dyDescent="0.25">
      <c r="C117" t="s">
        <v>171</v>
      </c>
      <c r="D117" s="58">
        <f ca="1">G90</f>
        <v>0.19289623612110018</v>
      </c>
      <c r="E117" s="58">
        <f ca="1">G103</f>
        <v>0.28364430824603515</v>
      </c>
      <c r="F117" s="58">
        <f ca="1">G98</f>
        <v>0.17623451872098728</v>
      </c>
    </row>
    <row r="118" spans="3:8" x14ac:dyDescent="0.25">
      <c r="C118" s="83">
        <f t="shared" ref="C118:C121" si="16">C119-1</f>
        <v>4</v>
      </c>
      <c r="D118" s="58">
        <f t="dataTable" ref="D118:F126" dt2D="0" dtr="0" r1="D17" ca="1"/>
        <v>-0.20536860092701037</v>
      </c>
      <c r="E118" s="58" t="e">
        <v>#NUM!</v>
      </c>
      <c r="F118" s="58">
        <v>8.0772014776615775E-2</v>
      </c>
    </row>
    <row r="119" spans="3:8" x14ac:dyDescent="0.25">
      <c r="C119" s="83">
        <f t="shared" si="16"/>
        <v>5</v>
      </c>
      <c r="D119" s="58">
        <v>-0.13686604170068983</v>
      </c>
      <c r="E119" s="58" t="e">
        <v>#NUM!</v>
      </c>
      <c r="F119" s="58">
        <v>8.9435162166894067E-2</v>
      </c>
    </row>
    <row r="120" spans="3:8" x14ac:dyDescent="0.25">
      <c r="C120" s="83">
        <f t="shared" si="16"/>
        <v>6</v>
      </c>
      <c r="D120" s="58">
        <v>-8.5021275242268213E-2</v>
      </c>
      <c r="E120" s="58" t="e">
        <v>#NUM!</v>
      </c>
      <c r="F120" s="58">
        <v>9.7831208457182184E-2</v>
      </c>
    </row>
    <row r="121" spans="3:8" x14ac:dyDescent="0.25">
      <c r="C121" s="83">
        <f t="shared" si="16"/>
        <v>7</v>
      </c>
      <c r="D121" s="58">
        <v>-4.2807318165487995E-2</v>
      </c>
      <c r="E121" s="58" t="e">
        <v>#NUM!</v>
      </c>
      <c r="F121" s="58">
        <v>0.10597799774961691</v>
      </c>
    </row>
    <row r="122" spans="3:8" x14ac:dyDescent="0.25">
      <c r="C122" s="83">
        <f>C123-1</f>
        <v>8</v>
      </c>
      <c r="D122" s="58">
        <v>-6.9458570086859961E-3</v>
      </c>
      <c r="E122" s="58" t="e">
        <v>#NUM!</v>
      </c>
      <c r="F122" s="58">
        <v>0.113891585906434</v>
      </c>
    </row>
    <row r="123" spans="3:8" x14ac:dyDescent="0.25">
      <c r="C123" s="83">
        <f>C124-1</f>
        <v>9</v>
      </c>
      <c r="D123" s="58">
        <v>2.4377971100558726E-2</v>
      </c>
      <c r="E123" s="58">
        <v>-0.3833224618479385</v>
      </c>
      <c r="F123" s="58">
        <v>0.12158647536600231</v>
      </c>
    </row>
    <row r="124" spans="3:8" x14ac:dyDescent="0.25">
      <c r="C124" s="83">
        <f>C125-1</f>
        <v>10</v>
      </c>
      <c r="D124" s="58">
        <v>5.2281672220777731E-2</v>
      </c>
      <c r="E124" s="58">
        <v>-0.123584228246024</v>
      </c>
      <c r="F124" s="58">
        <v>0.12907581234853027</v>
      </c>
    </row>
    <row r="125" spans="3:8" x14ac:dyDescent="0.25">
      <c r="C125" s="83">
        <f>C126-1</f>
        <v>11</v>
      </c>
      <c r="D125" s="58">
        <v>7.7505625429652225E-2</v>
      </c>
      <c r="E125" s="58">
        <v>-1.1258885795706886E-2</v>
      </c>
      <c r="F125" s="58">
        <v>0.13637155340288065</v>
      </c>
    </row>
    <row r="126" spans="3:8" x14ac:dyDescent="0.25">
      <c r="C126" s="83">
        <v>12</v>
      </c>
      <c r="D126" s="58">
        <v>0.10056740332610836</v>
      </c>
      <c r="E126" s="58">
        <v>6.5428653621780519E-2</v>
      </c>
      <c r="F126" s="58">
        <v>0.14348460698564769</v>
      </c>
    </row>
  </sheetData>
  <dataValidations count="1">
    <dataValidation type="list" allowBlank="1" showInputMessage="1" showErrorMessage="1" sqref="D50" xr:uid="{9E965CFA-8736-4997-ABC6-8A2CF349343F}">
      <formula1>"1,2"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workbookViewId="0">
      <selection activeCell="H8" sqref="H8:O8"/>
    </sheetView>
  </sheetViews>
  <sheetFormatPr defaultRowHeight="15" x14ac:dyDescent="0.25"/>
  <cols>
    <col min="1" max="1" width="1.5703125" customWidth="1"/>
    <col min="2" max="2" width="20.5703125" customWidth="1"/>
    <col min="3" max="15" width="11.140625" customWidth="1"/>
    <col min="16" max="17" width="10.57031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Input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L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ref="M3" si="1">EDATE(L3,12)</f>
        <v>48121</v>
      </c>
      <c r="N3" s="11">
        <f t="shared" ref="N3" si="2">EDATE(M3,12)</f>
        <v>48487</v>
      </c>
      <c r="O3" s="11">
        <f t="shared" ref="O3" si="3">EDATE(N3,12)</f>
        <v>48852</v>
      </c>
    </row>
    <row r="4" spans="1:15" x14ac:dyDescent="0.25">
      <c r="D4" s="58"/>
      <c r="E4" s="58"/>
      <c r="F4" s="58"/>
    </row>
    <row r="5" spans="1:15" x14ac:dyDescent="0.25">
      <c r="B5" t="s">
        <v>198</v>
      </c>
      <c r="C5" s="66">
        <v>1</v>
      </c>
      <c r="E5">
        <v>1</v>
      </c>
      <c r="F5" t="s">
        <v>199</v>
      </c>
    </row>
    <row r="6" spans="1:15" x14ac:dyDescent="0.25">
      <c r="E6">
        <v>2</v>
      </c>
      <c r="F6" t="s">
        <v>203</v>
      </c>
    </row>
    <row r="7" spans="1:15" x14ac:dyDescent="0.25">
      <c r="A7" s="60" t="s">
        <v>68</v>
      </c>
      <c r="D7" s="58"/>
      <c r="E7" s="58"/>
      <c r="F7" s="58"/>
    </row>
    <row r="8" spans="1:15" x14ac:dyDescent="0.25">
      <c r="A8" s="60"/>
      <c r="B8" t="s">
        <v>200</v>
      </c>
      <c r="D8" s="58"/>
      <c r="F8" s="58"/>
      <c r="H8" s="70">
        <v>4.4999999999999998E-2</v>
      </c>
      <c r="I8" s="70">
        <v>5.2999999999999999E-2</v>
      </c>
      <c r="J8" s="70">
        <v>4.9000000000000002E-2</v>
      </c>
      <c r="K8" s="70">
        <v>4.5999999999999999E-2</v>
      </c>
      <c r="L8" s="70">
        <v>0.04</v>
      </c>
      <c r="M8" s="70">
        <f t="shared" ref="M8" si="4">L8</f>
        <v>0.04</v>
      </c>
      <c r="N8" s="70">
        <f t="shared" ref="N8" si="5">M8</f>
        <v>0.04</v>
      </c>
      <c r="O8" s="70">
        <f t="shared" ref="O8" si="6">N8</f>
        <v>0.04</v>
      </c>
    </row>
    <row r="9" spans="1:15" x14ac:dyDescent="0.25">
      <c r="A9" s="60"/>
      <c r="B9" t="s">
        <v>201</v>
      </c>
      <c r="D9" s="58"/>
      <c r="F9" s="58"/>
      <c r="H9" s="70">
        <v>0.03</v>
      </c>
      <c r="I9" s="70">
        <v>0.04</v>
      </c>
      <c r="J9" s="70">
        <v>0.04</v>
      </c>
      <c r="K9" s="70">
        <v>0.04</v>
      </c>
      <c r="L9" s="70">
        <v>0.03</v>
      </c>
      <c r="M9" s="70">
        <f t="shared" ref="M9" si="7">L9</f>
        <v>0.03</v>
      </c>
      <c r="N9" s="70">
        <f t="shared" ref="N9" si="8">M9</f>
        <v>0.03</v>
      </c>
      <c r="O9" s="70">
        <f t="shared" ref="O9" si="9">N9</f>
        <v>0.03</v>
      </c>
    </row>
    <row r="10" spans="1:15" x14ac:dyDescent="0.25">
      <c r="A10" s="60"/>
      <c r="B10" t="s">
        <v>202</v>
      </c>
      <c r="C10" s="58"/>
      <c r="D10" s="58">
        <f>IS!D5/IS!C5-1</f>
        <v>1.7418058209066167E-2</v>
      </c>
      <c r="H10" s="58" cm="1">
        <f t="array" ref="H10">INDEX(H8:H9,$C$5,)</f>
        <v>4.4999999999999998E-2</v>
      </c>
      <c r="I10" s="58" cm="1">
        <f t="array" ref="I10">INDEX(I8:I9,$C$5,)</f>
        <v>5.2999999999999999E-2</v>
      </c>
      <c r="J10" s="58" cm="1">
        <f t="array" ref="J10">INDEX(J8:J9,$C$5,)</f>
        <v>4.9000000000000002E-2</v>
      </c>
      <c r="K10" s="58" cm="1">
        <f t="array" ref="K10">INDEX(K8:K9,$C$5,)</f>
        <v>4.5999999999999999E-2</v>
      </c>
      <c r="L10" s="58" cm="1">
        <f t="array" ref="L10">INDEX(L8:L9,$C$5,)</f>
        <v>0.04</v>
      </c>
      <c r="M10" s="58" cm="1">
        <f t="array" ref="M10">INDEX(M8:M9,$C$5,)</f>
        <v>0.04</v>
      </c>
      <c r="N10" s="58" cm="1">
        <f t="array" ref="N10">INDEX(N8:N9,$C$5,)</f>
        <v>0.04</v>
      </c>
      <c r="O10" s="58" cm="1">
        <f t="array" ref="O10">INDEX(O8:O9,$C$5,)</f>
        <v>0.04</v>
      </c>
    </row>
    <row r="11" spans="1:15" x14ac:dyDescent="0.25">
      <c r="A11" s="60"/>
      <c r="B11" t="s">
        <v>161</v>
      </c>
      <c r="C11" s="58">
        <f>IS!C6/IS!C5</f>
        <v>-0.44475597350073193</v>
      </c>
      <c r="D11" s="58">
        <f>IS!D6/IS!D5</f>
        <v>-0.44228752591147419</v>
      </c>
      <c r="H11" s="70">
        <v>-0.4</v>
      </c>
      <c r="I11" s="70">
        <v>-0.39</v>
      </c>
      <c r="J11" s="70">
        <v>-0.39</v>
      </c>
      <c r="K11" s="70">
        <v>-0.4</v>
      </c>
      <c r="L11" s="70">
        <f t="shared" ref="L11:O11" si="10">K11</f>
        <v>-0.4</v>
      </c>
      <c r="M11" s="70">
        <f t="shared" si="10"/>
        <v>-0.4</v>
      </c>
      <c r="N11" s="70">
        <f t="shared" si="10"/>
        <v>-0.4</v>
      </c>
      <c r="O11" s="70">
        <f t="shared" si="10"/>
        <v>-0.4</v>
      </c>
    </row>
    <row r="12" spans="1:15" x14ac:dyDescent="0.25">
      <c r="A12" s="60"/>
      <c r="B12" t="s">
        <v>19</v>
      </c>
      <c r="C12" s="58">
        <f>IS!C8/IS!C5</f>
        <v>-0.3145175297124283</v>
      </c>
      <c r="D12" s="58">
        <f>IS!D8/IS!D5</f>
        <v>-0.32144860382880136</v>
      </c>
      <c r="H12" s="70">
        <v>-0.29499999999999998</v>
      </c>
      <c r="I12" s="70">
        <v>-0.3</v>
      </c>
      <c r="J12" s="70">
        <f>I12</f>
        <v>-0.3</v>
      </c>
      <c r="K12" s="70">
        <f t="shared" ref="K12:O12" si="11">J12</f>
        <v>-0.3</v>
      </c>
      <c r="L12" s="70">
        <f t="shared" si="11"/>
        <v>-0.3</v>
      </c>
      <c r="M12" s="70">
        <f t="shared" si="11"/>
        <v>-0.3</v>
      </c>
      <c r="N12" s="70">
        <f t="shared" si="11"/>
        <v>-0.3</v>
      </c>
      <c r="O12" s="70">
        <f t="shared" si="11"/>
        <v>-0.3</v>
      </c>
    </row>
    <row r="13" spans="1:15" x14ac:dyDescent="0.25">
      <c r="A13" s="60"/>
      <c r="B13" t="s">
        <v>143</v>
      </c>
      <c r="C13">
        <f>IS!C9</f>
        <v>-107.7</v>
      </c>
      <c r="D13">
        <f>IS!D9</f>
        <v>-247.2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</row>
    <row r="14" spans="1:15" x14ac:dyDescent="0.25">
      <c r="A14" s="60"/>
      <c r="B14" t="s">
        <v>204</v>
      </c>
      <c r="H14" s="77">
        <f>I14-0.005</f>
        <v>1.9999999999999997E-2</v>
      </c>
      <c r="I14" s="77">
        <f>J14-0.005</f>
        <v>2.4999999999999998E-2</v>
      </c>
      <c r="J14" s="77">
        <f>LBO!D22</f>
        <v>0.03</v>
      </c>
      <c r="K14" s="77">
        <f>J14</f>
        <v>0.03</v>
      </c>
      <c r="L14" s="77">
        <f t="shared" ref="L14" si="12">K14</f>
        <v>0.03</v>
      </c>
      <c r="M14" s="77">
        <f t="shared" ref="M14" si="13">L14</f>
        <v>0.03</v>
      </c>
      <c r="N14" s="77">
        <f t="shared" ref="N14" si="14">M14</f>
        <v>0.03</v>
      </c>
      <c r="O14" s="77">
        <f t="shared" ref="O14" si="15">N14</f>
        <v>0.03</v>
      </c>
    </row>
    <row r="15" spans="1:15" x14ac:dyDescent="0.25">
      <c r="A15" s="60"/>
      <c r="B15" t="s">
        <v>205</v>
      </c>
      <c r="H15" s="77">
        <f>I15-0.005</f>
        <v>0</v>
      </c>
      <c r="I15" s="77">
        <f>J15-0.005</f>
        <v>4.9999999999999984E-3</v>
      </c>
      <c r="J15" s="70">
        <f>LBO!D22-0.02</f>
        <v>9.9999999999999985E-3</v>
      </c>
      <c r="K15" s="77">
        <f>J15</f>
        <v>9.9999999999999985E-3</v>
      </c>
      <c r="L15" s="77">
        <f t="shared" ref="L15" si="16">K15</f>
        <v>9.9999999999999985E-3</v>
      </c>
      <c r="M15" s="77">
        <f t="shared" ref="M15" si="17">L15</f>
        <v>9.9999999999999985E-3</v>
      </c>
      <c r="N15" s="77">
        <f t="shared" ref="N15" si="18">M15</f>
        <v>9.9999999999999985E-3</v>
      </c>
      <c r="O15" s="77">
        <f t="shared" ref="O15" si="19">N15</f>
        <v>9.9999999999999985E-3</v>
      </c>
    </row>
    <row r="16" spans="1:15" x14ac:dyDescent="0.25">
      <c r="A16" s="60"/>
      <c r="B16" t="s">
        <v>206</v>
      </c>
      <c r="C16" s="58"/>
      <c r="D16" s="58"/>
      <c r="H16" s="58" cm="1">
        <f t="array" ref="H16">INDEX(H14:H15,$C$5,)</f>
        <v>1.9999999999999997E-2</v>
      </c>
      <c r="I16" s="58" cm="1">
        <f t="array" ref="I16">INDEX(I14:I15,$C$5,)</f>
        <v>2.4999999999999998E-2</v>
      </c>
      <c r="J16" s="58" cm="1">
        <f t="array" ref="J16">INDEX(J14:J15,$C$5,)</f>
        <v>0.03</v>
      </c>
      <c r="K16" s="58" cm="1">
        <f t="array" ref="K16">INDEX(K14:K15,$C$5,)</f>
        <v>0.03</v>
      </c>
      <c r="L16" s="58" cm="1">
        <f t="array" ref="L16">INDEX(L14:L15,$C$5,)</f>
        <v>0.03</v>
      </c>
      <c r="M16" s="58" cm="1">
        <f t="array" ref="M16">INDEX(M14:M15,$C$5,)</f>
        <v>0.03</v>
      </c>
      <c r="N16" s="58" cm="1">
        <f t="array" ref="N16">INDEX(N14:N15,$C$5,)</f>
        <v>0.03</v>
      </c>
      <c r="O16" s="58" cm="1">
        <f t="array" ref="O16">INDEX(O14:O15,$C$5,)</f>
        <v>0.03</v>
      </c>
    </row>
    <row r="17" spans="1:15" x14ac:dyDescent="0.25">
      <c r="B17" t="s">
        <v>181</v>
      </c>
      <c r="C17" s="58"/>
      <c r="D17" s="58">
        <f>Calc!D8/Calc!C9</f>
        <v>-0.17285714285714288</v>
      </c>
      <c r="G17" s="58"/>
      <c r="H17" s="77">
        <v>-0.17</v>
      </c>
      <c r="I17" s="77">
        <f>H17</f>
        <v>-0.17</v>
      </c>
      <c r="J17" s="77">
        <f t="shared" ref="J17:O18" si="20">I17</f>
        <v>-0.17</v>
      </c>
      <c r="K17" s="77">
        <f t="shared" si="20"/>
        <v>-0.17</v>
      </c>
      <c r="L17" s="77">
        <f t="shared" si="20"/>
        <v>-0.17</v>
      </c>
      <c r="M17" s="77">
        <f t="shared" si="20"/>
        <v>-0.17</v>
      </c>
      <c r="N17" s="77">
        <f t="shared" si="20"/>
        <v>-0.17</v>
      </c>
      <c r="O17" s="77">
        <f t="shared" si="20"/>
        <v>-0.17</v>
      </c>
    </row>
    <row r="18" spans="1:15" x14ac:dyDescent="0.25">
      <c r="B18" t="s">
        <v>20</v>
      </c>
      <c r="C18" s="58">
        <f>IS!C14/IS!C13</f>
        <v>-8.7388741185990021E-2</v>
      </c>
      <c r="D18" s="58">
        <f>IS!D14/IS!D13</f>
        <v>-0.16955372871403401</v>
      </c>
      <c r="G18" s="58"/>
      <c r="H18" s="77">
        <v>-0.19</v>
      </c>
      <c r="I18" s="77">
        <v>-0.19</v>
      </c>
      <c r="J18" s="77">
        <v>-0.18</v>
      </c>
      <c r="K18" s="77">
        <v>-0.19</v>
      </c>
      <c r="L18" s="77">
        <f>K18</f>
        <v>-0.19</v>
      </c>
      <c r="M18" s="77">
        <f t="shared" si="20"/>
        <v>-0.19</v>
      </c>
      <c r="N18" s="77">
        <f t="shared" si="20"/>
        <v>-0.19</v>
      </c>
      <c r="O18" s="77">
        <f t="shared" si="20"/>
        <v>-0.19</v>
      </c>
    </row>
    <row r="20" spans="1:15" x14ac:dyDescent="0.25">
      <c r="A20" s="60" t="s">
        <v>21</v>
      </c>
    </row>
    <row r="21" spans="1:15" x14ac:dyDescent="0.25">
      <c r="B21" t="s">
        <v>22</v>
      </c>
      <c r="C21">
        <f>BS!C7/IS!C6*365</f>
        <v>-138.46582984658298</v>
      </c>
      <c r="D21">
        <f>BS!D7/IS!D6*365</f>
        <v>-136.65361711513012</v>
      </c>
      <c r="H21" s="66">
        <f>D21</f>
        <v>-136.65361711513012</v>
      </c>
      <c r="I21" s="66">
        <f>H21</f>
        <v>-136.65361711513012</v>
      </c>
      <c r="J21" s="66">
        <f t="shared" ref="J21:O21" si="21">I21</f>
        <v>-136.65361711513012</v>
      </c>
      <c r="K21" s="66">
        <f t="shared" si="21"/>
        <v>-136.65361711513012</v>
      </c>
      <c r="L21" s="66">
        <f t="shared" si="21"/>
        <v>-136.65361711513012</v>
      </c>
      <c r="M21" s="66">
        <f t="shared" si="21"/>
        <v>-136.65361711513012</v>
      </c>
      <c r="N21" s="66">
        <f t="shared" si="21"/>
        <v>-136.65361711513012</v>
      </c>
      <c r="O21" s="66">
        <f t="shared" si="21"/>
        <v>-136.65361711513012</v>
      </c>
    </row>
    <row r="22" spans="1:15" x14ac:dyDescent="0.25">
      <c r="B22" t="s">
        <v>23</v>
      </c>
      <c r="C22">
        <f>BS!C6/IS!C5*365</f>
        <v>54.338386720591515</v>
      </c>
      <c r="D22">
        <f>BS!D6/IS!D5*365</f>
        <v>53.497134495793198</v>
      </c>
      <c r="H22" s="66">
        <f>D22</f>
        <v>53.497134495793198</v>
      </c>
      <c r="I22" s="66">
        <f>H22</f>
        <v>53.497134495793198</v>
      </c>
      <c r="J22" s="66">
        <f t="shared" ref="J22:O24" si="22">I22</f>
        <v>53.497134495793198</v>
      </c>
      <c r="K22" s="66">
        <f t="shared" si="22"/>
        <v>53.497134495793198</v>
      </c>
      <c r="L22" s="66">
        <f t="shared" si="22"/>
        <v>53.497134495793198</v>
      </c>
      <c r="M22" s="66">
        <f t="shared" si="22"/>
        <v>53.497134495793198</v>
      </c>
      <c r="N22" s="66">
        <f t="shared" si="22"/>
        <v>53.497134495793198</v>
      </c>
      <c r="O22" s="66">
        <f t="shared" si="22"/>
        <v>53.497134495793198</v>
      </c>
    </row>
    <row r="23" spans="1:15" x14ac:dyDescent="0.25">
      <c r="B23" t="s">
        <v>24</v>
      </c>
      <c r="C23" s="62">
        <f>BS!C8/IS!C5</f>
        <v>5.210530233481378E-2</v>
      </c>
      <c r="D23" s="62">
        <f>BS!D8/IS!D5</f>
        <v>4.5116449213510545E-2</v>
      </c>
      <c r="G23" s="62"/>
      <c r="H23" s="77">
        <f>D23</f>
        <v>4.5116449213510545E-2</v>
      </c>
      <c r="I23" s="77">
        <f>H23</f>
        <v>4.5116449213510545E-2</v>
      </c>
      <c r="J23" s="77">
        <f t="shared" si="22"/>
        <v>4.5116449213510545E-2</v>
      </c>
      <c r="K23" s="77">
        <f t="shared" si="22"/>
        <v>4.5116449213510545E-2</v>
      </c>
      <c r="L23" s="77">
        <f t="shared" si="22"/>
        <v>4.5116449213510545E-2</v>
      </c>
      <c r="M23" s="77">
        <f t="shared" si="22"/>
        <v>4.5116449213510545E-2</v>
      </c>
      <c r="N23" s="77">
        <f t="shared" si="22"/>
        <v>4.5116449213510545E-2</v>
      </c>
      <c r="O23" s="77">
        <f t="shared" si="22"/>
        <v>4.5116449213510545E-2</v>
      </c>
    </row>
    <row r="24" spans="1:15" x14ac:dyDescent="0.25">
      <c r="B24" t="s">
        <v>25</v>
      </c>
      <c r="C24" s="62">
        <f>Calc!C7/IS!C5</f>
        <v>3.4786492320670916E-2</v>
      </c>
      <c r="D24" s="62">
        <f>Calc!D7/IS!D5</f>
        <v>3.7166199243994634E-2</v>
      </c>
      <c r="G24" s="76"/>
      <c r="H24" s="77">
        <v>3.6999999999999998E-2</v>
      </c>
      <c r="I24" s="77">
        <v>3.3000000000000002E-2</v>
      </c>
      <c r="J24" s="77">
        <v>3.2000000000000001E-2</v>
      </c>
      <c r="K24" s="77">
        <f>J24</f>
        <v>3.2000000000000001E-2</v>
      </c>
      <c r="L24" s="77">
        <f>K24</f>
        <v>3.2000000000000001E-2</v>
      </c>
      <c r="M24" s="77">
        <f t="shared" si="22"/>
        <v>3.2000000000000001E-2</v>
      </c>
      <c r="N24" s="77">
        <f t="shared" si="22"/>
        <v>3.2000000000000001E-2</v>
      </c>
      <c r="O24" s="77">
        <f t="shared" si="22"/>
        <v>3.2000000000000001E-2</v>
      </c>
    </row>
    <row r="25" spans="1:15" x14ac:dyDescent="0.25">
      <c r="B25" t="s">
        <v>127</v>
      </c>
      <c r="C25">
        <f>BS!C12</f>
        <v>1261</v>
      </c>
      <c r="D25">
        <f>BS!D12</f>
        <v>1053</v>
      </c>
      <c r="H25" s="66">
        <f>D25</f>
        <v>1053</v>
      </c>
      <c r="I25" s="66">
        <f t="shared" ref="I25:I28" si="23">H25</f>
        <v>1053</v>
      </c>
      <c r="J25" s="66">
        <f t="shared" ref="J25:O28" si="24">I25</f>
        <v>1053</v>
      </c>
      <c r="K25" s="66">
        <f t="shared" si="24"/>
        <v>1053</v>
      </c>
      <c r="L25" s="66">
        <f t="shared" si="24"/>
        <v>1053</v>
      </c>
      <c r="M25" s="66">
        <f t="shared" si="24"/>
        <v>1053</v>
      </c>
      <c r="N25" s="66">
        <f t="shared" si="24"/>
        <v>1053</v>
      </c>
      <c r="O25" s="66">
        <f t="shared" si="24"/>
        <v>1053</v>
      </c>
    </row>
    <row r="26" spans="1:15" x14ac:dyDescent="0.25">
      <c r="B26" t="s">
        <v>26</v>
      </c>
      <c r="C26">
        <f>BS!C17/IS!C6*365</f>
        <v>-41.499023709902374</v>
      </c>
      <c r="D26">
        <f>BS!D17/IS!D6*365</f>
        <v>-38.923136303484789</v>
      </c>
      <c r="H26" s="66">
        <f>D26</f>
        <v>-38.923136303484789</v>
      </c>
      <c r="I26" s="66">
        <f t="shared" si="23"/>
        <v>-38.923136303484789</v>
      </c>
      <c r="J26" s="66">
        <f t="shared" si="24"/>
        <v>-38.923136303484789</v>
      </c>
      <c r="K26" s="66">
        <f t="shared" si="24"/>
        <v>-38.923136303484789</v>
      </c>
      <c r="L26" s="66">
        <f t="shared" si="24"/>
        <v>-38.923136303484789</v>
      </c>
      <c r="M26" s="66">
        <f t="shared" si="24"/>
        <v>-38.923136303484789</v>
      </c>
      <c r="N26" s="66">
        <f t="shared" si="24"/>
        <v>-38.923136303484789</v>
      </c>
      <c r="O26" s="66">
        <f t="shared" si="24"/>
        <v>-38.923136303484789</v>
      </c>
    </row>
    <row r="27" spans="1:15" x14ac:dyDescent="0.25">
      <c r="B27" t="s">
        <v>135</v>
      </c>
      <c r="C27" s="58">
        <f>BS!C18/IS!C5</f>
        <v>0.19070540654541845</v>
      </c>
      <c r="D27" s="58">
        <f>BS!D18/IS!D5</f>
        <v>0.18300207291793683</v>
      </c>
      <c r="H27" s="70">
        <f>D27</f>
        <v>0.18300207291793683</v>
      </c>
      <c r="I27" s="70">
        <f t="shared" si="23"/>
        <v>0.18300207291793683</v>
      </c>
      <c r="J27" s="70">
        <f t="shared" si="24"/>
        <v>0.18300207291793683</v>
      </c>
      <c r="K27" s="70">
        <f t="shared" si="24"/>
        <v>0.18300207291793683</v>
      </c>
      <c r="L27" s="70">
        <f t="shared" si="24"/>
        <v>0.18300207291793683</v>
      </c>
      <c r="M27" s="70">
        <f t="shared" si="24"/>
        <v>0.18300207291793683</v>
      </c>
      <c r="N27" s="70">
        <f t="shared" si="24"/>
        <v>0.18300207291793683</v>
      </c>
      <c r="O27" s="70">
        <f t="shared" si="24"/>
        <v>0.18300207291793683</v>
      </c>
    </row>
    <row r="28" spans="1:15" x14ac:dyDescent="0.25">
      <c r="B28" t="s">
        <v>128</v>
      </c>
      <c r="C28">
        <f>BS!C27</f>
        <v>397.8</v>
      </c>
      <c r="D28">
        <f>BS!D27</f>
        <v>397.8</v>
      </c>
      <c r="H28" s="66">
        <f>D28</f>
        <v>397.8</v>
      </c>
      <c r="I28" s="66">
        <f t="shared" si="23"/>
        <v>397.8</v>
      </c>
      <c r="J28" s="66">
        <f t="shared" si="24"/>
        <v>397.8</v>
      </c>
      <c r="K28" s="66">
        <f t="shared" si="24"/>
        <v>397.8</v>
      </c>
      <c r="L28" s="66">
        <f t="shared" si="24"/>
        <v>397.8</v>
      </c>
      <c r="M28" s="66">
        <f t="shared" si="24"/>
        <v>397.8</v>
      </c>
      <c r="N28" s="66">
        <f t="shared" si="24"/>
        <v>397.8</v>
      </c>
      <c r="O28" s="66">
        <f t="shared" si="24"/>
        <v>397.8</v>
      </c>
    </row>
  </sheetData>
  <conditionalFormatting sqref="E5:F6">
    <cfRule type="expression" dxfId="0" priority="1">
      <formula>$C$5=$E5</formula>
    </cfRule>
  </conditionalFormatting>
  <dataValidations count="1">
    <dataValidation type="list" allowBlank="1" showInputMessage="1" showErrorMessage="1" sqref="C5" xr:uid="{A97C3495-A12C-4C2A-AE63-2E9CB2034A3A}">
      <formula1>"1,2"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workbookViewId="0">
      <selection activeCell="B31" sqref="B31:B35"/>
    </sheetView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Calc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A5" s="60" t="s">
        <v>27</v>
      </c>
    </row>
    <row r="6" spans="1:15" x14ac:dyDescent="0.25">
      <c r="B6" t="s">
        <v>28</v>
      </c>
      <c r="H6">
        <f>G9</f>
        <v>654</v>
      </c>
      <c r="I6">
        <f>H9</f>
        <v>701.3658324999999</v>
      </c>
      <c r="J6">
        <f t="shared" ref="J6:O6" si="1">I9</f>
        <v>731.03388782749994</v>
      </c>
      <c r="K6">
        <f t="shared" si="1"/>
        <v>758.2212628466649</v>
      </c>
      <c r="L6">
        <f t="shared" si="1"/>
        <v>787.75408836626445</v>
      </c>
      <c r="M6">
        <f t="shared" si="1"/>
        <v>818.60355115567347</v>
      </c>
      <c r="N6">
        <f t="shared" si="1"/>
        <v>850.79931158334989</v>
      </c>
      <c r="O6">
        <f t="shared" si="1"/>
        <v>884.37612730328681</v>
      </c>
    </row>
    <row r="7" spans="1:15" x14ac:dyDescent="0.25">
      <c r="B7" t="s">
        <v>29</v>
      </c>
      <c r="C7" s="59">
        <v>140.19999999999999</v>
      </c>
      <c r="D7" s="59">
        <v>152.4</v>
      </c>
      <c r="H7">
        <f>Input!H24*IS!H5</f>
        <v>158.54583249999999</v>
      </c>
      <c r="I7">
        <f>Input!I24*IS!I5</f>
        <v>148.9002468525</v>
      </c>
      <c r="J7">
        <f>Input!J24*IS!J5</f>
        <v>151.46313594983999</v>
      </c>
      <c r="K7">
        <f>Input!K24*IS!K5</f>
        <v>158.43044020353264</v>
      </c>
      <c r="L7">
        <f>Input!L24*IS!L5</f>
        <v>164.76765781167396</v>
      </c>
      <c r="M7">
        <f>Input!M24*IS!M5</f>
        <v>171.35836412414091</v>
      </c>
      <c r="N7">
        <f>Input!N24*IS!N5</f>
        <v>178.21269868910656</v>
      </c>
      <c r="O7">
        <f>Input!O24*IS!O5</f>
        <v>185.34120663667085</v>
      </c>
    </row>
    <row r="8" spans="1:15" x14ac:dyDescent="0.25">
      <c r="B8" t="s">
        <v>14</v>
      </c>
      <c r="C8" s="59">
        <v>-99.3</v>
      </c>
      <c r="D8" s="59">
        <v>-108.9</v>
      </c>
      <c r="H8">
        <f>Input!H17*Calc!H6</f>
        <v>-111.18</v>
      </c>
      <c r="I8">
        <f>Input!I17*Calc!I6</f>
        <v>-119.23219152499999</v>
      </c>
      <c r="J8">
        <f>Input!J17*Calc!J6</f>
        <v>-124.27576093067501</v>
      </c>
      <c r="K8">
        <f>Input!K17*Calc!K6</f>
        <v>-128.89761468393303</v>
      </c>
      <c r="L8">
        <f>Input!L17*Calc!L6</f>
        <v>-133.91819502226497</v>
      </c>
      <c r="M8">
        <f>Input!M17*Calc!M6</f>
        <v>-139.16260369646449</v>
      </c>
      <c r="N8">
        <f>Input!N17*Calc!N6</f>
        <v>-144.6358829691695</v>
      </c>
      <c r="O8">
        <f>Input!O17*Calc!O6</f>
        <v>-150.34394164155876</v>
      </c>
    </row>
    <row r="9" spans="1:15" x14ac:dyDescent="0.25">
      <c r="B9" t="s">
        <v>30</v>
      </c>
      <c r="C9" s="75">
        <v>630</v>
      </c>
      <c r="D9" s="75">
        <v>654</v>
      </c>
      <c r="G9">
        <f>BS!G11</f>
        <v>654</v>
      </c>
      <c r="H9">
        <f t="shared" ref="H9:O9" si="2">SUM(H6:H8)</f>
        <v>701.3658324999999</v>
      </c>
      <c r="I9">
        <f t="shared" si="2"/>
        <v>731.03388782749994</v>
      </c>
      <c r="J9">
        <f t="shared" si="2"/>
        <v>758.2212628466649</v>
      </c>
      <c r="K9">
        <f t="shared" si="2"/>
        <v>787.75408836626445</v>
      </c>
      <c r="L9">
        <f t="shared" si="2"/>
        <v>818.60355115567347</v>
      </c>
      <c r="M9">
        <f t="shared" si="2"/>
        <v>850.79931158334989</v>
      </c>
      <c r="N9">
        <f t="shared" si="2"/>
        <v>884.37612730328681</v>
      </c>
      <c r="O9">
        <f t="shared" si="2"/>
        <v>919.37339229839881</v>
      </c>
    </row>
    <row r="10" spans="1:15" x14ac:dyDescent="0.25">
      <c r="D10" s="75"/>
      <c r="I10" s="58"/>
      <c r="J10" s="58"/>
      <c r="K10" s="58"/>
      <c r="L10" s="58"/>
      <c r="M10" s="58"/>
      <c r="N10" s="58"/>
      <c r="O10" s="58"/>
    </row>
    <row r="11" spans="1:15" x14ac:dyDescent="0.25">
      <c r="A11" s="60" t="s">
        <v>103</v>
      </c>
    </row>
    <row r="12" spans="1:15" x14ac:dyDescent="0.25">
      <c r="B12" t="s">
        <v>28</v>
      </c>
      <c r="H12">
        <f>G14</f>
        <v>6222.6575080000039</v>
      </c>
      <c r="I12">
        <f t="shared" ref="I12:O12" si="3">H14</f>
        <v>6969.3764089600045</v>
      </c>
      <c r="J12">
        <f t="shared" si="3"/>
        <v>7805.7015780352049</v>
      </c>
      <c r="K12">
        <f t="shared" si="3"/>
        <v>8742.3857673994298</v>
      </c>
      <c r="L12">
        <f t="shared" si="3"/>
        <v>9791.4720594873615</v>
      </c>
      <c r="M12">
        <f t="shared" si="3"/>
        <v>10966.448706625844</v>
      </c>
      <c r="N12">
        <f t="shared" si="3"/>
        <v>12282.422551420947</v>
      </c>
      <c r="O12">
        <f t="shared" si="3"/>
        <v>13756.313257591461</v>
      </c>
    </row>
    <row r="13" spans="1:15" x14ac:dyDescent="0.25">
      <c r="B13" t="s">
        <v>137</v>
      </c>
      <c r="H13">
        <f>H12*LBO!$G$58</f>
        <v>746.71890096000038</v>
      </c>
      <c r="I13">
        <f>I12*LBO!$G$58</f>
        <v>836.32516907520051</v>
      </c>
      <c r="J13">
        <f>J12*LBO!$G$58</f>
        <v>936.68418936422449</v>
      </c>
      <c r="K13">
        <f>K12*LBO!$G$58</f>
        <v>1049.0862920879315</v>
      </c>
      <c r="L13">
        <f>L12*LBO!$G$58</f>
        <v>1174.9766471384833</v>
      </c>
      <c r="M13">
        <f>M12*LBO!$G$58</f>
        <v>1315.9738447951013</v>
      </c>
      <c r="N13">
        <f>N12*LBO!$G$58</f>
        <v>1473.8907061705136</v>
      </c>
      <c r="O13">
        <f>O12*LBO!$G$58</f>
        <v>1650.7575909109753</v>
      </c>
    </row>
    <row r="14" spans="1:15" x14ac:dyDescent="0.25">
      <c r="B14" t="s">
        <v>138</v>
      </c>
      <c r="G14">
        <f>LBO!C58</f>
        <v>6222.6575080000039</v>
      </c>
      <c r="H14">
        <f>SUM(H12:H13)</f>
        <v>6969.3764089600045</v>
      </c>
      <c r="I14">
        <f t="shared" ref="I14:O14" si="4">SUM(I12:I13)</f>
        <v>7805.7015780352049</v>
      </c>
      <c r="J14">
        <f t="shared" si="4"/>
        <v>8742.3857673994298</v>
      </c>
      <c r="K14">
        <f t="shared" si="4"/>
        <v>9791.4720594873615</v>
      </c>
      <c r="L14">
        <f t="shared" si="4"/>
        <v>10966.448706625844</v>
      </c>
      <c r="M14">
        <f t="shared" si="4"/>
        <v>12282.422551420947</v>
      </c>
      <c r="N14">
        <f t="shared" si="4"/>
        <v>13756.313257591461</v>
      </c>
      <c r="O14">
        <f t="shared" si="4"/>
        <v>15407.070848502435</v>
      </c>
    </row>
    <row r="16" spans="1:15" x14ac:dyDescent="0.25">
      <c r="A16" s="60" t="s">
        <v>31</v>
      </c>
    </row>
    <row r="17" spans="1:15" x14ac:dyDescent="0.25">
      <c r="B17" t="s">
        <v>28</v>
      </c>
      <c r="H17">
        <f>G20</f>
        <v>3634.9478920000001</v>
      </c>
      <c r="I17">
        <f ca="1">H20</f>
        <v>3462.8499723375353</v>
      </c>
      <c r="J17">
        <f t="shared" ref="J17:O17" ca="1" si="5">I20</f>
        <v>3311.5946465139896</v>
      </c>
      <c r="K17">
        <f t="shared" ca="1" si="5"/>
        <v>3169.4112295559817</v>
      </c>
      <c r="L17">
        <f t="shared" ca="1" si="5"/>
        <v>2951.1194700980159</v>
      </c>
      <c r="M17">
        <f t="shared" ca="1" si="5"/>
        <v>2688.9755967589163</v>
      </c>
      <c r="N17">
        <f t="shared" ca="1" si="5"/>
        <v>2376.4843588719377</v>
      </c>
      <c r="O17">
        <f t="shared" ca="1" si="5"/>
        <v>2009.0769203160471</v>
      </c>
    </row>
    <row r="18" spans="1:15" x14ac:dyDescent="0.25">
      <c r="B18" t="s">
        <v>137</v>
      </c>
      <c r="H18">
        <f>H13*-1</f>
        <v>-746.71890096000038</v>
      </c>
      <c r="I18">
        <f t="shared" ref="I18:O18" si="6">I13*-1</f>
        <v>-836.32516907520051</v>
      </c>
      <c r="J18">
        <f t="shared" si="6"/>
        <v>-936.68418936422449</v>
      </c>
      <c r="K18">
        <f t="shared" si="6"/>
        <v>-1049.0862920879315</v>
      </c>
      <c r="L18">
        <f t="shared" si="6"/>
        <v>-1174.9766471384833</v>
      </c>
      <c r="M18">
        <f t="shared" si="6"/>
        <v>-1315.9738447951013</v>
      </c>
      <c r="N18">
        <f t="shared" si="6"/>
        <v>-1473.8907061705136</v>
      </c>
      <c r="O18">
        <f t="shared" si="6"/>
        <v>-1650.7575909109753</v>
      </c>
    </row>
    <row r="19" spans="1:15" x14ac:dyDescent="0.25">
      <c r="B19" t="s">
        <v>32</v>
      </c>
      <c r="H19">
        <f ca="1">IS!H15</f>
        <v>574.62098129753599</v>
      </c>
      <c r="I19">
        <f ca="1">IS!I15</f>
        <v>685.06984325165445</v>
      </c>
      <c r="J19">
        <f ca="1">IS!J15</f>
        <v>794.50077240621658</v>
      </c>
      <c r="K19">
        <f ca="1">IS!K15</f>
        <v>830.79453262996606</v>
      </c>
      <c r="L19">
        <f ca="1">IS!L15</f>
        <v>912.8327737993842</v>
      </c>
      <c r="M19">
        <f ca="1">IS!M15</f>
        <v>1003.4826069072021</v>
      </c>
      <c r="N19">
        <f ca="1">IS!N15</f>
        <v>1106.4832675917175</v>
      </c>
      <c r="O19">
        <f ca="1">IS!O15</f>
        <v>1176.3220886974127</v>
      </c>
    </row>
    <row r="20" spans="1:15" x14ac:dyDescent="0.25">
      <c r="B20" t="s">
        <v>30</v>
      </c>
      <c r="G20">
        <f>BS!G30</f>
        <v>3634.9478920000001</v>
      </c>
      <c r="H20">
        <f t="shared" ref="H20:O20" ca="1" si="7">SUM(H17:H19)</f>
        <v>3462.8499723375353</v>
      </c>
      <c r="I20">
        <f t="shared" ca="1" si="7"/>
        <v>3311.5946465139896</v>
      </c>
      <c r="J20">
        <f t="shared" ca="1" si="7"/>
        <v>3169.4112295559817</v>
      </c>
      <c r="K20">
        <f t="shared" ca="1" si="7"/>
        <v>2951.1194700980159</v>
      </c>
      <c r="L20">
        <f t="shared" ca="1" si="7"/>
        <v>2688.9755967589167</v>
      </c>
      <c r="M20">
        <f t="shared" ca="1" si="7"/>
        <v>2376.4843588710173</v>
      </c>
      <c r="N20">
        <f t="shared" ca="1" si="7"/>
        <v>2009.0769202931417</v>
      </c>
      <c r="O20">
        <f t="shared" ca="1" si="7"/>
        <v>1534.6414181024845</v>
      </c>
    </row>
    <row r="22" spans="1:15" x14ac:dyDescent="0.25">
      <c r="A22" s="60" t="s">
        <v>33</v>
      </c>
    </row>
    <row r="23" spans="1:15" x14ac:dyDescent="0.25">
      <c r="B23" t="str">
        <f>BS!B6</f>
        <v>Accounts receivable</v>
      </c>
      <c r="G23">
        <f>BS!G6</f>
        <v>601</v>
      </c>
      <c r="H23">
        <f>BS!H6</f>
        <v>628.04499999999996</v>
      </c>
      <c r="I23">
        <f>BS!I6</f>
        <v>661.33138499999995</v>
      </c>
      <c r="J23">
        <f>BS!J6</f>
        <v>693.73662286499996</v>
      </c>
      <c r="K23">
        <f>BS!K6</f>
        <v>725.64850751679</v>
      </c>
      <c r="L23">
        <f>BS!L6</f>
        <v>754.67444781746156</v>
      </c>
      <c r="M23">
        <f>BS!M6</f>
        <v>784.86142573016002</v>
      </c>
      <c r="N23">
        <f>BS!N6</f>
        <v>816.25588275936661</v>
      </c>
      <c r="O23">
        <f>BS!O6</f>
        <v>848.9061180697413</v>
      </c>
    </row>
    <row r="24" spans="1:15" x14ac:dyDescent="0.25">
      <c r="B24" t="str">
        <f>BS!B7</f>
        <v>Inventories</v>
      </c>
      <c r="G24">
        <f>BS!G7</f>
        <v>679</v>
      </c>
      <c r="H24">
        <f>BS!H7</f>
        <v>641.71377977503312</v>
      </c>
      <c r="I24">
        <f>BS!I7</f>
        <v>658.83149485053207</v>
      </c>
      <c r="J24">
        <f>BS!J7</f>
        <v>691.11423809820815</v>
      </c>
      <c r="K24">
        <f>BS!K7</f>
        <v>741.44153133407769</v>
      </c>
      <c r="L24">
        <f>BS!L7</f>
        <v>771.09919258744083</v>
      </c>
      <c r="M24">
        <f>BS!M7</f>
        <v>801.94316029093841</v>
      </c>
      <c r="N24">
        <f>BS!N7</f>
        <v>834.02088670257615</v>
      </c>
      <c r="O24">
        <f>BS!O7</f>
        <v>867.38172217067915</v>
      </c>
    </row>
    <row r="25" spans="1:15" x14ac:dyDescent="0.25">
      <c r="B25" t="str">
        <f>BS!B8</f>
        <v>Other current assets</v>
      </c>
      <c r="G25">
        <f>BS!G8</f>
        <v>185</v>
      </c>
      <c r="H25">
        <f>BS!H8</f>
        <v>193.32499999999999</v>
      </c>
      <c r="I25">
        <f>BS!I8</f>
        <v>203.57122499999997</v>
      </c>
      <c r="J25">
        <f>BS!J8</f>
        <v>213.54621502499998</v>
      </c>
      <c r="K25">
        <f>BS!K8</f>
        <v>223.36934091614998</v>
      </c>
      <c r="L25">
        <f>BS!L8</f>
        <v>232.30411455279599</v>
      </c>
      <c r="M25">
        <f>BS!M8</f>
        <v>241.59627913490783</v>
      </c>
      <c r="N25">
        <f>BS!N8</f>
        <v>251.26013030030418</v>
      </c>
      <c r="O25">
        <f>BS!O8</f>
        <v>261.31053551231633</v>
      </c>
    </row>
    <row r="26" spans="1:15" x14ac:dyDescent="0.25">
      <c r="B26" t="str">
        <f>BS!B17</f>
        <v>Accounts payable</v>
      </c>
      <c r="G26">
        <f>BS!G17</f>
        <v>193.4</v>
      </c>
      <c r="H26">
        <f>BS!H17</f>
        <v>182.779742280547</v>
      </c>
      <c r="I26">
        <f>BS!I17</f>
        <v>187.65539190588058</v>
      </c>
      <c r="J26">
        <f>BS!J17</f>
        <v>196.85050610926874</v>
      </c>
      <c r="K26">
        <f>BS!K17</f>
        <v>211.18526091312319</v>
      </c>
      <c r="L26">
        <f>BS!L17</f>
        <v>219.63267134964815</v>
      </c>
      <c r="M26">
        <f>BS!M17</f>
        <v>228.41797820363402</v>
      </c>
      <c r="N26">
        <f>BS!N17</f>
        <v>237.55469733177947</v>
      </c>
      <c r="O26">
        <f>BS!O17</f>
        <v>247.05688522505062</v>
      </c>
    </row>
    <row r="27" spans="1:15" x14ac:dyDescent="0.25">
      <c r="B27" t="s">
        <v>136</v>
      </c>
      <c r="G27">
        <f>BS!G18</f>
        <v>750.4</v>
      </c>
      <c r="H27">
        <f>BS!H18</f>
        <v>784.16800000000001</v>
      </c>
      <c r="I27">
        <f>BS!I18</f>
        <v>825.72890399999983</v>
      </c>
      <c r="J27">
        <f>BS!J18</f>
        <v>866.18962029599982</v>
      </c>
      <c r="K27">
        <f>BS!K18</f>
        <v>906.03434282961587</v>
      </c>
      <c r="L27">
        <f>BS!L18</f>
        <v>942.27571654280052</v>
      </c>
      <c r="M27">
        <f>BS!M18</f>
        <v>979.96674520451256</v>
      </c>
      <c r="N27">
        <f>BS!N18</f>
        <v>1019.1654150126932</v>
      </c>
      <c r="O27">
        <f>BS!O18</f>
        <v>1059.9320316132009</v>
      </c>
    </row>
    <row r="28" spans="1:15" x14ac:dyDescent="0.25">
      <c r="B28" t="s">
        <v>34</v>
      </c>
      <c r="G28">
        <f>SUM(G23:G25)-SUM(G26:G27)</f>
        <v>521.20000000000005</v>
      </c>
      <c r="H28">
        <f t="shared" ref="H28:O28" si="8">SUM(H23:H25)-SUM(H26:H27)</f>
        <v>496.136037494486</v>
      </c>
      <c r="I28">
        <f t="shared" si="8"/>
        <v>510.34980894465161</v>
      </c>
      <c r="J28">
        <f t="shared" si="8"/>
        <v>535.35694958293971</v>
      </c>
      <c r="K28">
        <f t="shared" si="8"/>
        <v>573.2397760242784</v>
      </c>
      <c r="L28">
        <f t="shared" si="8"/>
        <v>596.16936706524962</v>
      </c>
      <c r="M28">
        <f t="shared" si="8"/>
        <v>620.01614174785959</v>
      </c>
      <c r="N28">
        <f t="shared" si="8"/>
        <v>644.81678741777432</v>
      </c>
      <c r="O28">
        <f t="shared" si="8"/>
        <v>670.60945891448523</v>
      </c>
    </row>
    <row r="30" spans="1:15" x14ac:dyDescent="0.25">
      <c r="A30" s="60" t="s">
        <v>226</v>
      </c>
      <c r="H30">
        <v>1</v>
      </c>
      <c r="I30">
        <f>H30+1</f>
        <v>2</v>
      </c>
      <c r="J30">
        <f t="shared" ref="J30:O30" si="9">I30+1</f>
        <v>3</v>
      </c>
      <c r="K30">
        <f t="shared" si="9"/>
        <v>4</v>
      </c>
      <c r="L30">
        <f t="shared" si="9"/>
        <v>5</v>
      </c>
      <c r="M30">
        <f t="shared" si="9"/>
        <v>6</v>
      </c>
      <c r="N30">
        <f t="shared" si="9"/>
        <v>7</v>
      </c>
      <c r="O30">
        <f t="shared" si="9"/>
        <v>8</v>
      </c>
    </row>
    <row r="31" spans="1:15" x14ac:dyDescent="0.25">
      <c r="B31" s="102" t="s">
        <v>223</v>
      </c>
      <c r="H31">
        <f>G35</f>
        <v>105</v>
      </c>
      <c r="I31">
        <f t="shared" ref="I31:O31" si="10">H35</f>
        <v>91.19047619047619</v>
      </c>
      <c r="J31">
        <f t="shared" si="10"/>
        <v>77.38095238095238</v>
      </c>
      <c r="K31">
        <f t="shared" si="10"/>
        <v>63.571428571428577</v>
      </c>
      <c r="L31">
        <f t="shared" si="10"/>
        <v>49.761904761904766</v>
      </c>
      <c r="M31">
        <f t="shared" si="10"/>
        <v>35.952380952380956</v>
      </c>
      <c r="N31">
        <f t="shared" si="10"/>
        <v>22.142857142857146</v>
      </c>
      <c r="O31">
        <f t="shared" si="10"/>
        <v>8.3333333333333375</v>
      </c>
    </row>
    <row r="32" spans="1:15" x14ac:dyDescent="0.25">
      <c r="B32" s="102" t="s">
        <v>178</v>
      </c>
      <c r="H32">
        <f>IF(H$30&gt;LBO!$I55,0,LBO!$K55)*-1</f>
        <v>-7.1428571428571432</v>
      </c>
      <c r="I32">
        <f>IF(I$30&gt;LBO!$I55,0,LBO!$K55)*-1</f>
        <v>-7.1428571428571432</v>
      </c>
      <c r="J32">
        <f>IF(J$30&gt;LBO!$I55,0,LBO!$K55)*-1</f>
        <v>-7.1428571428571432</v>
      </c>
      <c r="K32">
        <f>IF(K$30&gt;LBO!$I55,0,LBO!$K55)*-1</f>
        <v>-7.1428571428571432</v>
      </c>
      <c r="L32">
        <f>IF(L$30&gt;LBO!$I55,0,LBO!$K55)*-1</f>
        <v>-7.1428571428571432</v>
      </c>
      <c r="M32">
        <f>IF(M$30&gt;LBO!$I55,0,LBO!$K55)*-1</f>
        <v>-7.1428571428571432</v>
      </c>
      <c r="N32">
        <f>IF(N$30&gt;LBO!$I55,0,LBO!$K55)*-1</f>
        <v>-7.1428571428571432</v>
      </c>
      <c r="O32">
        <f>IF(O$30&gt;LBO!$I55,0,LBO!$K55)*-1</f>
        <v>0</v>
      </c>
    </row>
    <row r="33" spans="2:15" x14ac:dyDescent="0.25">
      <c r="B33" s="102" t="s">
        <v>177</v>
      </c>
      <c r="H33">
        <f>IF(H$30&gt;LBO!$I56,0,LBO!$K56)*-1</f>
        <v>-5</v>
      </c>
      <c r="I33">
        <f>IF(I$30&gt;LBO!$I56,0,LBO!$K56)*-1</f>
        <v>-5</v>
      </c>
      <c r="J33">
        <f>IF(J$30&gt;LBO!$I56,0,LBO!$K56)*-1</f>
        <v>-5</v>
      </c>
      <c r="K33">
        <f>IF(K$30&gt;LBO!$I56,0,LBO!$K56)*-1</f>
        <v>-5</v>
      </c>
      <c r="L33">
        <f>IF(L$30&gt;LBO!$I56,0,LBO!$K56)*-1</f>
        <v>-5</v>
      </c>
      <c r="M33">
        <f>IF(M$30&gt;LBO!$I56,0,LBO!$K56)*-1</f>
        <v>-5</v>
      </c>
      <c r="N33">
        <f>IF(N$30&gt;LBO!$I56,0,LBO!$K56)*-1</f>
        <v>-5</v>
      </c>
      <c r="O33">
        <f>IF(O$30&gt;LBO!$I56,0,LBO!$K56)*-1</f>
        <v>-5</v>
      </c>
    </row>
    <row r="34" spans="2:15" x14ac:dyDescent="0.25">
      <c r="B34" s="102" t="s">
        <v>85</v>
      </c>
      <c r="H34">
        <f>IF(H$30&gt;LBO!$I57,0,LBO!$K57)*-1</f>
        <v>-1.6666666666666667</v>
      </c>
      <c r="I34">
        <f>IF(I$30&gt;LBO!$I57,0,LBO!$K57)*-1</f>
        <v>-1.6666666666666667</v>
      </c>
      <c r="J34">
        <f>IF(J$30&gt;LBO!$I57,0,LBO!$K57)*-1</f>
        <v>-1.6666666666666667</v>
      </c>
      <c r="K34">
        <f>IF(K$30&gt;LBO!$I57,0,LBO!$K57)*-1</f>
        <v>-1.6666666666666667</v>
      </c>
      <c r="L34">
        <f>IF(L$30&gt;LBO!$I57,0,LBO!$K57)*-1</f>
        <v>-1.6666666666666667</v>
      </c>
      <c r="M34">
        <f>IF(M$30&gt;LBO!$I57,0,LBO!$K57)*-1</f>
        <v>-1.6666666666666667</v>
      </c>
      <c r="N34">
        <f>IF(N$30&gt;LBO!$I57,0,LBO!$K57)*-1</f>
        <v>-1.6666666666666667</v>
      </c>
      <c r="O34">
        <f>IF(O$30&gt;LBO!$I57,0,LBO!$K57)*-1</f>
        <v>-1.6666666666666667</v>
      </c>
    </row>
    <row r="35" spans="2:15" x14ac:dyDescent="0.25">
      <c r="B35" s="102" t="s">
        <v>224</v>
      </c>
      <c r="G35">
        <f>LBO!C45</f>
        <v>105</v>
      </c>
      <c r="H35">
        <f>SUM(H31:H34)</f>
        <v>91.19047619047619</v>
      </c>
      <c r="I35">
        <f>SUM(I31:I34)</f>
        <v>77.38095238095238</v>
      </c>
      <c r="J35">
        <f>SUM(J31:J34)</f>
        <v>63.571428571428577</v>
      </c>
      <c r="K35">
        <f>SUM(K31:K34)</f>
        <v>49.761904761904766</v>
      </c>
      <c r="L35">
        <f>SUM(L31:L34)</f>
        <v>35.952380952380956</v>
      </c>
      <c r="M35">
        <f>SUM(M31:M34)</f>
        <v>22.142857142857146</v>
      </c>
      <c r="N35">
        <f>SUM(N31:N34)</f>
        <v>8.3333333333333375</v>
      </c>
      <c r="O35">
        <f>SUM(O31:O34)</f>
        <v>1.6666666666666707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0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8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8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8" ht="21" x14ac:dyDescent="0.35">
      <c r="A3" s="14" t="str" cm="1">
        <f t="array" aca="1" ref="A3" ca="1">MID(CELL("filename",A3),FIND("]",CELL("filename",A3))+1,255)</f>
        <v>IS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8" x14ac:dyDescent="0.25">
      <c r="B5" t="s">
        <v>36</v>
      </c>
      <c r="C5" s="75">
        <v>4030.3</v>
      </c>
      <c r="D5" s="75">
        <v>4100.5</v>
      </c>
      <c r="H5">
        <f>(1+Input!H10)*IS!D5</f>
        <v>4285.0225</v>
      </c>
      <c r="I5">
        <f>(1+Input!I10)*IS!H5</f>
        <v>4512.1286924999995</v>
      </c>
      <c r="J5">
        <f>(1+Input!J10)*IS!I5</f>
        <v>4733.2229984324995</v>
      </c>
      <c r="K5">
        <f>(1+Input!K10)*IS!J5</f>
        <v>4950.9512563603948</v>
      </c>
      <c r="L5">
        <f>(1+Input!L10)*IS!K5</f>
        <v>5148.9893066148106</v>
      </c>
      <c r="M5">
        <f>(1+Input!M10)*IS!L5</f>
        <v>5354.9488788794033</v>
      </c>
      <c r="N5">
        <f>(1+Input!N10)*IS!M5</f>
        <v>5569.14683403458</v>
      </c>
      <c r="O5">
        <f>(1+Input!O10)*IS!N5</f>
        <v>5791.9127073959635</v>
      </c>
    </row>
    <row r="6" spans="1:18" x14ac:dyDescent="0.25">
      <c r="B6" t="s">
        <v>141</v>
      </c>
      <c r="C6" s="75">
        <v>-1792.5</v>
      </c>
      <c r="D6" s="75">
        <v>-1813.6</v>
      </c>
      <c r="F6" s="58"/>
      <c r="G6" s="58"/>
      <c r="H6">
        <f>H5*Input!H11</f>
        <v>-1714.009</v>
      </c>
      <c r="I6">
        <f>I5*Input!I11</f>
        <v>-1759.7301900749999</v>
      </c>
      <c r="J6">
        <f>J5*Input!J11</f>
        <v>-1845.9569693886749</v>
      </c>
      <c r="K6">
        <f>K5*Input!K11</f>
        <v>-1980.3805025441579</v>
      </c>
      <c r="L6">
        <f>L5*Input!L11</f>
        <v>-2059.5957226459245</v>
      </c>
      <c r="M6">
        <f>M5*Input!M11</f>
        <v>-2141.9795515517612</v>
      </c>
      <c r="N6">
        <f>N5*Input!N11</f>
        <v>-2227.6587336138323</v>
      </c>
      <c r="O6">
        <f>O5*Input!O11</f>
        <v>-2316.7650829583854</v>
      </c>
      <c r="R6" s="76"/>
    </row>
    <row r="7" spans="1:18" x14ac:dyDescent="0.25">
      <c r="B7" t="s">
        <v>142</v>
      </c>
      <c r="C7">
        <f>SUM(C5:C6)</f>
        <v>2237.8000000000002</v>
      </c>
      <c r="D7">
        <f>SUM(D5:D6)</f>
        <v>2286.9</v>
      </c>
      <c r="H7">
        <f t="shared" ref="H7" si="1">SUM(H5:H6)</f>
        <v>2571.0135</v>
      </c>
      <c r="I7">
        <f t="shared" ref="I7" si="2">SUM(I5:I6)</f>
        <v>2752.3985024249996</v>
      </c>
      <c r="J7">
        <f t="shared" ref="J7" si="3">SUM(J5:J6)</f>
        <v>2887.2660290438243</v>
      </c>
      <c r="K7">
        <f t="shared" ref="K7" si="4">SUM(K5:K6)</f>
        <v>2970.5707538162369</v>
      </c>
      <c r="L7">
        <f t="shared" ref="L7" si="5">SUM(L5:L6)</f>
        <v>3089.3935839688861</v>
      </c>
      <c r="M7">
        <f t="shared" ref="M7" si="6">SUM(M5:M6)</f>
        <v>3212.9693273276421</v>
      </c>
      <c r="N7">
        <f t="shared" ref="N7" si="7">SUM(N5:N6)</f>
        <v>3341.4881004207477</v>
      </c>
      <c r="O7">
        <f t="shared" ref="O7" si="8">SUM(O5:O6)</f>
        <v>3475.1476244375781</v>
      </c>
      <c r="R7" s="76"/>
    </row>
    <row r="8" spans="1:18" x14ac:dyDescent="0.25">
      <c r="B8" t="s">
        <v>37</v>
      </c>
      <c r="C8" s="75">
        <v>-1267.5999999999999</v>
      </c>
      <c r="D8" s="75">
        <v>-1318.1</v>
      </c>
      <c r="H8">
        <f>H5*Input!H12</f>
        <v>-1264.0816374999999</v>
      </c>
      <c r="I8">
        <f>I5*Input!I12</f>
        <v>-1353.6386077499999</v>
      </c>
      <c r="J8">
        <f>J5*Input!J12</f>
        <v>-1419.9668995297498</v>
      </c>
      <c r="K8">
        <f>K5*Input!K12</f>
        <v>-1485.2853769081185</v>
      </c>
      <c r="L8">
        <f>L5*Input!L12</f>
        <v>-1544.6967919844431</v>
      </c>
      <c r="M8">
        <f>M5*Input!M12</f>
        <v>-1606.484663663821</v>
      </c>
      <c r="N8">
        <f>N5*Input!N12</f>
        <v>-1670.7440502103739</v>
      </c>
      <c r="O8">
        <f>O5*Input!O12</f>
        <v>-1737.573812218789</v>
      </c>
      <c r="R8" s="76"/>
    </row>
    <row r="9" spans="1:18" x14ac:dyDescent="0.25">
      <c r="B9" t="s">
        <v>143</v>
      </c>
      <c r="C9" s="75">
        <v>-107.7</v>
      </c>
      <c r="D9" s="75">
        <v>-247.2</v>
      </c>
      <c r="H9">
        <f>Input!H13</f>
        <v>0</v>
      </c>
      <c r="I9">
        <f>Input!I13</f>
        <v>0</v>
      </c>
      <c r="J9">
        <f>Input!J13</f>
        <v>0</v>
      </c>
      <c r="K9">
        <f>Input!K13</f>
        <v>0</v>
      </c>
      <c r="L9">
        <f>Input!L13</f>
        <v>0</v>
      </c>
      <c r="M9">
        <f>Input!M13</f>
        <v>0</v>
      </c>
      <c r="N9">
        <f>Input!N13</f>
        <v>0</v>
      </c>
      <c r="O9">
        <f>Input!O13</f>
        <v>0</v>
      </c>
      <c r="R9" s="76"/>
    </row>
    <row r="10" spans="1:18" x14ac:dyDescent="0.25">
      <c r="B10" t="s">
        <v>193</v>
      </c>
      <c r="H10">
        <f>Input!H16*IS!$D$5</f>
        <v>82.009999999999991</v>
      </c>
      <c r="I10">
        <f>Input!I16*IS!$D$5</f>
        <v>102.51249999999999</v>
      </c>
      <c r="J10">
        <f>Input!J16*IS!$D$5</f>
        <v>123.015</v>
      </c>
      <c r="K10">
        <f>Input!K16*IS!$D$5</f>
        <v>123.015</v>
      </c>
      <c r="L10">
        <f>Input!L16*IS!$D$5</f>
        <v>123.015</v>
      </c>
      <c r="M10">
        <f>Input!M16*IS!$D$5</f>
        <v>123.015</v>
      </c>
      <c r="N10">
        <f>Input!N16*IS!$D$5</f>
        <v>123.015</v>
      </c>
      <c r="O10">
        <f>Input!O16*IS!$D$5</f>
        <v>123.015</v>
      </c>
      <c r="R10" s="76"/>
    </row>
    <row r="11" spans="1:18" x14ac:dyDescent="0.25">
      <c r="B11" t="s">
        <v>145</v>
      </c>
      <c r="C11">
        <f>SUM(C7:C10)</f>
        <v>862.50000000000023</v>
      </c>
      <c r="D11">
        <f>SUM(D7:D10)</f>
        <v>721.60000000000014</v>
      </c>
      <c r="H11">
        <f t="shared" ref="H11" si="9">SUM(H7:H10)</f>
        <v>1388.9418625000001</v>
      </c>
      <c r="I11">
        <f t="shared" ref="I11" si="10">SUM(I7:I10)</f>
        <v>1501.2723946749998</v>
      </c>
      <c r="J11">
        <f t="shared" ref="J11" si="11">SUM(J7:J10)</f>
        <v>1590.3141295140747</v>
      </c>
      <c r="K11">
        <f t="shared" ref="K11" si="12">SUM(K7:K10)</f>
        <v>1608.3003769081186</v>
      </c>
      <c r="L11">
        <f t="shared" ref="L11" si="13">SUM(L7:L10)</f>
        <v>1667.7117919844432</v>
      </c>
      <c r="M11">
        <f t="shared" ref="M11" si="14">SUM(M7:M10)</f>
        <v>1729.4996636638211</v>
      </c>
      <c r="N11">
        <f t="shared" ref="N11" si="15">SUM(N7:N10)</f>
        <v>1793.759050210374</v>
      </c>
      <c r="O11">
        <f t="shared" ref="O11" si="16">SUM(O7:O10)</f>
        <v>1860.5888122187891</v>
      </c>
      <c r="R11" s="76"/>
    </row>
    <row r="12" spans="1:18" x14ac:dyDescent="0.25">
      <c r="B12" t="s">
        <v>38</v>
      </c>
      <c r="C12" s="59">
        <f>-122.1+124.7</f>
        <v>2.6000000000000085</v>
      </c>
      <c r="D12" s="59">
        <f>-117.1+76.7</f>
        <v>-40.399999999999991</v>
      </c>
      <c r="H12">
        <f ca="1">IF(switch=1, Debt!H60,0)</f>
        <v>-679.53324361415321</v>
      </c>
      <c r="I12">
        <f ca="1">IF(switch=1, Debt!I60,0)</f>
        <v>-655.50715609271037</v>
      </c>
      <c r="J12">
        <f ca="1">IF(switch=1, Debt!J60,0)</f>
        <v>-621.41074853088367</v>
      </c>
      <c r="K12">
        <f ca="1">IF(switch=1, Debt!K60,0)</f>
        <v>-582.62811440198766</v>
      </c>
      <c r="L12">
        <f ca="1">IF(switch=1, Debt!L60,0)</f>
        <v>-540.75775025680809</v>
      </c>
      <c r="M12">
        <f ca="1">IF(switch=1, Debt!M60,0)</f>
        <v>-490.63224772904795</v>
      </c>
      <c r="N12">
        <f ca="1">IF(switch=1, Debt!N60,0)</f>
        <v>-427.73032478854481</v>
      </c>
      <c r="O12">
        <f ca="1">IF(switch=1, Debt!O60,0)</f>
        <v>-408.33931999976107</v>
      </c>
    </row>
    <row r="13" spans="1:18" x14ac:dyDescent="0.25">
      <c r="B13" t="s">
        <v>39</v>
      </c>
      <c r="C13">
        <f>SUM(C11:C12)</f>
        <v>865.10000000000025</v>
      </c>
      <c r="D13">
        <f>SUM(D11:D12)</f>
        <v>681.20000000000016</v>
      </c>
      <c r="H13">
        <f ca="1">SUM(H11:H12)</f>
        <v>709.40861888584686</v>
      </c>
      <c r="I13">
        <f t="shared" ref="I13:O13" ca="1" si="17">SUM(I11:I12)</f>
        <v>845.76523858228938</v>
      </c>
      <c r="J13">
        <f t="shared" ca="1" si="17"/>
        <v>968.90338098319103</v>
      </c>
      <c r="K13">
        <f t="shared" ca="1" si="17"/>
        <v>1025.6722625061309</v>
      </c>
      <c r="L13">
        <f t="shared" ca="1" si="17"/>
        <v>1126.9540417276351</v>
      </c>
      <c r="M13">
        <f t="shared" ca="1" si="17"/>
        <v>1238.8674159347731</v>
      </c>
      <c r="N13">
        <f t="shared" ca="1" si="17"/>
        <v>1366.0287254218292</v>
      </c>
      <c r="O13">
        <f t="shared" ca="1" si="17"/>
        <v>1452.2494922190281</v>
      </c>
    </row>
    <row r="14" spans="1:18" x14ac:dyDescent="0.25">
      <c r="B14" t="s">
        <v>40</v>
      </c>
      <c r="C14" s="75">
        <v>-75.599999999999994</v>
      </c>
      <c r="D14" s="75">
        <v>-115.5</v>
      </c>
      <c r="H14">
        <f ca="1">Input!H18*IS!H13</f>
        <v>-134.7876375883109</v>
      </c>
      <c r="I14">
        <f ca="1">Input!I18*IS!I13</f>
        <v>-160.69539533063499</v>
      </c>
      <c r="J14">
        <f ca="1">Input!J18*IS!J13</f>
        <v>-174.40260857697439</v>
      </c>
      <c r="K14">
        <f ca="1">Input!K18*IS!K13</f>
        <v>-194.87772987616486</v>
      </c>
      <c r="L14">
        <f ca="1">Input!L18*IS!L13</f>
        <v>-214.12126792825066</v>
      </c>
      <c r="M14">
        <f ca="1">Input!M18*IS!M13</f>
        <v>-235.38480902760691</v>
      </c>
      <c r="N14">
        <f ca="1">Input!N18*IS!N13</f>
        <v>-259.54545783014754</v>
      </c>
      <c r="O14">
        <f ca="1">Input!O18*IS!O13</f>
        <v>-275.92740352161536</v>
      </c>
    </row>
    <row r="15" spans="1:18" x14ac:dyDescent="0.25">
      <c r="B15" t="s">
        <v>32</v>
      </c>
      <c r="C15">
        <f>C13+C14</f>
        <v>789.50000000000023</v>
      </c>
      <c r="D15">
        <f>D13+D14</f>
        <v>565.70000000000016</v>
      </c>
      <c r="H15">
        <f t="shared" ref="H15:O15" ca="1" si="18">H13+H14</f>
        <v>574.62098129753599</v>
      </c>
      <c r="I15">
        <f t="shared" ca="1" si="18"/>
        <v>685.06984325165445</v>
      </c>
      <c r="J15">
        <f t="shared" ca="1" si="18"/>
        <v>794.50077240621658</v>
      </c>
      <c r="K15">
        <f t="shared" ca="1" si="18"/>
        <v>830.79453262996606</v>
      </c>
      <c r="L15">
        <f t="shared" ca="1" si="18"/>
        <v>912.83277379938443</v>
      </c>
      <c r="M15">
        <f t="shared" ca="1" si="18"/>
        <v>1003.4826069071662</v>
      </c>
      <c r="N15">
        <f t="shared" ca="1" si="18"/>
        <v>1106.4832675916816</v>
      </c>
      <c r="O15">
        <f t="shared" ca="1" si="18"/>
        <v>1176.3220886974127</v>
      </c>
    </row>
    <row r="16" spans="1:18" x14ac:dyDescent="0.25">
      <c r="R16" s="76"/>
    </row>
    <row r="17" spans="2:18" x14ac:dyDescent="0.25">
      <c r="B17" t="s">
        <v>144</v>
      </c>
      <c r="C17">
        <f>C11</f>
        <v>862.50000000000023</v>
      </c>
      <c r="D17">
        <f>D11</f>
        <v>721.60000000000014</v>
      </c>
      <c r="H17">
        <f t="shared" ref="H17:O17" si="19">H11</f>
        <v>1388.9418625000001</v>
      </c>
      <c r="I17">
        <f t="shared" si="19"/>
        <v>1501.2723946749998</v>
      </c>
      <c r="J17">
        <f t="shared" si="19"/>
        <v>1590.3141295140747</v>
      </c>
      <c r="K17">
        <f t="shared" si="19"/>
        <v>1608.3003769081186</v>
      </c>
      <c r="L17">
        <f t="shared" si="19"/>
        <v>1667.7117919844432</v>
      </c>
      <c r="M17">
        <f t="shared" si="19"/>
        <v>1729.4996636638211</v>
      </c>
      <c r="N17">
        <f t="shared" si="19"/>
        <v>1793.759050210374</v>
      </c>
      <c r="O17">
        <f t="shared" si="19"/>
        <v>1860.5888122187891</v>
      </c>
      <c r="R17" s="76"/>
    </row>
    <row r="18" spans="2:18" x14ac:dyDescent="0.25">
      <c r="B18" t="s">
        <v>143</v>
      </c>
      <c r="C18">
        <f>C9*-1</f>
        <v>107.7</v>
      </c>
      <c r="D18">
        <f>D9*-1</f>
        <v>247.2</v>
      </c>
      <c r="H18">
        <f t="shared" ref="H18:O18" si="20">H9*-1</f>
        <v>0</v>
      </c>
      <c r="I18">
        <f t="shared" si="20"/>
        <v>0</v>
      </c>
      <c r="J18">
        <f t="shared" si="20"/>
        <v>0</v>
      </c>
      <c r="K18">
        <f t="shared" si="20"/>
        <v>0</v>
      </c>
      <c r="L18">
        <f t="shared" si="20"/>
        <v>0</v>
      </c>
      <c r="M18">
        <f t="shared" si="20"/>
        <v>0</v>
      </c>
      <c r="N18">
        <f t="shared" si="20"/>
        <v>0</v>
      </c>
      <c r="O18">
        <f t="shared" si="20"/>
        <v>0</v>
      </c>
      <c r="R18" s="76"/>
    </row>
    <row r="19" spans="2:18" x14ac:dyDescent="0.25">
      <c r="B19" t="s">
        <v>182</v>
      </c>
      <c r="C19">
        <f>Calc!C8*-1</f>
        <v>99.3</v>
      </c>
      <c r="D19">
        <f>Calc!D8*-1</f>
        <v>108.9</v>
      </c>
      <c r="H19">
        <f>Calc!H8*-1</f>
        <v>111.18</v>
      </c>
      <c r="I19">
        <f>Calc!I8*-1</f>
        <v>119.23219152499999</v>
      </c>
      <c r="J19">
        <f>Calc!J8*-1</f>
        <v>124.27576093067501</v>
      </c>
      <c r="K19">
        <f>Calc!K8*-1</f>
        <v>128.89761468393303</v>
      </c>
      <c r="L19">
        <f>Calc!L8*-1</f>
        <v>133.91819502226497</v>
      </c>
      <c r="M19">
        <f>Calc!M8*-1</f>
        <v>139.16260369646449</v>
      </c>
      <c r="N19">
        <f>Calc!N8*-1</f>
        <v>144.6358829691695</v>
      </c>
      <c r="O19">
        <f>Calc!O8*-1</f>
        <v>150.34394164155876</v>
      </c>
    </row>
    <row r="20" spans="2:18" x14ac:dyDescent="0.25">
      <c r="B20" t="s">
        <v>111</v>
      </c>
      <c r="C20">
        <f>SUM(C17:C19)</f>
        <v>1069.5000000000002</v>
      </c>
      <c r="D20">
        <f>SUM(D17:D19)</f>
        <v>1077.7000000000003</v>
      </c>
      <c r="H20">
        <f t="shared" ref="H20" si="21">SUM(H17:H19)</f>
        <v>1500.1218625000001</v>
      </c>
      <c r="I20">
        <f t="shared" ref="I20" si="22">SUM(I17:I19)</f>
        <v>1620.5045861999997</v>
      </c>
      <c r="J20">
        <f t="shared" ref="J20" si="23">SUM(J17:J19)</f>
        <v>1714.5898904447497</v>
      </c>
      <c r="K20">
        <f t="shared" ref="K20" si="24">SUM(K17:K19)</f>
        <v>1737.1979915920515</v>
      </c>
      <c r="L20">
        <f t="shared" ref="L20" si="25">SUM(L17:L19)</f>
        <v>1801.6299870067082</v>
      </c>
      <c r="M20">
        <f t="shared" ref="M20" si="26">SUM(M17:M19)</f>
        <v>1868.6622673602856</v>
      </c>
      <c r="N20">
        <f t="shared" ref="N20" si="27">SUM(N17:N19)</f>
        <v>1938.3949331795434</v>
      </c>
      <c r="O20">
        <f t="shared" ref="O20" si="28">SUM(O17:O19)</f>
        <v>2010.9327538603479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8"/>
  <sheetViews>
    <sheetView workbookViewId="0">
      <selection activeCell="B22" sqref="B22"/>
    </sheetView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BS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B5" t="s">
        <v>41</v>
      </c>
      <c r="C5" s="59">
        <v>2334</v>
      </c>
      <c r="D5" s="59">
        <v>2203</v>
      </c>
      <c r="F5">
        <f>-D5</f>
        <v>-2203</v>
      </c>
      <c r="G5">
        <f>SUM(D5:F5)</f>
        <v>0</v>
      </c>
      <c r="H5">
        <f ca="1">CFS!H24</f>
        <v>186.53215877814307</v>
      </c>
      <c r="I5">
        <f ca="1">CFS!I24</f>
        <v>260.78242476541391</v>
      </c>
      <c r="J5">
        <f ca="1">CFS!J24</f>
        <v>310.67255133092556</v>
      </c>
      <c r="K5">
        <f ca="1">CFS!K24</f>
        <v>335.18699895236944</v>
      </c>
      <c r="L5">
        <f ca="1">CFS!L24</f>
        <v>372.82093188274223</v>
      </c>
      <c r="M5">
        <f ca="1">CFS!M24</f>
        <v>412.82300758793065</v>
      </c>
      <c r="N5">
        <f ca="1">CFS!N24</f>
        <v>466.48064029059799</v>
      </c>
      <c r="O5">
        <f ca="1">CFS!O24</f>
        <v>1986.6020994235355</v>
      </c>
    </row>
    <row r="6" spans="1:15" x14ac:dyDescent="0.25">
      <c r="B6" t="s">
        <v>42</v>
      </c>
      <c r="C6" s="59">
        <v>600</v>
      </c>
      <c r="D6" s="59">
        <v>601</v>
      </c>
      <c r="G6">
        <f>SUM(D6:F6)</f>
        <v>601</v>
      </c>
      <c r="H6">
        <f>Input!H22/365*IS!H5</f>
        <v>628.04499999999996</v>
      </c>
      <c r="I6">
        <f>Input!I22/365*IS!I5</f>
        <v>661.33138499999995</v>
      </c>
      <c r="J6">
        <f>Input!J22/365*IS!J5</f>
        <v>693.73662286499996</v>
      </c>
      <c r="K6">
        <f>Input!K22/365*IS!K5</f>
        <v>725.64850751679</v>
      </c>
      <c r="L6">
        <f>Input!L22/365*IS!L5</f>
        <v>754.67444781746156</v>
      </c>
      <c r="M6">
        <f>Input!M22/365*IS!M5</f>
        <v>784.86142573016002</v>
      </c>
      <c r="N6">
        <f>Input!N22/365*IS!N5</f>
        <v>816.25588275936661</v>
      </c>
      <c r="O6">
        <f>Input!O22/365*IS!O5</f>
        <v>848.9061180697413</v>
      </c>
    </row>
    <row r="7" spans="1:15" x14ac:dyDescent="0.25">
      <c r="B7" t="s">
        <v>43</v>
      </c>
      <c r="C7" s="59">
        <v>680</v>
      </c>
      <c r="D7" s="59">
        <v>679</v>
      </c>
      <c r="G7">
        <f>SUM(D7:F7)</f>
        <v>679</v>
      </c>
      <c r="H7">
        <f>Input!H21/365*IS!H6</f>
        <v>641.71377977503312</v>
      </c>
      <c r="I7">
        <f>Input!I21/365*IS!I6</f>
        <v>658.83149485053207</v>
      </c>
      <c r="J7">
        <f>Input!J21/365*IS!J6</f>
        <v>691.11423809820815</v>
      </c>
      <c r="K7">
        <f>Input!K21/365*IS!K6</f>
        <v>741.44153133407769</v>
      </c>
      <c r="L7">
        <f>Input!L21/365*IS!L6</f>
        <v>771.09919258744083</v>
      </c>
      <c r="M7">
        <f>Input!M21/365*IS!M6</f>
        <v>801.94316029093841</v>
      </c>
      <c r="N7">
        <f>Input!N21/365*IS!N6</f>
        <v>834.02088670257615</v>
      </c>
      <c r="O7">
        <f>Input!O21/365*IS!O6</f>
        <v>867.38172217067915</v>
      </c>
    </row>
    <row r="8" spans="1:15" x14ac:dyDescent="0.25">
      <c r="B8" t="s">
        <v>44</v>
      </c>
      <c r="C8" s="59">
        <v>210</v>
      </c>
      <c r="D8" s="59">
        <v>185</v>
      </c>
      <c r="G8">
        <f>SUM(D8:F8)</f>
        <v>185</v>
      </c>
      <c r="H8">
        <f>Input!H23*IS!H5</f>
        <v>193.32499999999999</v>
      </c>
      <c r="I8">
        <f>Input!I23*IS!I5</f>
        <v>203.57122499999997</v>
      </c>
      <c r="J8">
        <f>Input!J23*IS!J5</f>
        <v>213.54621502499998</v>
      </c>
      <c r="K8">
        <f>Input!K23*IS!K5</f>
        <v>223.36934091614998</v>
      </c>
      <c r="L8">
        <f>Input!L23*IS!L5</f>
        <v>232.30411455279599</v>
      </c>
      <c r="M8">
        <f>Input!M23*IS!M5</f>
        <v>241.59627913490783</v>
      </c>
      <c r="N8">
        <f>Input!N23*IS!N5</f>
        <v>251.26013030030418</v>
      </c>
      <c r="O8">
        <f>Input!O23*IS!O5</f>
        <v>261.31053551231633</v>
      </c>
    </row>
    <row r="9" spans="1:15" x14ac:dyDescent="0.25">
      <c r="B9" t="s">
        <v>45</v>
      </c>
      <c r="C9">
        <f>SUM(C5:C8)</f>
        <v>3824</v>
      </c>
      <c r="D9">
        <f>SUM(D5:D8)</f>
        <v>3668</v>
      </c>
      <c r="G9">
        <f>SUM(G5:G8)</f>
        <v>1465</v>
      </c>
      <c r="H9">
        <f ca="1">SUM(H5:H8)</f>
        <v>1649.6159385531762</v>
      </c>
      <c r="I9">
        <f t="shared" ref="I9:O9" ca="1" si="1">SUM(I5:I8)</f>
        <v>1784.516529615946</v>
      </c>
      <c r="J9">
        <f t="shared" ca="1" si="1"/>
        <v>1909.0696273191338</v>
      </c>
      <c r="K9">
        <f t="shared" ca="1" si="1"/>
        <v>2025.6463787193873</v>
      </c>
      <c r="L9">
        <f t="shared" ca="1" si="1"/>
        <v>2130.8986868404404</v>
      </c>
      <c r="M9">
        <f t="shared" ca="1" si="1"/>
        <v>2241.2238727439371</v>
      </c>
      <c r="N9">
        <f t="shared" ca="1" si="1"/>
        <v>2368.0175400528451</v>
      </c>
      <c r="O9">
        <f t="shared" ca="1" si="1"/>
        <v>3964.200475176272</v>
      </c>
    </row>
    <row r="11" spans="1:15" x14ac:dyDescent="0.25">
      <c r="B11" t="s">
        <v>46</v>
      </c>
      <c r="C11" s="59">
        <v>630</v>
      </c>
      <c r="D11" s="59">
        <v>654</v>
      </c>
      <c r="G11">
        <f>SUM(D11:F11)</f>
        <v>654</v>
      </c>
      <c r="H11">
        <f>Calc!H9</f>
        <v>701.3658324999999</v>
      </c>
      <c r="I11">
        <f>Calc!I9</f>
        <v>731.03388782749994</v>
      </c>
      <c r="J11">
        <f>Calc!J9</f>
        <v>758.2212628466649</v>
      </c>
      <c r="K11">
        <f>Calc!K9</f>
        <v>787.75408836626445</v>
      </c>
      <c r="L11">
        <f>Calc!L9</f>
        <v>818.60355115567347</v>
      </c>
      <c r="M11">
        <f>Calc!M9</f>
        <v>850.79931158334989</v>
      </c>
      <c r="N11">
        <f>Calc!N9</f>
        <v>884.37612730328681</v>
      </c>
      <c r="O11">
        <f>Calc!O9</f>
        <v>919.37339229839881</v>
      </c>
    </row>
    <row r="12" spans="1:15" x14ac:dyDescent="0.25">
      <c r="B12" t="s">
        <v>65</v>
      </c>
      <c r="C12" s="87">
        <f>129+136+845+151</f>
        <v>1261</v>
      </c>
      <c r="D12" s="59">
        <f>240+145+589+79</f>
        <v>1053</v>
      </c>
      <c r="G12">
        <f>SUM(D12:F12)</f>
        <v>1053</v>
      </c>
      <c r="H12">
        <f>Input!H25</f>
        <v>1053</v>
      </c>
      <c r="I12">
        <f>Input!I25</f>
        <v>1053</v>
      </c>
      <c r="J12">
        <f>Input!J25</f>
        <v>1053</v>
      </c>
      <c r="K12">
        <f>Input!K25</f>
        <v>1053</v>
      </c>
      <c r="L12">
        <f>Input!L25</f>
        <v>1053</v>
      </c>
      <c r="M12">
        <f>Input!M25</f>
        <v>1053</v>
      </c>
      <c r="N12">
        <f>Input!N25</f>
        <v>1053</v>
      </c>
      <c r="O12">
        <f>Input!O25</f>
        <v>1053</v>
      </c>
    </row>
    <row r="13" spans="1:15" x14ac:dyDescent="0.25">
      <c r="B13" t="s">
        <v>13</v>
      </c>
      <c r="C13" s="59">
        <v>3443</v>
      </c>
      <c r="D13" s="59">
        <v>3641</v>
      </c>
      <c r="E13">
        <f>-D13+LBO!D72</f>
        <v>12781.205400000003</v>
      </c>
      <c r="G13">
        <f>SUM(D13:F13)</f>
        <v>16422.205400000003</v>
      </c>
      <c r="H13">
        <f>G13</f>
        <v>16422.205400000003</v>
      </c>
      <c r="I13">
        <f t="shared" ref="I13:O13" si="2">H13</f>
        <v>16422.205400000003</v>
      </c>
      <c r="J13">
        <f t="shared" si="2"/>
        <v>16422.205400000003</v>
      </c>
      <c r="K13">
        <f t="shared" si="2"/>
        <v>16422.205400000003</v>
      </c>
      <c r="L13">
        <f t="shared" si="2"/>
        <v>16422.205400000003</v>
      </c>
      <c r="M13">
        <f t="shared" si="2"/>
        <v>16422.205400000003</v>
      </c>
      <c r="N13">
        <f t="shared" si="2"/>
        <v>16422.205400000003</v>
      </c>
      <c r="O13">
        <f t="shared" si="2"/>
        <v>16422.205400000003</v>
      </c>
    </row>
    <row r="14" spans="1:15" x14ac:dyDescent="0.25">
      <c r="B14" t="s">
        <v>47</v>
      </c>
      <c r="C14">
        <f>SUM(C9,C11:C13)</f>
        <v>9158</v>
      </c>
      <c r="D14">
        <f>SUM(D9,D11:D13)</f>
        <v>9016</v>
      </c>
      <c r="G14">
        <f t="shared" ref="G14:O14" si="3">SUM(G9,G11:G13)</f>
        <v>19594.205400000003</v>
      </c>
      <c r="H14">
        <f t="shared" ca="1" si="3"/>
        <v>19826.187171053178</v>
      </c>
      <c r="I14">
        <f t="shared" ca="1" si="3"/>
        <v>19990.755817443449</v>
      </c>
      <c r="J14">
        <f t="shared" ca="1" si="3"/>
        <v>20142.4962901658</v>
      </c>
      <c r="K14">
        <f t="shared" ca="1" si="3"/>
        <v>20288.605867085655</v>
      </c>
      <c r="L14">
        <f t="shared" ca="1" si="3"/>
        <v>20424.707637996114</v>
      </c>
      <c r="M14">
        <f t="shared" ca="1" si="3"/>
        <v>20567.228584327291</v>
      </c>
      <c r="N14">
        <f t="shared" ca="1" si="3"/>
        <v>20727.599067356135</v>
      </c>
      <c r="O14">
        <f t="shared" ca="1" si="3"/>
        <v>22358.779267474674</v>
      </c>
    </row>
    <row r="16" spans="1:15" x14ac:dyDescent="0.25">
      <c r="B16" t="s">
        <v>48</v>
      </c>
      <c r="C16" s="59">
        <v>64.8</v>
      </c>
      <c r="D16" s="59">
        <v>33.4</v>
      </c>
      <c r="F16" s="30">
        <f>-D16+LBO!C54</f>
        <v>-33.4</v>
      </c>
      <c r="G16">
        <f>SUM(D16:F16)</f>
        <v>0</v>
      </c>
      <c r="H16">
        <f ca="1">Debt!H23</f>
        <v>0</v>
      </c>
      <c r="I16">
        <f ca="1">Debt!I23</f>
        <v>0</v>
      </c>
      <c r="J16">
        <f ca="1">Debt!J23</f>
        <v>0</v>
      </c>
      <c r="K16">
        <f ca="1">Debt!K23</f>
        <v>0</v>
      </c>
      <c r="L16">
        <f ca="1">Debt!L23</f>
        <v>0</v>
      </c>
      <c r="M16">
        <f ca="1">Debt!M23</f>
        <v>0</v>
      </c>
      <c r="N16">
        <f ca="1">Debt!N23</f>
        <v>0</v>
      </c>
      <c r="O16">
        <f ca="1">Debt!O23</f>
        <v>0</v>
      </c>
    </row>
    <row r="17" spans="2:15" x14ac:dyDescent="0.25">
      <c r="B17" t="s">
        <v>49</v>
      </c>
      <c r="C17" s="59">
        <v>203.8</v>
      </c>
      <c r="D17" s="59">
        <v>193.4</v>
      </c>
      <c r="G17">
        <f>SUM(D17:F17)</f>
        <v>193.4</v>
      </c>
      <c r="H17">
        <f>Input!H26/365*IS!H6</f>
        <v>182.779742280547</v>
      </c>
      <c r="I17">
        <f>Input!I26/365*IS!I6</f>
        <v>187.65539190588058</v>
      </c>
      <c r="J17">
        <f>Input!J26/365*IS!J6</f>
        <v>196.85050610926874</v>
      </c>
      <c r="K17">
        <f>Input!K26/365*IS!K6</f>
        <v>211.18526091312319</v>
      </c>
      <c r="L17">
        <f>Input!L26/365*IS!L6</f>
        <v>219.63267134964815</v>
      </c>
      <c r="M17">
        <f>Input!M26/365*IS!M6</f>
        <v>228.41797820363402</v>
      </c>
      <c r="N17">
        <f>Input!N26/365*IS!N6</f>
        <v>237.55469733177947</v>
      </c>
      <c r="O17">
        <f>Input!O26/365*IS!O6</f>
        <v>247.05688522505062</v>
      </c>
    </row>
    <row r="18" spans="2:15" x14ac:dyDescent="0.25">
      <c r="B18" t="s">
        <v>134</v>
      </c>
      <c r="C18" s="59">
        <f>69.4+699.2</f>
        <v>768.6</v>
      </c>
      <c r="D18" s="59">
        <f>72.8+677.6</f>
        <v>750.4</v>
      </c>
      <c r="G18">
        <f>SUM(D18:F18)</f>
        <v>750.4</v>
      </c>
      <c r="H18">
        <f>Input!H27*IS!H5</f>
        <v>784.16800000000001</v>
      </c>
      <c r="I18">
        <f>Input!I27*IS!I5</f>
        <v>825.72890399999983</v>
      </c>
      <c r="J18">
        <f>Input!J27*IS!J5</f>
        <v>866.18962029599982</v>
      </c>
      <c r="K18">
        <f>Input!K27*IS!K5</f>
        <v>906.03434282961587</v>
      </c>
      <c r="L18">
        <f>Input!L27*IS!L5</f>
        <v>942.27571654280052</v>
      </c>
      <c r="M18">
        <f>Input!M27*IS!M5</f>
        <v>979.96674520451256</v>
      </c>
      <c r="N18">
        <f>Input!N27*IS!N5</f>
        <v>1019.1654150126932</v>
      </c>
      <c r="O18">
        <f>Input!O27*IS!O5</f>
        <v>1059.9320316132009</v>
      </c>
    </row>
    <row r="19" spans="2:15" x14ac:dyDescent="0.25">
      <c r="B19" t="s">
        <v>50</v>
      </c>
      <c r="C19">
        <f>SUM(C16:C18)</f>
        <v>1037.2</v>
      </c>
      <c r="D19">
        <f>SUM(D16:D18)</f>
        <v>977.2</v>
      </c>
      <c r="G19">
        <f t="shared" ref="G19:O19" si="4">SUM(G16:G18)</f>
        <v>943.8</v>
      </c>
      <c r="H19">
        <f t="shared" ca="1" si="4"/>
        <v>966.947742280547</v>
      </c>
      <c r="I19">
        <f t="shared" ca="1" si="4"/>
        <v>1013.3842959058804</v>
      </c>
      <c r="J19">
        <f t="shared" ca="1" si="4"/>
        <v>1063.0401264052684</v>
      </c>
      <c r="K19">
        <f t="shared" ca="1" si="4"/>
        <v>1117.2196037427391</v>
      </c>
      <c r="L19">
        <f t="shared" ca="1" si="4"/>
        <v>1161.9083878924487</v>
      </c>
      <c r="M19">
        <f t="shared" ca="1" si="4"/>
        <v>1208.3847234081466</v>
      </c>
      <c r="N19">
        <f t="shared" ca="1" si="4"/>
        <v>1256.7201123444727</v>
      </c>
      <c r="O19">
        <f t="shared" ca="1" si="4"/>
        <v>1306.9889168382515</v>
      </c>
    </row>
    <row r="21" spans="2:15" x14ac:dyDescent="0.25">
      <c r="B21" t="s">
        <v>66</v>
      </c>
      <c r="C21" s="59">
        <v>2593</v>
      </c>
      <c r="D21" s="59">
        <v>2593</v>
      </c>
      <c r="F21">
        <f>-D21</f>
        <v>-2593</v>
      </c>
      <c r="G21">
        <f t="shared" ref="G21:G27" si="5">SUM(D21:F21)</f>
        <v>0</v>
      </c>
      <c r="H21">
        <f>G21</f>
        <v>0</v>
      </c>
      <c r="I21">
        <f t="shared" ref="I21:O21" si="6">H21</f>
        <v>0</v>
      </c>
      <c r="J21">
        <f t="shared" si="6"/>
        <v>0</v>
      </c>
      <c r="K21">
        <f t="shared" si="6"/>
        <v>0</v>
      </c>
      <c r="L21">
        <f t="shared" si="6"/>
        <v>0</v>
      </c>
      <c r="M21">
        <f t="shared" si="6"/>
        <v>0</v>
      </c>
      <c r="N21">
        <f t="shared" si="6"/>
        <v>0</v>
      </c>
      <c r="O21">
        <f t="shared" si="6"/>
        <v>0</v>
      </c>
    </row>
    <row r="22" spans="2:15" x14ac:dyDescent="0.25">
      <c r="B22" s="102" t="s">
        <v>78</v>
      </c>
      <c r="C22" s="59"/>
      <c r="D22" s="59"/>
      <c r="F22">
        <f>LBO!J60*-1</f>
        <v>-105</v>
      </c>
      <c r="G22">
        <f t="shared" si="5"/>
        <v>-105</v>
      </c>
      <c r="H22">
        <f>Calc!H35*-1</f>
        <v>-91.19047619047619</v>
      </c>
      <c r="I22">
        <f>Calc!I35*-1</f>
        <v>-77.38095238095238</v>
      </c>
      <c r="J22">
        <f>Calc!J35*-1</f>
        <v>-63.571428571428577</v>
      </c>
      <c r="K22">
        <f>Calc!K35*-1</f>
        <v>-49.761904761904766</v>
      </c>
      <c r="L22">
        <f>Calc!L35*-1</f>
        <v>-35.952380952380956</v>
      </c>
      <c r="M22">
        <f>Calc!M35*-1</f>
        <v>-22.142857142857146</v>
      </c>
      <c r="N22">
        <f>Calc!N35*-1</f>
        <v>-8.3333333333333375</v>
      </c>
      <c r="O22">
        <f>Calc!O35*-1</f>
        <v>-1.6666666666666707</v>
      </c>
    </row>
    <row r="23" spans="2:15" x14ac:dyDescent="0.25">
      <c r="B23" t="str">
        <f>LBO!B55</f>
        <v>Term loan B</v>
      </c>
      <c r="C23" s="59"/>
      <c r="D23" s="59"/>
      <c r="F23">
        <f>LBO!C55</f>
        <v>5000</v>
      </c>
      <c r="G23">
        <f t="shared" si="5"/>
        <v>5000</v>
      </c>
      <c r="H23">
        <f ca="1">Debt!H38</f>
        <v>4440.4035236655691</v>
      </c>
      <c r="I23">
        <f ca="1">Debt!I38</f>
        <v>3658.0562493693274</v>
      </c>
      <c r="J23">
        <f ca="1">Debt!J38</f>
        <v>2726.0385953765517</v>
      </c>
      <c r="K23">
        <f ca="1">Debt!K38</f>
        <v>1720.4775985194442</v>
      </c>
      <c r="L23">
        <f ca="1">Debt!L38</f>
        <v>602.01480287127174</v>
      </c>
      <c r="M23">
        <f ca="1">Debt!M38</f>
        <v>0</v>
      </c>
      <c r="N23">
        <f ca="1">Debt!N38</f>
        <v>0</v>
      </c>
      <c r="O23">
        <f ca="1">Debt!O38</f>
        <v>0</v>
      </c>
    </row>
    <row r="24" spans="2:15" x14ac:dyDescent="0.25">
      <c r="B24" t="str">
        <f>LBO!B56</f>
        <v>Subordinated debt</v>
      </c>
      <c r="C24" s="59"/>
      <c r="D24" s="59"/>
      <c r="F24">
        <f>LBO!C56</f>
        <v>2000</v>
      </c>
      <c r="G24">
        <f t="shared" si="5"/>
        <v>2000</v>
      </c>
      <c r="H24">
        <f ca="1">Debt!H47</f>
        <v>2000</v>
      </c>
      <c r="I24">
        <f ca="1">Debt!I47</f>
        <v>2000</v>
      </c>
      <c r="J24">
        <f ca="1">Debt!J47</f>
        <v>2000</v>
      </c>
      <c r="K24">
        <f ca="1">Debt!K47</f>
        <v>2000</v>
      </c>
      <c r="L24">
        <f ca="1">Debt!L47</f>
        <v>2000</v>
      </c>
      <c r="M24">
        <f ca="1">Debt!M47</f>
        <v>1363.545780021281</v>
      </c>
      <c r="N24">
        <f ca="1">Debt!N47</f>
        <v>0</v>
      </c>
      <c r="O24">
        <f ca="1">Debt!O47</f>
        <v>0</v>
      </c>
    </row>
    <row r="25" spans="2:15" x14ac:dyDescent="0.25">
      <c r="B25" s="80" t="s">
        <v>85</v>
      </c>
      <c r="C25" s="59"/>
      <c r="D25" s="59"/>
      <c r="F25">
        <f>LBO!C57</f>
        <v>1500</v>
      </c>
      <c r="G25" s="80">
        <f t="shared" si="5"/>
        <v>1500</v>
      </c>
      <c r="H25">
        <f>Debt!H57</f>
        <v>1680</v>
      </c>
      <c r="I25">
        <f>Debt!I57</f>
        <v>1881.6</v>
      </c>
      <c r="J25">
        <f>Debt!J57</f>
        <v>2107.3919999999998</v>
      </c>
      <c r="K25">
        <f>Debt!K57</f>
        <v>2360.2790399999999</v>
      </c>
      <c r="L25">
        <f>Debt!L57</f>
        <v>2643.5125247999999</v>
      </c>
      <c r="M25">
        <f>Debt!M57</f>
        <v>2960.7340277759999</v>
      </c>
      <c r="N25">
        <f>Debt!N57</f>
        <v>3316.02211110912</v>
      </c>
      <c r="O25">
        <f>Debt!O57</f>
        <v>3713.9447644422144</v>
      </c>
    </row>
    <row r="26" spans="2:15" x14ac:dyDescent="0.25">
      <c r="B26" t="s">
        <v>103</v>
      </c>
      <c r="C26" s="59"/>
      <c r="D26" s="59"/>
      <c r="F26">
        <f>LBO!C58</f>
        <v>6222.6575080000039</v>
      </c>
      <c r="G26">
        <f t="shared" si="5"/>
        <v>6222.6575080000039</v>
      </c>
      <c r="H26">
        <f>Calc!H14</f>
        <v>6969.3764089600045</v>
      </c>
      <c r="I26">
        <f>Calc!I14</f>
        <v>7805.7015780352049</v>
      </c>
      <c r="J26">
        <f>Calc!J14</f>
        <v>8742.3857673994298</v>
      </c>
      <c r="K26">
        <f>Calc!K14</f>
        <v>9791.4720594873615</v>
      </c>
      <c r="L26">
        <f>Calc!L14</f>
        <v>10966.448706625844</v>
      </c>
      <c r="M26">
        <f>Calc!M14</f>
        <v>12282.422551420947</v>
      </c>
      <c r="N26">
        <f>Calc!N14</f>
        <v>13756.313257591461</v>
      </c>
      <c r="O26">
        <f>Calc!O14</f>
        <v>15407.070848502435</v>
      </c>
    </row>
    <row r="27" spans="2:15" x14ac:dyDescent="0.25">
      <c r="B27" t="s">
        <v>67</v>
      </c>
      <c r="C27" s="59">
        <f>59+24+312+2.8</f>
        <v>397.8</v>
      </c>
      <c r="D27" s="59">
        <f>43+23+330+1.8</f>
        <v>397.8</v>
      </c>
      <c r="G27">
        <f t="shared" si="5"/>
        <v>397.8</v>
      </c>
      <c r="H27">
        <f>Input!H28</f>
        <v>397.8</v>
      </c>
      <c r="I27">
        <f>Input!I28</f>
        <v>397.8</v>
      </c>
      <c r="J27">
        <f>Input!J28</f>
        <v>397.8</v>
      </c>
      <c r="K27">
        <f>Input!K28</f>
        <v>397.8</v>
      </c>
      <c r="L27">
        <f>Input!L28</f>
        <v>397.8</v>
      </c>
      <c r="M27">
        <f>Input!M28</f>
        <v>397.8</v>
      </c>
      <c r="N27">
        <f>Input!N28</f>
        <v>397.8</v>
      </c>
      <c r="O27">
        <f>Input!O28</f>
        <v>397.8</v>
      </c>
    </row>
    <row r="28" spans="2:15" x14ac:dyDescent="0.25">
      <c r="B28" t="s">
        <v>51</v>
      </c>
      <c r="C28">
        <f>SUM(C19,C21:C27)</f>
        <v>4028</v>
      </c>
      <c r="D28">
        <f>SUM(D19,D21:D27)</f>
        <v>3968</v>
      </c>
      <c r="G28">
        <f t="shared" ref="G28:O28" si="7">SUM(G19,G21:G27)</f>
        <v>15959.257508000002</v>
      </c>
      <c r="H28">
        <f t="shared" ca="1" si="7"/>
        <v>16363.337198715642</v>
      </c>
      <c r="I28">
        <f t="shared" ca="1" si="7"/>
        <v>16679.161170929459</v>
      </c>
      <c r="J28">
        <f t="shared" ca="1" si="7"/>
        <v>16973.085060609821</v>
      </c>
      <c r="K28">
        <f t="shared" ca="1" si="7"/>
        <v>17337.486396987639</v>
      </c>
      <c r="L28">
        <f t="shared" ca="1" si="7"/>
        <v>17735.732041237181</v>
      </c>
      <c r="M28">
        <f t="shared" ca="1" si="7"/>
        <v>18190.744225483515</v>
      </c>
      <c r="N28">
        <f t="shared" ca="1" si="7"/>
        <v>18718.522147711719</v>
      </c>
      <c r="O28">
        <f t="shared" ca="1" si="7"/>
        <v>20824.137863116233</v>
      </c>
    </row>
    <row r="30" spans="2:15" x14ac:dyDescent="0.25">
      <c r="B30" t="s">
        <v>31</v>
      </c>
      <c r="C30" s="59">
        <v>5130</v>
      </c>
      <c r="D30" s="59">
        <v>5048</v>
      </c>
      <c r="E30">
        <f>-D30-LBO!C46</f>
        <v>-5413.0521079999999</v>
      </c>
      <c r="F30">
        <f>LBO!C59</f>
        <v>4000</v>
      </c>
      <c r="G30">
        <f>SUM(D30:F30)</f>
        <v>3634.9478920000001</v>
      </c>
      <c r="H30">
        <f ca="1">Calc!H20</f>
        <v>3462.8499723375353</v>
      </c>
      <c r="I30">
        <f ca="1">Calc!I20</f>
        <v>3311.5946465139896</v>
      </c>
      <c r="J30">
        <f ca="1">Calc!J20</f>
        <v>3169.4112295559817</v>
      </c>
      <c r="K30">
        <f ca="1">Calc!K20</f>
        <v>2951.1194700980159</v>
      </c>
      <c r="L30">
        <f ca="1">Calc!L20</f>
        <v>2688.9755967589163</v>
      </c>
      <c r="M30">
        <f ca="1">Calc!M20</f>
        <v>2376.4843588719377</v>
      </c>
      <c r="N30">
        <f ca="1">Calc!N20</f>
        <v>2009.0769203160471</v>
      </c>
      <c r="O30">
        <f ca="1">Calc!O20</f>
        <v>1534.6414185908877</v>
      </c>
    </row>
    <row r="31" spans="2:15" x14ac:dyDescent="0.25">
      <c r="B31" t="s">
        <v>52</v>
      </c>
      <c r="C31">
        <f>SUM(C28,C30)</f>
        <v>9158</v>
      </c>
      <c r="D31">
        <f>SUM(D28,D30)</f>
        <v>9016</v>
      </c>
      <c r="G31">
        <f>G28+G30</f>
        <v>19594.205400000003</v>
      </c>
      <c r="H31">
        <f ca="1">H28+H30</f>
        <v>19826.187171053178</v>
      </c>
      <c r="I31">
        <f t="shared" ref="I31:O31" ca="1" si="8">I28+I30</f>
        <v>19990.755817443449</v>
      </c>
      <c r="J31">
        <f t="shared" ca="1" si="8"/>
        <v>20142.496290165804</v>
      </c>
      <c r="K31">
        <f t="shared" ca="1" si="8"/>
        <v>20288.605867085655</v>
      </c>
      <c r="L31">
        <f t="shared" ca="1" si="8"/>
        <v>20424.707637996096</v>
      </c>
      <c r="M31">
        <f t="shared" ca="1" si="8"/>
        <v>20567.228584355453</v>
      </c>
      <c r="N31">
        <f t="shared" ca="1" si="8"/>
        <v>20727.599068027768</v>
      </c>
      <c r="O31">
        <f t="shared" ca="1" si="8"/>
        <v>22358.77928170712</v>
      </c>
    </row>
    <row r="33" spans="2:15" x14ac:dyDescent="0.25">
      <c r="B33" t="s">
        <v>53</v>
      </c>
      <c r="C33" s="63" t="str">
        <f>IF(C31=C14,"OK",C14-C31)</f>
        <v>OK</v>
      </c>
      <c r="D33" s="63" t="str">
        <f>IF(D31=D14,"OK",D14-D31)</f>
        <v>OK</v>
      </c>
      <c r="G33" s="63" t="str">
        <f t="shared" ref="G33:O33" si="9">IF(G31=G14,"OK",G14-G31)</f>
        <v>OK</v>
      </c>
      <c r="H33" s="63" t="str">
        <f t="shared" ca="1" si="9"/>
        <v>OK</v>
      </c>
      <c r="I33" s="63" t="str">
        <f t="shared" ca="1" si="9"/>
        <v>OK</v>
      </c>
      <c r="J33" s="63" t="str">
        <f t="shared" ca="1" si="9"/>
        <v>OK</v>
      </c>
      <c r="K33" s="63" t="str">
        <f t="shared" ca="1" si="9"/>
        <v>OK</v>
      </c>
      <c r="L33" s="63" t="str">
        <f t="shared" ca="1" si="9"/>
        <v>OK</v>
      </c>
      <c r="M33" s="63">
        <f t="shared" ca="1" si="9"/>
        <v>-2.816159394569695E-8</v>
      </c>
      <c r="N33" s="63">
        <f t="shared" ca="1" si="9"/>
        <v>-6.7163273342885077E-7</v>
      </c>
      <c r="O33" s="63">
        <f t="shared" ca="1" si="9"/>
        <v>-1.4232446119422093E-5</v>
      </c>
    </row>
    <row r="38" spans="2:15" x14ac:dyDescent="0.25">
      <c r="G38" s="63"/>
      <c r="H38" s="63"/>
      <c r="I38" s="6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CFS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B5" t="s">
        <v>194</v>
      </c>
      <c r="H5">
        <f>IS!H20</f>
        <v>1500.1218625000001</v>
      </c>
      <c r="I5">
        <f>IS!I20</f>
        <v>1620.5045861999997</v>
      </c>
      <c r="J5">
        <f>IS!J20</f>
        <v>1714.5898904447497</v>
      </c>
      <c r="K5">
        <f>IS!K20</f>
        <v>1737.1979915920515</v>
      </c>
      <c r="L5">
        <f>IS!L20</f>
        <v>1801.6299870067082</v>
      </c>
      <c r="M5">
        <f>IS!M20</f>
        <v>1868.6622673602856</v>
      </c>
      <c r="N5">
        <f>IS!N20</f>
        <v>1938.3949331795434</v>
      </c>
      <c r="O5">
        <f>IS!O20</f>
        <v>2010.9327538603479</v>
      </c>
    </row>
    <row r="6" spans="1:15" x14ac:dyDescent="0.25">
      <c r="B6" t="s">
        <v>163</v>
      </c>
      <c r="H6">
        <f ca="1">Debt!H61</f>
        <v>-485.72371980462935</v>
      </c>
      <c r="I6">
        <f ca="1">Debt!I61</f>
        <v>-440.0976322831865</v>
      </c>
      <c r="J6">
        <f ca="1">Debt!J61</f>
        <v>-381.8092247213599</v>
      </c>
      <c r="K6">
        <f ca="1">Debt!K61</f>
        <v>-315.93155059246385</v>
      </c>
      <c r="L6">
        <f ca="1">Debt!L61</f>
        <v>-243.71474164728434</v>
      </c>
      <c r="M6">
        <f ca="1">Debt!M61</f>
        <v>-159.6012209434798</v>
      </c>
      <c r="N6">
        <f ca="1">Debt!N61</f>
        <v>-58.632717645856559</v>
      </c>
      <c r="O6">
        <f ca="1">Debt!O61</f>
        <v>-3.75</v>
      </c>
    </row>
    <row r="7" spans="1:15" x14ac:dyDescent="0.25">
      <c r="B7" t="s">
        <v>109</v>
      </c>
      <c r="H7">
        <f ca="1">IS!H14</f>
        <v>-134.7876375883109</v>
      </c>
      <c r="I7">
        <f ca="1">IS!I14</f>
        <v>-160.69539533063499</v>
      </c>
      <c r="J7">
        <f ca="1">IS!J14</f>
        <v>-174.40260857697439</v>
      </c>
      <c r="K7">
        <f ca="1">IS!K14</f>
        <v>-194.87772987616486</v>
      </c>
      <c r="L7">
        <f ca="1">IS!L14</f>
        <v>-214.12126792825063</v>
      </c>
      <c r="M7">
        <f ca="1">IS!M14</f>
        <v>-235.38480902761532</v>
      </c>
      <c r="N7">
        <f ca="1">IS!N14</f>
        <v>-259.54545783015595</v>
      </c>
      <c r="O7">
        <f ca="1">IS!O14</f>
        <v>-275.92740352161536</v>
      </c>
    </row>
    <row r="8" spans="1:15" x14ac:dyDescent="0.25">
      <c r="B8" t="s">
        <v>54</v>
      </c>
      <c r="H8">
        <f>BS!G12-BS!H12</f>
        <v>0</v>
      </c>
      <c r="I8">
        <f>BS!H12-BS!I12</f>
        <v>0</v>
      </c>
      <c r="J8">
        <f>BS!I12-BS!J12</f>
        <v>0</v>
      </c>
      <c r="K8">
        <f>BS!J12-BS!K12</f>
        <v>0</v>
      </c>
      <c r="L8">
        <f>BS!K12-BS!L12</f>
        <v>0</v>
      </c>
      <c r="M8">
        <f>BS!L12-BS!M12</f>
        <v>0</v>
      </c>
      <c r="N8">
        <f>BS!M12-BS!N12</f>
        <v>0</v>
      </c>
      <c r="O8">
        <f>BS!N12-BS!O12</f>
        <v>0</v>
      </c>
    </row>
    <row r="9" spans="1:15" x14ac:dyDescent="0.25">
      <c r="B9" t="s">
        <v>55</v>
      </c>
      <c r="H9">
        <f>BS!H27-BS!G27</f>
        <v>0</v>
      </c>
      <c r="I9">
        <f>BS!I27-BS!H27</f>
        <v>0</v>
      </c>
      <c r="J9">
        <f>BS!J27-BS!I27</f>
        <v>0</v>
      </c>
      <c r="K9">
        <f>BS!K27-BS!J27</f>
        <v>0</v>
      </c>
      <c r="L9">
        <f>BS!L27-BS!K27</f>
        <v>0</v>
      </c>
      <c r="M9">
        <f>BS!M27-BS!L27</f>
        <v>0</v>
      </c>
      <c r="N9">
        <f>BS!N27-BS!M27</f>
        <v>0</v>
      </c>
      <c r="O9">
        <f>BS!O27-BS!N27</f>
        <v>0</v>
      </c>
    </row>
    <row r="10" spans="1:15" x14ac:dyDescent="0.25">
      <c r="B10" t="s">
        <v>56</v>
      </c>
      <c r="H10">
        <f>Calc!G28-Calc!H28</f>
        <v>25.063962505514041</v>
      </c>
      <c r="I10">
        <f>Calc!H28-Calc!I28</f>
        <v>-14.213771450165609</v>
      </c>
      <c r="J10">
        <f>Calc!I28-Calc!J28</f>
        <v>-25.007140638288092</v>
      </c>
      <c r="K10">
        <f>Calc!J28-Calc!K28</f>
        <v>-37.882826441338693</v>
      </c>
      <c r="L10">
        <f>Calc!K28-Calc!L28</f>
        <v>-22.929591040971218</v>
      </c>
      <c r="M10">
        <f>Calc!L28-Calc!M28</f>
        <v>-23.846774682609976</v>
      </c>
      <c r="N10">
        <f>Calc!M28-Calc!N28</f>
        <v>-24.800645669914729</v>
      </c>
      <c r="O10">
        <f>Calc!N28-Calc!O28</f>
        <v>-25.792671496710909</v>
      </c>
    </row>
    <row r="11" spans="1:15" x14ac:dyDescent="0.25">
      <c r="B11" t="s">
        <v>57</v>
      </c>
      <c r="H11">
        <f t="shared" ref="H11:O11" ca="1" si="1">SUM(H5:H10)</f>
        <v>904.67446761257395</v>
      </c>
      <c r="I11">
        <f t="shared" ca="1" si="1"/>
        <v>1005.4977871360126</v>
      </c>
      <c r="J11">
        <f t="shared" ca="1" si="1"/>
        <v>1133.3709165081273</v>
      </c>
      <c r="K11">
        <f t="shared" ca="1" si="1"/>
        <v>1188.5058846820841</v>
      </c>
      <c r="L11">
        <f t="shared" ca="1" si="1"/>
        <v>1320.8643863902018</v>
      </c>
      <c r="M11">
        <f t="shared" ca="1" si="1"/>
        <v>1449.8294627065804</v>
      </c>
      <c r="N11">
        <f t="shared" ca="1" si="1"/>
        <v>1595.4161120336162</v>
      </c>
      <c r="O11">
        <f t="shared" ca="1" si="1"/>
        <v>1705.4626788420217</v>
      </c>
    </row>
    <row r="13" spans="1:15" x14ac:dyDescent="0.25">
      <c r="B13" t="s">
        <v>58</v>
      </c>
      <c r="H13">
        <f>-Calc!H7</f>
        <v>-158.54583249999999</v>
      </c>
      <c r="I13">
        <f>-Calc!I7</f>
        <v>-148.9002468525</v>
      </c>
      <c r="J13">
        <f>-Calc!J7</f>
        <v>-151.46313594983999</v>
      </c>
      <c r="K13">
        <f>-Calc!K7</f>
        <v>-158.43044020353264</v>
      </c>
      <c r="L13">
        <f>-Calc!L7</f>
        <v>-164.76765781167396</v>
      </c>
      <c r="M13">
        <f>-Calc!M7</f>
        <v>-171.35836412414091</v>
      </c>
      <c r="N13">
        <f>-Calc!N7</f>
        <v>-178.21269868910656</v>
      </c>
      <c r="O13">
        <f>-Calc!O7</f>
        <v>-185.34120663667085</v>
      </c>
    </row>
    <row r="14" spans="1:15" x14ac:dyDescent="0.25">
      <c r="B14" t="s">
        <v>59</v>
      </c>
      <c r="H14">
        <f>H13</f>
        <v>-158.54583249999999</v>
      </c>
      <c r="I14">
        <f t="shared" ref="I14:O14" si="2">I13</f>
        <v>-148.9002468525</v>
      </c>
      <c r="J14">
        <f t="shared" si="2"/>
        <v>-151.46313594983999</v>
      </c>
      <c r="K14">
        <f t="shared" si="2"/>
        <v>-158.43044020353264</v>
      </c>
      <c r="L14">
        <f t="shared" si="2"/>
        <v>-164.76765781167396</v>
      </c>
      <c r="M14">
        <f t="shared" si="2"/>
        <v>-171.35836412414091</v>
      </c>
      <c r="N14">
        <f t="shared" si="2"/>
        <v>-178.21269868910656</v>
      </c>
      <c r="O14">
        <f t="shared" si="2"/>
        <v>-185.34120663667085</v>
      </c>
    </row>
    <row r="16" spans="1:15" x14ac:dyDescent="0.25">
      <c r="B16" t="s">
        <v>60</v>
      </c>
      <c r="H16">
        <f ca="1">BS!H16-BS!G16</f>
        <v>0</v>
      </c>
      <c r="I16">
        <f ca="1">BS!I16-BS!H16</f>
        <v>0</v>
      </c>
      <c r="J16">
        <f ca="1">BS!J16-BS!I16</f>
        <v>0</v>
      </c>
      <c r="K16">
        <f ca="1">BS!K16-BS!J16</f>
        <v>0</v>
      </c>
      <c r="L16">
        <f ca="1">BS!L16-BS!K16</f>
        <v>0</v>
      </c>
      <c r="M16">
        <f ca="1">BS!M16-BS!L16</f>
        <v>0</v>
      </c>
      <c r="N16">
        <f ca="1">BS!N16-BS!M16</f>
        <v>0</v>
      </c>
      <c r="O16">
        <f ca="1">BS!O16-BS!N16</f>
        <v>0</v>
      </c>
    </row>
    <row r="17" spans="2:15" x14ac:dyDescent="0.25">
      <c r="B17" t="s">
        <v>69</v>
      </c>
      <c r="H17">
        <f>BS!H21-BS!G21</f>
        <v>0</v>
      </c>
      <c r="I17">
        <f>BS!I21-BS!H21</f>
        <v>0</v>
      </c>
      <c r="J17">
        <f>BS!J21-BS!I21</f>
        <v>0</v>
      </c>
      <c r="K17">
        <f>BS!K21-BS!J21</f>
        <v>0</v>
      </c>
      <c r="L17">
        <f>BS!L21-BS!K21</f>
        <v>0</v>
      </c>
      <c r="M17">
        <f>BS!M21-BS!L21</f>
        <v>0</v>
      </c>
      <c r="N17">
        <f>BS!N21-BS!M21</f>
        <v>0</v>
      </c>
      <c r="O17">
        <f>BS!O21-BS!N21</f>
        <v>0</v>
      </c>
    </row>
    <row r="18" spans="2:15" x14ac:dyDescent="0.25">
      <c r="B18" t="str">
        <f>"Inc (dec) in "&amp;BS!B23</f>
        <v>Inc (dec) in Term loan B</v>
      </c>
      <c r="H18">
        <f ca="1">BS!H23-BS!G23</f>
        <v>-559.59647633443092</v>
      </c>
      <c r="I18">
        <f ca="1">BS!I23-BS!H23</f>
        <v>-782.34727429624172</v>
      </c>
      <c r="J18">
        <f ca="1">BS!J23-BS!I23</f>
        <v>-932.01765399277565</v>
      </c>
      <c r="K18">
        <f ca="1">BS!K23-BS!J23</f>
        <v>-1005.5609968571075</v>
      </c>
      <c r="L18">
        <f ca="1">BS!L23-BS!K23</f>
        <v>-1118.4627956481725</v>
      </c>
      <c r="M18">
        <f ca="1">BS!M23-BS!L23</f>
        <v>-602.01480287127174</v>
      </c>
      <c r="N18">
        <f ca="1">BS!N23-BS!M23</f>
        <v>0</v>
      </c>
      <c r="O18">
        <f ca="1">BS!O23-BS!N23</f>
        <v>0</v>
      </c>
    </row>
    <row r="19" spans="2:15" x14ac:dyDescent="0.25">
      <c r="B19" t="str">
        <f>"Inc (dec) in "&amp;BS!B24</f>
        <v>Inc (dec) in Subordinated debt</v>
      </c>
      <c r="H19">
        <f ca="1">BS!H24-BS!G24</f>
        <v>0</v>
      </c>
      <c r="I19">
        <f ca="1">BS!I24-BS!H24</f>
        <v>0</v>
      </c>
      <c r="J19">
        <f ca="1">BS!J24-BS!I24</f>
        <v>0</v>
      </c>
      <c r="K19">
        <f ca="1">BS!K24-BS!J24</f>
        <v>0</v>
      </c>
      <c r="L19">
        <f ca="1">BS!L24-BS!K24</f>
        <v>0</v>
      </c>
      <c r="M19">
        <f ca="1">BS!M24-BS!L24</f>
        <v>-636.45421997871904</v>
      </c>
      <c r="N19">
        <f ca="1">BS!N24-BS!M24</f>
        <v>-1363.545780021281</v>
      </c>
      <c r="O19">
        <f ca="1">BS!O24-BS!N24</f>
        <v>0</v>
      </c>
    </row>
    <row r="20" spans="2:15" x14ac:dyDescent="0.25">
      <c r="B20" t="s">
        <v>61</v>
      </c>
      <c r="H20">
        <f t="shared" ref="H20:O20" ca="1" si="3">SUM(H16:H19)</f>
        <v>-559.59647633443092</v>
      </c>
      <c r="I20">
        <f t="shared" ca="1" si="3"/>
        <v>-782.34727429624172</v>
      </c>
      <c r="J20">
        <f t="shared" ca="1" si="3"/>
        <v>-932.01765399277565</v>
      </c>
      <c r="K20">
        <f t="shared" ca="1" si="3"/>
        <v>-1005.5609968571075</v>
      </c>
      <c r="L20">
        <f t="shared" ca="1" si="3"/>
        <v>-1118.4627956481725</v>
      </c>
      <c r="M20">
        <f t="shared" ca="1" si="3"/>
        <v>-1238.4690228499908</v>
      </c>
      <c r="N20">
        <f t="shared" ca="1" si="3"/>
        <v>-1363.545780021281</v>
      </c>
      <c r="O20">
        <f t="shared" ca="1" si="3"/>
        <v>0</v>
      </c>
    </row>
    <row r="22" spans="2:15" x14ac:dyDescent="0.25">
      <c r="B22" t="s">
        <v>35</v>
      </c>
      <c r="H22">
        <f>G24</f>
        <v>0</v>
      </c>
      <c r="I22">
        <f t="shared" ref="I22:O22" ca="1" si="4">H24</f>
        <v>186.53215877814307</v>
      </c>
      <c r="J22">
        <f t="shared" ca="1" si="4"/>
        <v>260.78242476541391</v>
      </c>
      <c r="K22">
        <f t="shared" ca="1" si="4"/>
        <v>310.67255133092556</v>
      </c>
      <c r="L22">
        <f t="shared" ca="1" si="4"/>
        <v>335.18699895236944</v>
      </c>
      <c r="M22">
        <f t="shared" ca="1" si="4"/>
        <v>372.82093188274223</v>
      </c>
      <c r="N22">
        <f t="shared" ca="1" si="4"/>
        <v>412.82300758793065</v>
      </c>
      <c r="O22">
        <f t="shared" ca="1" si="4"/>
        <v>466.48064029059799</v>
      </c>
    </row>
    <row r="23" spans="2:15" x14ac:dyDescent="0.25">
      <c r="B23" t="s">
        <v>62</v>
      </c>
      <c r="H23">
        <f t="shared" ref="H23:O23" ca="1" si="5">H11+H14+H20</f>
        <v>186.53215877814307</v>
      </c>
      <c r="I23">
        <f t="shared" ca="1" si="5"/>
        <v>74.250265987270836</v>
      </c>
      <c r="J23">
        <f t="shared" ca="1" si="5"/>
        <v>49.89012656551165</v>
      </c>
      <c r="K23">
        <f t="shared" ca="1" si="5"/>
        <v>24.514447621443878</v>
      </c>
      <c r="L23">
        <f t="shared" ca="1" si="5"/>
        <v>37.633932930355513</v>
      </c>
      <c r="M23">
        <f t="shared" ca="1" si="5"/>
        <v>40.002075732448702</v>
      </c>
      <c r="N23">
        <f t="shared" ca="1" si="5"/>
        <v>53.657633323228538</v>
      </c>
      <c r="O23">
        <f t="shared" ca="1" si="5"/>
        <v>1520.1214722053508</v>
      </c>
    </row>
    <row r="24" spans="2:15" x14ac:dyDescent="0.25">
      <c r="B24" t="s">
        <v>63</v>
      </c>
      <c r="G24">
        <f>BS!G5</f>
        <v>0</v>
      </c>
      <c r="H24">
        <f ca="1">SUM(H22:H23)</f>
        <v>186.53215877814307</v>
      </c>
      <c r="I24">
        <f t="shared" ref="I24:O24" ca="1" si="6">SUM(I22:I23)</f>
        <v>260.78242476541391</v>
      </c>
      <c r="J24">
        <f t="shared" ca="1" si="6"/>
        <v>310.67255133092556</v>
      </c>
      <c r="K24">
        <f t="shared" ca="1" si="6"/>
        <v>335.18699895236944</v>
      </c>
      <c r="L24">
        <f t="shared" ca="1" si="6"/>
        <v>372.82093188272495</v>
      </c>
      <c r="M24">
        <f t="shared" ca="1" si="6"/>
        <v>412.82300761519093</v>
      </c>
      <c r="N24">
        <f t="shared" ca="1" si="6"/>
        <v>466.48064091115918</v>
      </c>
      <c r="O24">
        <f t="shared" ca="1" si="6"/>
        <v>1986.6021124959489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2"/>
  <sheetViews>
    <sheetView workbookViewId="0">
      <selection activeCell="B61" sqref="B61"/>
    </sheetView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Debt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A5" s="60" t="s">
        <v>108</v>
      </c>
    </row>
    <row r="6" spans="1:15" x14ac:dyDescent="0.25">
      <c r="B6" t="str">
        <f>BS!B23</f>
        <v>Term loan B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1</v>
      </c>
      <c r="O6" s="70">
        <v>0</v>
      </c>
    </row>
    <row r="7" spans="1:15" x14ac:dyDescent="0.25">
      <c r="B7" t="str">
        <f>BS!B24</f>
        <v>Subordinated debt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1</v>
      </c>
    </row>
    <row r="9" spans="1:15" x14ac:dyDescent="0.25">
      <c r="A9" s="60" t="s">
        <v>102</v>
      </c>
    </row>
    <row r="10" spans="1:15" x14ac:dyDescent="0.25">
      <c r="B10" t="s">
        <v>92</v>
      </c>
      <c r="H10">
        <f>BS!G5</f>
        <v>0</v>
      </c>
      <c r="I10">
        <f ca="1">BS!H5</f>
        <v>186.53215877814307</v>
      </c>
      <c r="J10">
        <f ca="1">BS!I5</f>
        <v>260.78242476541391</v>
      </c>
      <c r="K10">
        <f ca="1">BS!J5</f>
        <v>310.67255133092556</v>
      </c>
      <c r="L10">
        <f ca="1">BS!K5</f>
        <v>335.18699895236944</v>
      </c>
      <c r="M10">
        <f ca="1">BS!L5</f>
        <v>372.82093188274223</v>
      </c>
      <c r="N10">
        <f ca="1">BS!M5</f>
        <v>412.82300758793065</v>
      </c>
      <c r="O10">
        <f ca="1">BS!N5</f>
        <v>466.48064029059799</v>
      </c>
    </row>
    <row r="11" spans="1:15" x14ac:dyDescent="0.25">
      <c r="B11" t="s">
        <v>93</v>
      </c>
      <c r="H11">
        <f ca="1">CFS!H11</f>
        <v>904.67446761257395</v>
      </c>
      <c r="I11">
        <f ca="1">CFS!I11</f>
        <v>1005.4977871360126</v>
      </c>
      <c r="J11">
        <f ca="1">CFS!J11</f>
        <v>1133.3709165081273</v>
      </c>
      <c r="K11">
        <f ca="1">CFS!K11</f>
        <v>1188.5058846820841</v>
      </c>
      <c r="L11">
        <f ca="1">CFS!L11</f>
        <v>1320.8643863902018</v>
      </c>
      <c r="M11">
        <f ca="1">CFS!M11</f>
        <v>1449.8294627065804</v>
      </c>
      <c r="N11">
        <f ca="1">CFS!N11</f>
        <v>1595.4161120336162</v>
      </c>
      <c r="O11">
        <f ca="1">CFS!O11</f>
        <v>1705.4626788420217</v>
      </c>
    </row>
    <row r="12" spans="1:15" x14ac:dyDescent="0.25">
      <c r="B12" t="s">
        <v>94</v>
      </c>
      <c r="H12">
        <f>CFS!H14</f>
        <v>-158.54583249999999</v>
      </c>
      <c r="I12">
        <f>CFS!I14</f>
        <v>-148.9002468525</v>
      </c>
      <c r="J12">
        <f>CFS!J14</f>
        <v>-151.46313594983999</v>
      </c>
      <c r="K12">
        <f>CFS!K14</f>
        <v>-158.43044020353264</v>
      </c>
      <c r="L12">
        <f>CFS!L14</f>
        <v>-164.76765781167396</v>
      </c>
      <c r="M12">
        <f>CFS!M14</f>
        <v>-171.35836412414091</v>
      </c>
      <c r="N12">
        <f>CFS!N14</f>
        <v>-178.21269868910656</v>
      </c>
      <c r="O12">
        <f>CFS!O14</f>
        <v>-185.34120663667085</v>
      </c>
    </row>
    <row r="13" spans="1:15" x14ac:dyDescent="0.25">
      <c r="B13" t="s">
        <v>96</v>
      </c>
      <c r="H13">
        <f ca="1">SUM(H10:H12)</f>
        <v>746.12863511257399</v>
      </c>
      <c r="I13">
        <f t="shared" ref="I13:O13" ca="1" si="1">SUM(I10:I12)</f>
        <v>1043.1296990616556</v>
      </c>
      <c r="J13">
        <f t="shared" ca="1" si="1"/>
        <v>1242.6902053237011</v>
      </c>
      <c r="K13">
        <f t="shared" ca="1" si="1"/>
        <v>1340.7479958094768</v>
      </c>
      <c r="L13">
        <f t="shared" ca="1" si="1"/>
        <v>1491.2837275308975</v>
      </c>
      <c r="M13">
        <f t="shared" ca="1" si="1"/>
        <v>1651.2920304651818</v>
      </c>
      <c r="N13">
        <f t="shared" ca="1" si="1"/>
        <v>1830.02642093244</v>
      </c>
      <c r="O13">
        <f t="shared" ca="1" si="1"/>
        <v>1986.6021124959489</v>
      </c>
    </row>
    <row r="15" spans="1:15" x14ac:dyDescent="0.25">
      <c r="B15" t="s">
        <v>97</v>
      </c>
    </row>
    <row r="16" spans="1:15" x14ac:dyDescent="0.25">
      <c r="B16" t="str">
        <f>B6</f>
        <v>Term loan B</v>
      </c>
      <c r="H16">
        <f>H36</f>
        <v>0</v>
      </c>
      <c r="I16">
        <f t="shared" ref="I16:O16" ca="1" si="2">I36</f>
        <v>0</v>
      </c>
      <c r="J16">
        <f t="shared" ca="1" si="2"/>
        <v>0</v>
      </c>
      <c r="K16">
        <f t="shared" ca="1" si="2"/>
        <v>0</v>
      </c>
      <c r="L16">
        <f t="shared" ca="1" si="2"/>
        <v>0</v>
      </c>
      <c r="M16">
        <f t="shared" ca="1" si="2"/>
        <v>0</v>
      </c>
      <c r="N16">
        <f t="shared" ca="1" si="2"/>
        <v>0</v>
      </c>
      <c r="O16">
        <f t="shared" ca="1" si="2"/>
        <v>0</v>
      </c>
    </row>
    <row r="17" spans="2:15" x14ac:dyDescent="0.25">
      <c r="B17" t="str">
        <f>B7</f>
        <v>Subordinated debt</v>
      </c>
      <c r="H17">
        <f>H45</f>
        <v>0</v>
      </c>
      <c r="I17">
        <f t="shared" ref="I17:O17" ca="1" si="3">I45</f>
        <v>0</v>
      </c>
      <c r="J17">
        <f t="shared" ca="1" si="3"/>
        <v>0</v>
      </c>
      <c r="K17">
        <f t="shared" ca="1" si="3"/>
        <v>0</v>
      </c>
      <c r="L17">
        <f t="shared" ca="1" si="3"/>
        <v>0</v>
      </c>
      <c r="M17">
        <f t="shared" ca="1" si="3"/>
        <v>0</v>
      </c>
      <c r="N17">
        <f t="shared" ca="1" si="3"/>
        <v>0</v>
      </c>
      <c r="O17">
        <f t="shared" ca="1" si="3"/>
        <v>0</v>
      </c>
    </row>
    <row r="18" spans="2:15" x14ac:dyDescent="0.25">
      <c r="B18" t="s">
        <v>104</v>
      </c>
      <c r="H18">
        <f t="shared" ref="H18:O18" ca="1" si="4">SUM(H13,H16:H17)</f>
        <v>746.12863511257399</v>
      </c>
      <c r="I18">
        <f t="shared" ca="1" si="4"/>
        <v>1043.1296990616556</v>
      </c>
      <c r="J18">
        <f t="shared" ca="1" si="4"/>
        <v>1242.6902053237011</v>
      </c>
      <c r="K18">
        <f t="shared" ca="1" si="4"/>
        <v>1340.7479958094768</v>
      </c>
      <c r="L18">
        <f t="shared" ca="1" si="4"/>
        <v>1491.2837275308975</v>
      </c>
      <c r="M18">
        <f t="shared" ca="1" si="4"/>
        <v>1651.2920304651818</v>
      </c>
      <c r="N18">
        <f t="shared" ca="1" si="4"/>
        <v>1830.02642093244</v>
      </c>
      <c r="O18">
        <f t="shared" ca="1" si="4"/>
        <v>1986.6021124959489</v>
      </c>
    </row>
    <row r="20" spans="2:15" x14ac:dyDescent="0.25">
      <c r="B20" s="60" t="s">
        <v>48</v>
      </c>
    </row>
    <row r="21" spans="2:15" x14ac:dyDescent="0.25">
      <c r="B21" t="s">
        <v>28</v>
      </c>
      <c r="H21">
        <f>G23</f>
        <v>0</v>
      </c>
      <c r="I21">
        <f t="shared" ref="I21:O21" ca="1" si="5">H23</f>
        <v>0</v>
      </c>
      <c r="J21">
        <f t="shared" ca="1" si="5"/>
        <v>0</v>
      </c>
      <c r="K21">
        <f t="shared" ca="1" si="5"/>
        <v>0</v>
      </c>
      <c r="L21">
        <f t="shared" ca="1" si="5"/>
        <v>0</v>
      </c>
      <c r="M21">
        <f t="shared" ca="1" si="5"/>
        <v>0</v>
      </c>
      <c r="N21">
        <f t="shared" ca="1" si="5"/>
        <v>0</v>
      </c>
      <c r="O21">
        <f t="shared" ca="1" si="5"/>
        <v>0</v>
      </c>
    </row>
    <row r="22" spans="2:15" x14ac:dyDescent="0.25">
      <c r="B22" t="s">
        <v>105</v>
      </c>
      <c r="H22">
        <f ca="1">-MIN(H21,H18)</f>
        <v>0</v>
      </c>
      <c r="I22">
        <f t="shared" ref="I22:O22" ca="1" si="6">-MIN(I21,I18)</f>
        <v>0</v>
      </c>
      <c r="J22">
        <f t="shared" ca="1" si="6"/>
        <v>0</v>
      </c>
      <c r="K22">
        <f t="shared" ca="1" si="6"/>
        <v>0</v>
      </c>
      <c r="L22">
        <f t="shared" ca="1" si="6"/>
        <v>0</v>
      </c>
      <c r="M22">
        <f t="shared" ca="1" si="6"/>
        <v>0</v>
      </c>
      <c r="N22">
        <f t="shared" ca="1" si="6"/>
        <v>0</v>
      </c>
      <c r="O22">
        <f t="shared" ca="1" si="6"/>
        <v>0</v>
      </c>
    </row>
    <row r="23" spans="2:15" x14ac:dyDescent="0.25">
      <c r="B23" t="s">
        <v>30</v>
      </c>
      <c r="G23">
        <f>BS!G16</f>
        <v>0</v>
      </c>
      <c r="H23">
        <f ca="1">SUM(H21:H22)</f>
        <v>0</v>
      </c>
      <c r="I23">
        <f t="shared" ref="I23:O23" ca="1" si="7">SUM(I21:I22)</f>
        <v>0</v>
      </c>
      <c r="J23">
        <f t="shared" ca="1" si="7"/>
        <v>0</v>
      </c>
      <c r="K23">
        <f t="shared" ca="1" si="7"/>
        <v>0</v>
      </c>
      <c r="L23">
        <f t="shared" ca="1" si="7"/>
        <v>0</v>
      </c>
      <c r="M23">
        <f t="shared" ca="1" si="7"/>
        <v>0</v>
      </c>
      <c r="N23">
        <f t="shared" ca="1" si="7"/>
        <v>0</v>
      </c>
      <c r="O23">
        <f t="shared" ca="1" si="7"/>
        <v>0</v>
      </c>
    </row>
    <row r="24" spans="2:15" x14ac:dyDescent="0.25">
      <c r="B24" t="s">
        <v>38</v>
      </c>
      <c r="H24">
        <f ca="1">-LBO!$G$54*AVERAGE(Debt!G23:H23)</f>
        <v>0</v>
      </c>
      <c r="I24">
        <f ca="1">-LBO!$G$54*AVERAGE(Debt!H23:I23)</f>
        <v>0</v>
      </c>
      <c r="J24">
        <f ca="1">-LBO!$G$54*AVERAGE(Debt!I23:J23)</f>
        <v>0</v>
      </c>
      <c r="K24">
        <f ca="1">-LBO!$G$54*AVERAGE(Debt!J23:K23)</f>
        <v>0</v>
      </c>
      <c r="L24">
        <f ca="1">-LBO!$G$54*AVERAGE(Debt!K23:L23)</f>
        <v>0</v>
      </c>
      <c r="M24">
        <f ca="1">-LBO!$G$54*AVERAGE(Debt!L23:M23)</f>
        <v>0</v>
      </c>
      <c r="N24">
        <f ca="1">-LBO!$G$54*AVERAGE(Debt!M23:N23)</f>
        <v>0</v>
      </c>
      <c r="O24">
        <f ca="1">-LBO!$G$54*AVERAGE(Debt!N23:O23)</f>
        <v>0</v>
      </c>
    </row>
    <row r="26" spans="2:15" x14ac:dyDescent="0.25">
      <c r="B26" t="s">
        <v>185</v>
      </c>
      <c r="G26">
        <f>LBO!$D$23</f>
        <v>750</v>
      </c>
      <c r="H26">
        <f>LBO!$D$23</f>
        <v>750</v>
      </c>
      <c r="I26">
        <f>LBO!$D$23</f>
        <v>750</v>
      </c>
      <c r="J26">
        <f>LBO!$D$23</f>
        <v>750</v>
      </c>
      <c r="K26">
        <f>LBO!$D$23</f>
        <v>750</v>
      </c>
      <c r="L26">
        <f>LBO!$D$23</f>
        <v>750</v>
      </c>
      <c r="M26">
        <f>LBO!$D$23</f>
        <v>750</v>
      </c>
      <c r="N26">
        <f>LBO!$D$23</f>
        <v>750</v>
      </c>
      <c r="O26">
        <f>LBO!$D$23</f>
        <v>750</v>
      </c>
    </row>
    <row r="27" spans="2:15" x14ac:dyDescent="0.25">
      <c r="B27" t="s">
        <v>186</v>
      </c>
      <c r="G27">
        <f>G23</f>
        <v>0</v>
      </c>
      <c r="H27">
        <f ca="1">H23</f>
        <v>0</v>
      </c>
      <c r="I27">
        <f t="shared" ref="I27:O27" ca="1" si="8">I23</f>
        <v>0</v>
      </c>
      <c r="J27">
        <f t="shared" ca="1" si="8"/>
        <v>0</v>
      </c>
      <c r="K27">
        <f t="shared" ca="1" si="8"/>
        <v>0</v>
      </c>
      <c r="L27">
        <f t="shared" ca="1" si="8"/>
        <v>0</v>
      </c>
      <c r="M27">
        <f t="shared" ca="1" si="8"/>
        <v>0</v>
      </c>
      <c r="N27">
        <f t="shared" ca="1" si="8"/>
        <v>0</v>
      </c>
      <c r="O27">
        <f t="shared" ca="1" si="8"/>
        <v>0</v>
      </c>
    </row>
    <row r="28" spans="2:15" x14ac:dyDescent="0.25">
      <c r="B28" t="s">
        <v>187</v>
      </c>
      <c r="G28">
        <f>MAX(G26-G27,0)</f>
        <v>750</v>
      </c>
      <c r="H28">
        <f t="shared" ref="H28:O28" ca="1" si="9">MAX(H26-H27,0)</f>
        <v>750</v>
      </c>
      <c r="I28">
        <f t="shared" ca="1" si="9"/>
        <v>750</v>
      </c>
      <c r="J28">
        <f t="shared" ca="1" si="9"/>
        <v>750</v>
      </c>
      <c r="K28">
        <f t="shared" ca="1" si="9"/>
        <v>750</v>
      </c>
      <c r="L28">
        <f t="shared" ca="1" si="9"/>
        <v>750</v>
      </c>
      <c r="M28">
        <f t="shared" ca="1" si="9"/>
        <v>750</v>
      </c>
      <c r="N28">
        <f t="shared" ca="1" si="9"/>
        <v>750</v>
      </c>
      <c r="O28">
        <f t="shared" ca="1" si="9"/>
        <v>750</v>
      </c>
    </row>
    <row r="29" spans="2:15" x14ac:dyDescent="0.25">
      <c r="B29" t="s">
        <v>195</v>
      </c>
      <c r="H29">
        <f ca="1">AVERAGE(G28,H28)*LBO!$D$24*-1</f>
        <v>-3.75</v>
      </c>
      <c r="I29">
        <f ca="1">AVERAGE(H28,I28)*LBO!$D$24*-1</f>
        <v>-3.75</v>
      </c>
      <c r="J29">
        <f ca="1">AVERAGE(I28,J28)*LBO!$D$24*-1</f>
        <v>-3.75</v>
      </c>
      <c r="K29">
        <f ca="1">AVERAGE(J28,K28)*LBO!$D$24*-1</f>
        <v>-3.75</v>
      </c>
      <c r="L29">
        <f ca="1">AVERAGE(K28,L28)*LBO!$D$24*-1</f>
        <v>-3.75</v>
      </c>
      <c r="M29">
        <f ca="1">AVERAGE(L28,M28)*LBO!$D$24*-1</f>
        <v>-3.75</v>
      </c>
      <c r="N29">
        <f ca="1">AVERAGE(M28,N28)*LBO!$D$24*-1</f>
        <v>-3.75</v>
      </c>
      <c r="O29">
        <f ca="1">AVERAGE(N28,O28)*LBO!$D$24*-1</f>
        <v>-3.75</v>
      </c>
    </row>
    <row r="30" spans="2:15" x14ac:dyDescent="0.25">
      <c r="B30" t="s">
        <v>196</v>
      </c>
      <c r="H30" t="str">
        <f ca="1">IF(H27&gt;H26,"Overdrawn", "OK")</f>
        <v>OK</v>
      </c>
      <c r="I30" t="str">
        <f t="shared" ref="I30:O30" ca="1" si="10">IF(I27&gt;I26,"Overdrawn", "OK")</f>
        <v>OK</v>
      </c>
      <c r="J30" t="str">
        <f t="shared" ca="1" si="10"/>
        <v>OK</v>
      </c>
      <c r="K30" t="str">
        <f t="shared" ca="1" si="10"/>
        <v>OK</v>
      </c>
      <c r="L30" t="str">
        <f t="shared" ca="1" si="10"/>
        <v>OK</v>
      </c>
      <c r="M30" t="str">
        <f t="shared" ca="1" si="10"/>
        <v>OK</v>
      </c>
      <c r="N30" t="str">
        <f t="shared" ca="1" si="10"/>
        <v>OK</v>
      </c>
      <c r="O30" t="str">
        <f t="shared" ca="1" si="10"/>
        <v>OK</v>
      </c>
    </row>
    <row r="32" spans="2:15" x14ac:dyDescent="0.25">
      <c r="B32" t="s">
        <v>106</v>
      </c>
      <c r="H32">
        <f ca="1">(H18+H22)*LBO!$D$21</f>
        <v>559.59647633443046</v>
      </c>
      <c r="I32">
        <f ca="1">(I18+I22)*LBO!$D$21</f>
        <v>782.34727429624172</v>
      </c>
      <c r="J32">
        <f ca="1">(J18+J22)*LBO!$D$21</f>
        <v>932.01765399277588</v>
      </c>
      <c r="K32">
        <f ca="1">(K18+K22)*LBO!$D$21</f>
        <v>1005.5609968571076</v>
      </c>
      <c r="L32">
        <f ca="1">(L18+L22)*LBO!$D$21</f>
        <v>1118.4627956481731</v>
      </c>
      <c r="M32">
        <f ca="1">(M18+M22)*LBO!$D$21</f>
        <v>1238.4690228488864</v>
      </c>
      <c r="N32">
        <f ca="1">(N18+N22)*LBO!$D$21</f>
        <v>1372.5198156993301</v>
      </c>
      <c r="O32">
        <f ca="1">(O18+O22)*LBO!$D$21</f>
        <v>1489.9515843719616</v>
      </c>
    </row>
    <row r="34" spans="2:15" x14ac:dyDescent="0.25">
      <c r="B34" s="60" t="str">
        <f>B6</f>
        <v>Term loan B</v>
      </c>
    </row>
    <row r="35" spans="2:15" x14ac:dyDescent="0.25">
      <c r="B35" t="s">
        <v>98</v>
      </c>
      <c r="H35">
        <f>G38</f>
        <v>5000</v>
      </c>
      <c r="I35">
        <f t="shared" ref="I35:O35" ca="1" si="11">H38</f>
        <v>4440.4035236655691</v>
      </c>
      <c r="J35">
        <f t="shared" ca="1" si="11"/>
        <v>3658.0562493693274</v>
      </c>
      <c r="K35">
        <f t="shared" ca="1" si="11"/>
        <v>2726.0385953765517</v>
      </c>
      <c r="L35">
        <f t="shared" ca="1" si="11"/>
        <v>1720.4775985194442</v>
      </c>
      <c r="M35">
        <f t="shared" ca="1" si="11"/>
        <v>602.01480287127174</v>
      </c>
      <c r="N35">
        <f t="shared" ca="1" si="11"/>
        <v>0</v>
      </c>
      <c r="O35">
        <f t="shared" ca="1" si="11"/>
        <v>0</v>
      </c>
    </row>
    <row r="36" spans="2:15" x14ac:dyDescent="0.25">
      <c r="B36" t="s">
        <v>95</v>
      </c>
      <c r="H36">
        <f t="shared" ref="H36:O36" si="12">-MIN($G$38*H6,H35)</f>
        <v>0</v>
      </c>
      <c r="I36">
        <f t="shared" ca="1" si="12"/>
        <v>0</v>
      </c>
      <c r="J36">
        <f t="shared" ca="1" si="12"/>
        <v>0</v>
      </c>
      <c r="K36">
        <f t="shared" ca="1" si="12"/>
        <v>0</v>
      </c>
      <c r="L36">
        <f t="shared" ca="1" si="12"/>
        <v>0</v>
      </c>
      <c r="M36">
        <f t="shared" ca="1" si="12"/>
        <v>0</v>
      </c>
      <c r="N36">
        <f t="shared" ca="1" si="12"/>
        <v>0</v>
      </c>
      <c r="O36">
        <f t="shared" ca="1" si="12"/>
        <v>0</v>
      </c>
    </row>
    <row r="37" spans="2:15" x14ac:dyDescent="0.25">
      <c r="B37" t="s">
        <v>99</v>
      </c>
      <c r="H37">
        <f ca="1">-MIN(H35+H36,H32)</f>
        <v>-559.59647633443046</v>
      </c>
      <c r="I37">
        <f t="shared" ref="I37:O37" ca="1" si="13">-MIN(I35+I36,I32)</f>
        <v>-782.34727429624172</v>
      </c>
      <c r="J37">
        <f t="shared" ca="1" si="13"/>
        <v>-932.01765399277588</v>
      </c>
      <c r="K37">
        <f t="shared" ca="1" si="13"/>
        <v>-1005.5609968571076</v>
      </c>
      <c r="L37">
        <f t="shared" ca="1" si="13"/>
        <v>-1118.4627956481731</v>
      </c>
      <c r="M37">
        <f t="shared" ca="1" si="13"/>
        <v>-602.01480287127174</v>
      </c>
      <c r="N37">
        <f t="shared" ca="1" si="13"/>
        <v>0</v>
      </c>
      <c r="O37">
        <f t="shared" ca="1" si="13"/>
        <v>0</v>
      </c>
    </row>
    <row r="38" spans="2:15" x14ac:dyDescent="0.25">
      <c r="B38" t="s">
        <v>100</v>
      </c>
      <c r="G38">
        <f>BS!F23</f>
        <v>5000</v>
      </c>
      <c r="H38">
        <f ca="1">SUM(H35:H37)</f>
        <v>4440.4035236655691</v>
      </c>
      <c r="I38">
        <f t="shared" ref="I38:O38" ca="1" si="14">SUM(I35:I37)</f>
        <v>3658.0562493693274</v>
      </c>
      <c r="J38">
        <f t="shared" ca="1" si="14"/>
        <v>2726.0385953765517</v>
      </c>
      <c r="K38">
        <f t="shared" ca="1" si="14"/>
        <v>1720.4775985194442</v>
      </c>
      <c r="L38">
        <f t="shared" ca="1" si="14"/>
        <v>602.01480287127106</v>
      </c>
      <c r="M38">
        <f t="shared" ca="1" si="14"/>
        <v>0</v>
      </c>
      <c r="N38">
        <f t="shared" ca="1" si="14"/>
        <v>0</v>
      </c>
      <c r="O38">
        <f t="shared" ca="1" si="14"/>
        <v>0</v>
      </c>
    </row>
    <row r="39" spans="2:15" x14ac:dyDescent="0.25">
      <c r="B39" t="s">
        <v>38</v>
      </c>
      <c r="H39">
        <f ca="1">-LBO!$G$55*AVERAGE(Debt!G38:H38)</f>
        <v>-320.97371980462935</v>
      </c>
      <c r="I39">
        <f ca="1">-LBO!$G$55*AVERAGE(Debt!H38:I38)</f>
        <v>-275.3476322831865</v>
      </c>
      <c r="J39">
        <f ca="1">-LBO!$G$55*AVERAGE(Debt!I38:J38)</f>
        <v>-217.05922472135993</v>
      </c>
      <c r="K39">
        <f ca="1">-LBO!$G$55*AVERAGE(Debt!J38:K38)</f>
        <v>-151.18155059246385</v>
      </c>
      <c r="L39">
        <f ca="1">-LBO!$G$55*AVERAGE(Debt!K38:L38)</f>
        <v>-78.964741647284328</v>
      </c>
      <c r="M39">
        <f ca="1">-LBO!$G$55*AVERAGE(Debt!L38:M38)</f>
        <v>-20.468503297623219</v>
      </c>
      <c r="N39">
        <f ca="1">-LBO!$G$55*AVERAGE(Debt!M38:N38)</f>
        <v>0</v>
      </c>
      <c r="O39">
        <f ca="1">-LBO!$G$55*AVERAGE(Debt!N38:O38)</f>
        <v>0</v>
      </c>
    </row>
    <row r="40" spans="2:15" x14ac:dyDescent="0.25">
      <c r="H40" s="58"/>
      <c r="I40" s="58"/>
      <c r="J40" s="58"/>
      <c r="K40" s="58"/>
      <c r="L40" s="58"/>
      <c r="M40" s="58"/>
      <c r="N40" s="58"/>
      <c r="O40" s="58"/>
    </row>
    <row r="41" spans="2:15" x14ac:dyDescent="0.25">
      <c r="B41" t="s">
        <v>101</v>
      </c>
      <c r="H41">
        <f ca="1">H32+H37</f>
        <v>0</v>
      </c>
      <c r="I41">
        <f t="shared" ref="I41:O41" ca="1" si="15">I32+I37</f>
        <v>0</v>
      </c>
      <c r="J41">
        <f t="shared" ca="1" si="15"/>
        <v>0</v>
      </c>
      <c r="K41">
        <f t="shared" ca="1" si="15"/>
        <v>0</v>
      </c>
      <c r="L41">
        <f t="shared" ca="1" si="15"/>
        <v>0</v>
      </c>
      <c r="M41">
        <f t="shared" ca="1" si="15"/>
        <v>636.45421997761468</v>
      </c>
      <c r="N41">
        <f t="shared" ca="1" si="15"/>
        <v>1372.5198156993301</v>
      </c>
      <c r="O41">
        <f t="shared" ca="1" si="15"/>
        <v>1489.9515843719616</v>
      </c>
    </row>
    <row r="43" spans="2:15" x14ac:dyDescent="0.25">
      <c r="B43" s="60" t="str">
        <f>B7</f>
        <v>Subordinated debt</v>
      </c>
    </row>
    <row r="44" spans="2:15" x14ac:dyDescent="0.25">
      <c r="B44" t="s">
        <v>98</v>
      </c>
      <c r="H44">
        <f>G47</f>
        <v>2000</v>
      </c>
      <c r="I44">
        <f t="shared" ref="I44:O44" ca="1" si="16">H47</f>
        <v>2000</v>
      </c>
      <c r="J44">
        <f t="shared" ca="1" si="16"/>
        <v>2000</v>
      </c>
      <c r="K44">
        <f t="shared" ca="1" si="16"/>
        <v>2000</v>
      </c>
      <c r="L44">
        <f t="shared" ca="1" si="16"/>
        <v>2000</v>
      </c>
      <c r="M44">
        <f t="shared" ca="1" si="16"/>
        <v>2000</v>
      </c>
      <c r="N44">
        <f t="shared" ca="1" si="16"/>
        <v>1363.545780021281</v>
      </c>
      <c r="O44">
        <f t="shared" ca="1" si="16"/>
        <v>0</v>
      </c>
    </row>
    <row r="45" spans="2:15" x14ac:dyDescent="0.25">
      <c r="B45" t="s">
        <v>95</v>
      </c>
      <c r="H45">
        <f t="shared" ref="H45:O45" si="17">-MIN($G$47*H7,H44)</f>
        <v>0</v>
      </c>
      <c r="I45">
        <f t="shared" ca="1" si="17"/>
        <v>0</v>
      </c>
      <c r="J45">
        <f t="shared" ca="1" si="17"/>
        <v>0</v>
      </c>
      <c r="K45">
        <f t="shared" ca="1" si="17"/>
        <v>0</v>
      </c>
      <c r="L45">
        <f t="shared" ca="1" si="17"/>
        <v>0</v>
      </c>
      <c r="M45">
        <f t="shared" ca="1" si="17"/>
        <v>0</v>
      </c>
      <c r="N45">
        <f t="shared" ca="1" si="17"/>
        <v>0</v>
      </c>
      <c r="O45">
        <f t="shared" ca="1" si="17"/>
        <v>0</v>
      </c>
    </row>
    <row r="46" spans="2:15" x14ac:dyDescent="0.25">
      <c r="B46" t="s">
        <v>99</v>
      </c>
      <c r="H46">
        <f ca="1">-MIN(H44+H45,H41)</f>
        <v>0</v>
      </c>
      <c r="I46">
        <f t="shared" ref="I46:O46" ca="1" si="18">-MIN(I44+I45,I41)</f>
        <v>0</v>
      </c>
      <c r="J46">
        <f t="shared" ca="1" si="18"/>
        <v>0</v>
      </c>
      <c r="K46">
        <f t="shared" ca="1" si="18"/>
        <v>0</v>
      </c>
      <c r="L46">
        <f t="shared" ca="1" si="18"/>
        <v>0</v>
      </c>
      <c r="M46">
        <f t="shared" ca="1" si="18"/>
        <v>-636.45421997761468</v>
      </c>
      <c r="N46">
        <f t="shared" ca="1" si="18"/>
        <v>-1363.545780021281</v>
      </c>
      <c r="O46">
        <f t="shared" ca="1" si="18"/>
        <v>0</v>
      </c>
    </row>
    <row r="47" spans="2:15" x14ac:dyDescent="0.25">
      <c r="B47" t="s">
        <v>100</v>
      </c>
      <c r="G47">
        <f>BS!F24</f>
        <v>2000</v>
      </c>
      <c r="H47">
        <f ca="1">SUM(H44:H46)</f>
        <v>2000</v>
      </c>
      <c r="I47">
        <f t="shared" ref="I47:O47" ca="1" si="19">SUM(I44:I46)</f>
        <v>2000</v>
      </c>
      <c r="J47">
        <f t="shared" ca="1" si="19"/>
        <v>2000</v>
      </c>
      <c r="K47">
        <f t="shared" ca="1" si="19"/>
        <v>2000</v>
      </c>
      <c r="L47">
        <f t="shared" ca="1" si="19"/>
        <v>2000</v>
      </c>
      <c r="M47">
        <f t="shared" ca="1" si="19"/>
        <v>1363.5457800223853</v>
      </c>
      <c r="N47">
        <f t="shared" ca="1" si="19"/>
        <v>0</v>
      </c>
      <c r="O47">
        <f t="shared" ca="1" si="19"/>
        <v>0</v>
      </c>
    </row>
    <row r="48" spans="2:15" x14ac:dyDescent="0.25">
      <c r="B48" t="s">
        <v>38</v>
      </c>
      <c r="H48">
        <f ca="1">-LBO!$G$56*AVERAGE(Debt!G47:H47)</f>
        <v>-161</v>
      </c>
      <c r="I48">
        <f ca="1">-LBO!$G$56*AVERAGE(Debt!H47:I47)</f>
        <v>-161</v>
      </c>
      <c r="J48">
        <f ca="1">-LBO!$G$56*AVERAGE(Debt!I47:J47)</f>
        <v>-161</v>
      </c>
      <c r="K48">
        <f ca="1">-LBO!$G$56*AVERAGE(Debt!J47:K47)</f>
        <v>-161</v>
      </c>
      <c r="L48">
        <f ca="1">-LBO!$G$56*AVERAGE(Debt!K47:L47)</f>
        <v>-161</v>
      </c>
      <c r="M48">
        <f ca="1">-LBO!$G$56*AVERAGE(Debt!L47:M47)</f>
        <v>-135.38271764590101</v>
      </c>
      <c r="N48">
        <f ca="1">-LBO!$G$56*AVERAGE(Debt!M47:N47)</f>
        <v>-54.88271764590101</v>
      </c>
      <c r="O48">
        <f ca="1">-LBO!$G$56*AVERAGE(Debt!N47:O47)</f>
        <v>0</v>
      </c>
    </row>
    <row r="50" spans="1:15" x14ac:dyDescent="0.25">
      <c r="B50" s="88" t="s">
        <v>85</v>
      </c>
    </row>
    <row r="51" spans="1:15" x14ac:dyDescent="0.25">
      <c r="B51" t="s">
        <v>216</v>
      </c>
      <c r="D51" s="66">
        <v>1</v>
      </c>
    </row>
    <row r="52" spans="1:15" x14ac:dyDescent="0.25">
      <c r="B52" t="s">
        <v>213</v>
      </c>
      <c r="D52" s="77">
        <v>-0.02</v>
      </c>
    </row>
    <row r="53" spans="1:15" x14ac:dyDescent="0.25">
      <c r="B53" t="s">
        <v>214</v>
      </c>
      <c r="D53" s="58">
        <f>LBO!$G$57+Debt!D52</f>
        <v>9.9999999999999992E-2</v>
      </c>
    </row>
    <row r="54" spans="1:15" x14ac:dyDescent="0.25">
      <c r="B54" s="88"/>
    </row>
    <row r="55" spans="1:15" x14ac:dyDescent="0.25">
      <c r="B55" t="s">
        <v>98</v>
      </c>
      <c r="C55" s="80"/>
      <c r="D55" s="80"/>
      <c r="E55" s="80"/>
      <c r="F55" s="80"/>
      <c r="G55" s="80"/>
      <c r="H55">
        <f>G57</f>
        <v>1500</v>
      </c>
      <c r="I55">
        <f t="shared" ref="I55:O55" si="20">H57</f>
        <v>1680</v>
      </c>
      <c r="J55">
        <f t="shared" si="20"/>
        <v>1881.6</v>
      </c>
      <c r="K55">
        <f t="shared" si="20"/>
        <v>2107.3919999999998</v>
      </c>
      <c r="L55">
        <f t="shared" si="20"/>
        <v>2360.2790399999999</v>
      </c>
      <c r="M55">
        <f t="shared" si="20"/>
        <v>2643.5125247999999</v>
      </c>
      <c r="N55">
        <f t="shared" si="20"/>
        <v>2960.7340277759999</v>
      </c>
      <c r="O55">
        <f t="shared" si="20"/>
        <v>3316.02211110912</v>
      </c>
    </row>
    <row r="56" spans="1:15" x14ac:dyDescent="0.25">
      <c r="B56" t="s">
        <v>162</v>
      </c>
      <c r="H56">
        <f>$D$51*LBO!$G$57*Debt!H55</f>
        <v>180</v>
      </c>
      <c r="I56">
        <f>$D$51*LBO!$G$57*Debt!I55</f>
        <v>201.6</v>
      </c>
      <c r="J56">
        <f>$D$51*LBO!$G$57*Debt!J55</f>
        <v>225.79199999999997</v>
      </c>
      <c r="K56">
        <f>$D$51*LBO!$G$57*Debt!K55</f>
        <v>252.88703999999996</v>
      </c>
      <c r="L56">
        <f>$D$51*LBO!$G$57*Debt!L55</f>
        <v>283.23348479999999</v>
      </c>
      <c r="M56">
        <f>$D$51*LBO!$G$57*Debt!M55</f>
        <v>317.22150297599995</v>
      </c>
      <c r="N56">
        <f>$D$51*LBO!$G$57*Debt!N55</f>
        <v>355.28808333311997</v>
      </c>
      <c r="O56">
        <f>$D$51*LBO!$G$57*Debt!O55</f>
        <v>397.92265333309439</v>
      </c>
    </row>
    <row r="57" spans="1:15" x14ac:dyDescent="0.25">
      <c r="B57" t="s">
        <v>100</v>
      </c>
      <c r="G57">
        <f>LBO!C57</f>
        <v>1500</v>
      </c>
      <c r="H57">
        <f>SUM(H55:H56)</f>
        <v>1680</v>
      </c>
      <c r="I57">
        <f t="shared" ref="I57:O57" si="21">SUM(I55:I56)</f>
        <v>1881.6</v>
      </c>
      <c r="J57">
        <f t="shared" si="21"/>
        <v>2107.3919999999998</v>
      </c>
      <c r="K57">
        <f t="shared" si="21"/>
        <v>2360.2790399999999</v>
      </c>
      <c r="L57">
        <f t="shared" si="21"/>
        <v>2643.5125247999999</v>
      </c>
      <c r="M57">
        <f t="shared" si="21"/>
        <v>2960.7340277759999</v>
      </c>
      <c r="N57">
        <f t="shared" si="21"/>
        <v>3316.02211110912</v>
      </c>
      <c r="O57">
        <f t="shared" si="21"/>
        <v>3713.9447644422144</v>
      </c>
    </row>
    <row r="58" spans="1:15" x14ac:dyDescent="0.25">
      <c r="B58" t="s">
        <v>163</v>
      </c>
      <c r="H58">
        <f t="shared" ref="H58:O58" si="22">IF($D$51=0,AVERAGE(G57,H57)*$D$53*-1,0)</f>
        <v>0</v>
      </c>
      <c r="I58">
        <f t="shared" si="22"/>
        <v>0</v>
      </c>
      <c r="J58">
        <f t="shared" si="22"/>
        <v>0</v>
      </c>
      <c r="K58">
        <f t="shared" si="22"/>
        <v>0</v>
      </c>
      <c r="L58">
        <f t="shared" si="22"/>
        <v>0</v>
      </c>
      <c r="M58">
        <f t="shared" si="22"/>
        <v>0</v>
      </c>
      <c r="N58">
        <f t="shared" si="22"/>
        <v>0</v>
      </c>
      <c r="O58">
        <f t="shared" si="22"/>
        <v>0</v>
      </c>
    </row>
    <row r="60" spans="1:15" x14ac:dyDescent="0.25">
      <c r="B60" s="102" t="s">
        <v>197</v>
      </c>
      <c r="H60">
        <f ca="1">SUM(H24,H29,H39,H48,H56*-1+H58,SUM(Calc!H32:H34))</f>
        <v>-679.53324361415321</v>
      </c>
      <c r="I60">
        <f ca="1">SUM(I24,I29,I39,I48,I56*-1+I58,SUM(Calc!I32:I34))</f>
        <v>-655.50715609271037</v>
      </c>
      <c r="J60">
        <f ca="1">SUM(J24,J29,J39,J48,J56*-1+J58,SUM(Calc!J32:J34))</f>
        <v>-621.41074853088367</v>
      </c>
      <c r="K60">
        <f ca="1">SUM(K24,K29,K39,K48,K56*-1+K58,SUM(Calc!K32:K34))</f>
        <v>-582.62811440198766</v>
      </c>
      <c r="L60">
        <f ca="1">SUM(L24,L29,L39,L48,L56*-1+L58,SUM(Calc!L32:L34))</f>
        <v>-540.75775025680809</v>
      </c>
      <c r="M60">
        <f ca="1">SUM(M24,M29,M39,M48,M56*-1+M58,SUM(Calc!M32:M34))</f>
        <v>-490.63224772904795</v>
      </c>
      <c r="N60">
        <f ca="1">SUM(N24,N29,N39,N48,N56*-1+N58,SUM(Calc!N32:N34))</f>
        <v>-427.73032478854481</v>
      </c>
      <c r="O60">
        <f ca="1">SUM(O24,O29,O39,O48,O56*-1+O58,SUM(Calc!O32:O34))</f>
        <v>-408.33931999976107</v>
      </c>
    </row>
    <row r="61" spans="1:15" x14ac:dyDescent="0.25">
      <c r="B61" t="s">
        <v>227</v>
      </c>
      <c r="H61">
        <f ca="1">SUM(H24,H29,H39,H48+H58)</f>
        <v>-485.72371980462935</v>
      </c>
      <c r="I61">
        <f t="shared" ref="I61:O61" ca="1" si="23">SUM(I24,I29,I39,I48+I58)</f>
        <v>-440.0976322831865</v>
      </c>
      <c r="J61">
        <f t="shared" ca="1" si="23"/>
        <v>-381.8092247213599</v>
      </c>
      <c r="K61">
        <f t="shared" ca="1" si="23"/>
        <v>-315.93155059246385</v>
      </c>
      <c r="L61">
        <f t="shared" ca="1" si="23"/>
        <v>-243.71474164728431</v>
      </c>
      <c r="M61">
        <f t="shared" ca="1" si="23"/>
        <v>-159.60122094352423</v>
      </c>
      <c r="N61">
        <f t="shared" ca="1" si="23"/>
        <v>-58.63271764590101</v>
      </c>
      <c r="O61">
        <f t="shared" ca="1" si="23"/>
        <v>-3.75</v>
      </c>
    </row>
    <row r="63" spans="1:15" x14ac:dyDescent="0.25">
      <c r="A63" s="60" t="s">
        <v>110</v>
      </c>
    </row>
    <row r="64" spans="1:15" x14ac:dyDescent="0.25">
      <c r="B64" t="s">
        <v>111</v>
      </c>
      <c r="H64">
        <f>CFS!H5</f>
        <v>1500.1218625000001</v>
      </c>
      <c r="I64">
        <f>CFS!I5</f>
        <v>1620.5045861999997</v>
      </c>
      <c r="J64">
        <f>CFS!J5</f>
        <v>1714.5898904447497</v>
      </c>
      <c r="K64">
        <f>CFS!K5</f>
        <v>1737.1979915920515</v>
      </c>
      <c r="L64">
        <f>CFS!L5</f>
        <v>1801.6299870067082</v>
      </c>
      <c r="M64">
        <f>CFS!M5</f>
        <v>1868.6622673602856</v>
      </c>
      <c r="N64">
        <f>CFS!N5</f>
        <v>1938.3949331795434</v>
      </c>
      <c r="O64">
        <f>CFS!O5</f>
        <v>2010.9327538603479</v>
      </c>
    </row>
    <row r="65" spans="2:15" x14ac:dyDescent="0.25">
      <c r="B65" t="s">
        <v>112</v>
      </c>
      <c r="H65">
        <f>H64+CFS!H13</f>
        <v>1341.5760300000002</v>
      </c>
      <c r="I65">
        <f>I64+CFS!I13</f>
        <v>1471.6043393474997</v>
      </c>
      <c r="J65">
        <f>J64+CFS!J13</f>
        <v>1563.1267544949096</v>
      </c>
      <c r="K65">
        <f>K64+CFS!K13</f>
        <v>1578.7675513885188</v>
      </c>
      <c r="L65">
        <f>L64+CFS!L13</f>
        <v>1636.8623291950344</v>
      </c>
      <c r="M65">
        <f>M64+CFS!M13</f>
        <v>1697.3039032361446</v>
      </c>
      <c r="N65">
        <f>N64+CFS!N13</f>
        <v>1760.1822344904367</v>
      </c>
      <c r="O65">
        <f>O64+CFS!O13</f>
        <v>1825.591547223677</v>
      </c>
    </row>
    <row r="66" spans="2:15" x14ac:dyDescent="0.25">
      <c r="B66" t="s">
        <v>113</v>
      </c>
      <c r="G66">
        <f>SUM(G23,G38,G47,G57)</f>
        <v>8500</v>
      </c>
      <c r="H66">
        <f t="shared" ref="H66:O66" ca="1" si="24">SUM(H23,H38,H47,H57)</f>
        <v>8120.4035236655691</v>
      </c>
      <c r="I66">
        <f t="shared" ca="1" si="24"/>
        <v>7539.6562493693273</v>
      </c>
      <c r="J66">
        <f t="shared" ca="1" si="24"/>
        <v>6833.4305953765515</v>
      </c>
      <c r="K66">
        <f t="shared" ca="1" si="24"/>
        <v>6080.7566385194441</v>
      </c>
      <c r="L66">
        <f t="shared" ca="1" si="24"/>
        <v>5245.5273276712705</v>
      </c>
      <c r="M66">
        <f t="shared" ca="1" si="24"/>
        <v>4324.2798077983853</v>
      </c>
      <c r="N66">
        <f t="shared" ca="1" si="24"/>
        <v>3316.02211110912</v>
      </c>
      <c r="O66">
        <f t="shared" ca="1" si="24"/>
        <v>3713.9447644422144</v>
      </c>
    </row>
    <row r="68" spans="2:15" x14ac:dyDescent="0.25">
      <c r="B68" t="s">
        <v>114</v>
      </c>
      <c r="H68" s="64">
        <f ca="1">H66/H64</f>
        <v>5.413162574760868</v>
      </c>
      <c r="I68" s="64">
        <f t="shared" ref="I68:O68" ca="1" si="25">I66/I64</f>
        <v>4.6526596182300448</v>
      </c>
      <c r="J68" s="64">
        <f t="shared" ca="1" si="25"/>
        <v>3.9854606827315533</v>
      </c>
      <c r="K68" s="64">
        <f t="shared" ca="1" si="25"/>
        <v>3.5003244696056477</v>
      </c>
      <c r="L68" s="64">
        <f t="shared" ca="1" si="25"/>
        <v>2.9115453036982224</v>
      </c>
      <c r="M68" s="64">
        <f t="shared" ca="1" si="25"/>
        <v>2.3141045245735925</v>
      </c>
      <c r="N68" s="64">
        <f t="shared" ca="1" si="25"/>
        <v>1.7107051067606016</v>
      </c>
      <c r="O68" s="64">
        <f t="shared" ca="1" si="25"/>
        <v>1.8468766582634988</v>
      </c>
    </row>
    <row r="69" spans="2:15" x14ac:dyDescent="0.25">
      <c r="B69" t="s">
        <v>115</v>
      </c>
      <c r="H69" s="64">
        <f ca="1">H66/H65</f>
        <v>6.0528835802660907</v>
      </c>
      <c r="I69" s="64">
        <f t="shared" ref="I69:O69" ca="1" si="26">I66/I65</f>
        <v>5.123426214353489</v>
      </c>
      <c r="J69" s="64">
        <f t="shared" ca="1" si="26"/>
        <v>4.3716420154196811</v>
      </c>
      <c r="K69" s="64">
        <f t="shared" ca="1" si="26"/>
        <v>3.8515845053766444</v>
      </c>
      <c r="L69" s="64">
        <f t="shared" ca="1" si="26"/>
        <v>3.204623403026742</v>
      </c>
      <c r="M69" s="64">
        <f t="shared" ca="1" si="26"/>
        <v>2.5477345568778507</v>
      </c>
      <c r="N69" s="64">
        <f t="shared" ca="1" si="26"/>
        <v>1.8839084079661164</v>
      </c>
      <c r="O69" s="64">
        <f t="shared" ca="1" si="26"/>
        <v>2.0343788127691034</v>
      </c>
    </row>
    <row r="70" spans="2:15" x14ac:dyDescent="0.25">
      <c r="B70" t="s">
        <v>116</v>
      </c>
      <c r="H70" s="64">
        <f ca="1">H64/-H60</f>
        <v>2.2075768574933572</v>
      </c>
      <c r="I70" s="64">
        <f t="shared" ref="I70:O70" ca="1" si="27">I64/-I60</f>
        <v>2.4721386656697413</v>
      </c>
      <c r="J70" s="64">
        <f t="shared" ca="1" si="27"/>
        <v>2.7591893035296216</v>
      </c>
      <c r="K70" s="64">
        <f t="shared" ca="1" si="27"/>
        <v>2.9816583660318554</v>
      </c>
      <c r="L70" s="64">
        <f t="shared" ca="1" si="27"/>
        <v>3.3316766817509444</v>
      </c>
      <c r="M70" s="64">
        <f t="shared" ca="1" si="27"/>
        <v>3.8086821157998072</v>
      </c>
      <c r="N70" s="64">
        <f t="shared" ca="1" si="27"/>
        <v>4.5318155408733745</v>
      </c>
      <c r="O70" s="64">
        <f t="shared" ca="1" si="27"/>
        <v>4.9246610732013867</v>
      </c>
    </row>
    <row r="71" spans="2:15" x14ac:dyDescent="0.25">
      <c r="B71" t="s">
        <v>118</v>
      </c>
      <c r="H71" s="64">
        <f ca="1">(H65+CFS!H13)/-Debt!H60</f>
        <v>1.7409452865145452</v>
      </c>
      <c r="I71" s="64">
        <f ca="1">(I65+CFS!I13)/-Debt!I60</f>
        <v>2.017833184887345</v>
      </c>
      <c r="J71" s="64">
        <f ca="1">(J65+CFS!J13)/-Debt!J60</f>
        <v>2.2717077583264733</v>
      </c>
      <c r="K71" s="64">
        <f ca="1">(K65+CFS!K13)/-Debt!K60</f>
        <v>2.4378108025954548</v>
      </c>
      <c r="L71" s="64">
        <f ca="1">(L65+CFS!L13)/-Debt!L60</f>
        <v>2.7222812260836884</v>
      </c>
      <c r="M71" s="64">
        <f ca="1">(M65+CFS!M13)/-Debt!M60</f>
        <v>3.1101615235750022</v>
      </c>
      <c r="N71" s="64">
        <f ca="1">(N65+CFS!N13)/-Debt!N60</f>
        <v>3.6985208766374034</v>
      </c>
      <c r="O71" s="64">
        <f ca="1">(O65+CFS!O13)/-Debt!O60</f>
        <v>4.0168807172132377</v>
      </c>
    </row>
    <row r="72" spans="2:15" x14ac:dyDescent="0.25">
      <c r="B72" t="s">
        <v>117</v>
      </c>
      <c r="H72" s="62">
        <f t="shared" ref="H72:O72" ca="1" si="28">1-H66/$G$66</f>
        <v>4.4658408980521314E-2</v>
      </c>
      <c r="I72" s="62">
        <f t="shared" ca="1" si="28"/>
        <v>0.11298161772125559</v>
      </c>
      <c r="J72" s="62">
        <f t="shared" ca="1" si="28"/>
        <v>0.19606698877922923</v>
      </c>
      <c r="K72" s="62">
        <f t="shared" ca="1" si="28"/>
        <v>0.28461686605653602</v>
      </c>
      <c r="L72" s="62">
        <f t="shared" ca="1" si="28"/>
        <v>0.38287913792102701</v>
      </c>
      <c r="M72" s="62">
        <f t="shared" ca="1" si="28"/>
        <v>0.49126119908254295</v>
      </c>
      <c r="N72" s="62">
        <f t="shared" ca="1" si="28"/>
        <v>0.60987975163422115</v>
      </c>
      <c r="O72" s="62">
        <f t="shared" ca="1" si="28"/>
        <v>0.56306532183032765</v>
      </c>
    </row>
  </sheetData>
  <dataValidations count="1">
    <dataValidation type="list" allowBlank="1" showInputMessage="1" showErrorMessage="1" sqref="D51" xr:uid="{22B1DF05-8465-46A9-B05F-811B3B46F7F2}">
      <formula1>"0,1"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6c89911dbbba69f85380b0cbe19a7a9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293c7e17b22c7855182087285b20e1b3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594475-9988-4CFD-A4A4-29D1685E9C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C9EB56-CD20-49B4-A32C-5DB84F1421DA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</ds:schemaRefs>
</ds:datastoreItem>
</file>

<file path=customXml/itemProps3.xml><?xml version="1.0" encoding="utf-8"?>
<ds:datastoreItem xmlns:ds="http://schemas.openxmlformats.org/officeDocument/2006/customXml" ds:itemID="{AE3D5420-8BB9-4B32-A12E-917945404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ded41-6c5d-4718-b7b7-dbfd1652bccf"/>
    <ds:schemaRef ds:uri="6ea4884f-dd23-4a9e-9674-e09625774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Welcome</vt:lpstr>
      <vt:lpstr>Info</vt:lpstr>
      <vt:lpstr>LBO</vt:lpstr>
      <vt:lpstr>Input</vt:lpstr>
      <vt:lpstr>Calc</vt:lpstr>
      <vt:lpstr>IS</vt:lpstr>
      <vt:lpstr>BS</vt:lpstr>
      <vt:lpstr>CFS</vt:lpstr>
      <vt:lpstr>Debt</vt:lpstr>
      <vt:lpstr>switch</vt:lpstr>
      <vt:lpstr>target_yrend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 training</dc:creator>
  <cp:lastModifiedBy>Oliver Sealey</cp:lastModifiedBy>
  <cp:lastPrinted>2016-08-02T18:28:31Z</cp:lastPrinted>
  <dcterms:created xsi:type="dcterms:W3CDTF">2016-02-03T14:06:14Z</dcterms:created>
  <dcterms:modified xsi:type="dcterms:W3CDTF">2026-09-11T12:38:28Z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