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bhero-my.sharepoint.com/personal/maria_weber_fe_training/Documents/Maria Weber/Glitch Fixes/7020 Private Equity Acquisition Analysis/"/>
    </mc:Choice>
  </mc:AlternateContent>
  <xr:revisionPtr revIDLastSave="42" documentId="13_ncr:1_{243194D7-CB08-4F34-AB75-8E5697CD740E}" xr6:coauthVersionLast="47" xr6:coauthVersionMax="47" xr10:uidLastSave="{8DAF0BDD-D5A6-4FC4-8017-0A290828763E}"/>
  <bookViews>
    <workbookView xWindow="-98" yWindow="-98" windowWidth="21795" windowHeight="13875" xr2:uid="{F7EDF1FA-EC1D-41A1-A85C-D45CBE39E123}"/>
  </bookViews>
  <sheets>
    <sheet name="Welcome" sheetId="2" r:id="rId1"/>
    <sheet name="Info" sheetId="3" r:id="rId2"/>
    <sheet name="LBO 1" sheetId="20" r:id="rId3"/>
    <sheet name="LBO 2" sheetId="23" r:id="rId4"/>
    <sheet name="LBO 3" sheetId="24" r:id="rId5"/>
    <sheet name="LBO 4" sheetId="27" r:id="rId6"/>
    <sheet name="Factset codes" sheetId="22" state="hidden" r:id="rId7"/>
  </sheets>
  <definedNames>
    <definedName name="CIQWBGuid" hidden="1">"571ab0c3-d74c-43bc-a7ba-442a57d4d174"</definedName>
    <definedName name="Circswitch">Info!$N$10</definedName>
    <definedName name="COMP_CALENDARIZE_PERCENTAGES" localSheetId="6">'Factset codes'!$R$64:$V$64</definedName>
    <definedName name="COMP_EQ_VALUE" localSheetId="6">'Factset codes'!$R$10</definedName>
    <definedName name="COMP_EV" localSheetId="6">'Factset codes'!$L$10</definedName>
    <definedName name="Comp_MTR" localSheetId="6">'Factset codes'!$D$19</definedName>
    <definedName name="COMP_SHAREPRICE" localSheetId="6">'Factset codes'!$D$13</definedName>
    <definedName name="EBIT_LTM" localSheetId="6">'Factset codes'!$J$14</definedName>
    <definedName name="EBITDA_LTM" localSheetId="6">'Factset codes'!$J$13</definedName>
    <definedName name="EV_EBIT_CY1" localSheetId="6">'Factset codes'!$L$21</definedName>
    <definedName name="EV_EBIT_CY2" localSheetId="6">'Factset codes'!$N$21</definedName>
    <definedName name="EV_EBIT_CY3" localSheetId="6">'Factset codes'!$P$21</definedName>
    <definedName name="EV_EBIT_CY4" localSheetId="6">'Factset codes'!$R$21</definedName>
    <definedName name="EV_EBIT_LTM" localSheetId="6">'Factset codes'!$J$21</definedName>
    <definedName name="EV_EBITDA_CY1" localSheetId="6">'Factset codes'!$L$20</definedName>
    <definedName name="EV_EBITDA_CY2" localSheetId="6">'Factset codes'!$N$20</definedName>
    <definedName name="EV_EBITDA_CY3" localSheetId="6">'Factset codes'!$P$20</definedName>
    <definedName name="EV_EBITDA_CY4" localSheetId="6">'Factset codes'!$R$20</definedName>
    <definedName name="EV_EBITDA_LMT" localSheetId="6">'Factset codes'!$J$20</definedName>
    <definedName name="EV_REVENUE_CY1" localSheetId="6">'Factset codes'!$L$19</definedName>
    <definedName name="EV_REVENUE_CY2" localSheetId="6">'Factset codes'!$N$19</definedName>
    <definedName name="EV_REVENUE_CY3" localSheetId="6">'Factset codes'!$P$19</definedName>
    <definedName name="EV_REVENUE_CY4" localSheetId="6">'Factset codes'!$R$19</definedName>
    <definedName name="EV_REVENUE_LTM" localSheetId="6">'Factset codes'!$J$19</definedName>
    <definedName name="FCF_LTM" localSheetId="6">'Factset codes'!$J$15</definedName>
    <definedName name="GROSS_DEBT_LTM_EBITDA" localSheetId="6">#REF!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"01/29/2016 15:32:18"</definedName>
    <definedName name="IQ_QTD" hidden="1">750000</definedName>
    <definedName name="IQ_TODAY" hidden="1">0</definedName>
    <definedName name="IQ_YTDMONTH" hidden="1">130000</definedName>
    <definedName name="IQRBWSM104" hidden="1">#REF!</definedName>
    <definedName name="IQRDECKM104" hidden="1">#REF!</definedName>
    <definedName name="IQRDSWM104" hidden="1">#REF!</definedName>
    <definedName name="IQRFINLM104" hidden="1">#REF!</definedName>
    <definedName name="IQRGCOM104" hidden="1">#REF!</definedName>
    <definedName name="IQRSHOOM104" hidden="1">#REF!</definedName>
    <definedName name="IQRSKXM104" hidden="1">#REF!</definedName>
    <definedName name="IQRTargetM104" hidden="1">#REF!</definedName>
    <definedName name="IQRTODM104" hidden="1">#REF!</definedName>
    <definedName name="IQRWWWM104" hidden="1">#REF!</definedName>
    <definedName name="P_BV" localSheetId="6">#REF!</definedName>
    <definedName name="PE_CY1" localSheetId="6">'Factset codes'!$L$22</definedName>
    <definedName name="PE_CY2" localSheetId="6">'Factset codes'!$N$22</definedName>
    <definedName name="PE_CY3" localSheetId="6">'Factset codes'!$P$22</definedName>
    <definedName name="PE_CY4" localSheetId="6">'Factset codes'!$R$22</definedName>
    <definedName name="_xlnm.Print_Area" localSheetId="4">'LBO 3'!$A$1:$U$253</definedName>
    <definedName name="_xlnm.Print_Area" localSheetId="5">'LBO 4'!$A$1:$U$275</definedName>
    <definedName name="SALES_LTM" localSheetId="6">'Factset codes'!$J$12</definedName>
  </definedNames>
  <calcPr calcId="191028"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7" l="1"/>
  <c r="L3" i="24"/>
  <c r="F12" i="23"/>
  <c r="B182" i="27"/>
  <c r="B181" i="27"/>
  <c r="B108" i="27"/>
  <c r="B107" i="27"/>
  <c r="B106" i="27"/>
  <c r="B105" i="27"/>
  <c r="D98" i="27"/>
  <c r="C98" i="27"/>
  <c r="D94" i="27"/>
  <c r="C94" i="27"/>
  <c r="D83" i="27"/>
  <c r="C83" i="27"/>
  <c r="B174" i="24"/>
  <c r="B173" i="24"/>
  <c r="B101" i="24"/>
  <c r="B100" i="24"/>
  <c r="B99" i="24"/>
  <c r="B98" i="24"/>
  <c r="C90" i="24"/>
  <c r="C73" i="24"/>
  <c r="C29" i="27" l="1"/>
  <c r="N78" i="27"/>
  <c r="C150" i="27"/>
  <c r="D150" i="27"/>
  <c r="D144" i="27"/>
  <c r="D87" i="27" s="1"/>
  <c r="C144" i="27"/>
  <c r="C87" i="27" s="1"/>
  <c r="D145" i="27"/>
  <c r="C145" i="27"/>
  <c r="D143" i="27"/>
  <c r="C143" i="27"/>
  <c r="D137" i="27"/>
  <c r="D84" i="27" s="1"/>
  <c r="C137" i="27"/>
  <c r="C84" i="27" s="1"/>
  <c r="C122" i="27"/>
  <c r="C76" i="27" s="1"/>
  <c r="D122" i="27"/>
  <c r="D124" i="27"/>
  <c r="C124" i="27"/>
  <c r="C119" i="27"/>
  <c r="C118" i="27"/>
  <c r="C93" i="27" s="1"/>
  <c r="D118" i="27"/>
  <c r="D93" i="27" s="1"/>
  <c r="D79" i="27" s="1"/>
  <c r="D119" i="27"/>
  <c r="C113" i="27"/>
  <c r="D113" i="27"/>
  <c r="C114" i="27"/>
  <c r="D114" i="27"/>
  <c r="C115" i="27"/>
  <c r="D115" i="27"/>
  <c r="A1" i="27"/>
  <c r="B251" i="27"/>
  <c r="B250" i="27"/>
  <c r="B249" i="27"/>
  <c r="D50" i="27"/>
  <c r="B44" i="27"/>
  <c r="B43" i="27"/>
  <c r="G42" i="27"/>
  <c r="B42" i="27"/>
  <c r="G41" i="27"/>
  <c r="B41" i="27"/>
  <c r="G40" i="27"/>
  <c r="B40" i="27"/>
  <c r="B14" i="27"/>
  <c r="C3" i="27"/>
  <c r="C111" i="24"/>
  <c r="C86" i="24" s="1"/>
  <c r="D50" i="24"/>
  <c r="C85" i="24"/>
  <c r="D85" i="24"/>
  <c r="C142" i="24"/>
  <c r="D142" i="24"/>
  <c r="C136" i="24"/>
  <c r="C80" i="24" s="1"/>
  <c r="D136" i="24"/>
  <c r="C137" i="24"/>
  <c r="D137" i="24"/>
  <c r="C135" i="24"/>
  <c r="C133" i="24"/>
  <c r="D133" i="24"/>
  <c r="D135" i="24"/>
  <c r="C134" i="24"/>
  <c r="D134" i="24"/>
  <c r="C126" i="24"/>
  <c r="C76" i="24" s="1"/>
  <c r="D126" i="24"/>
  <c r="C129" i="24"/>
  <c r="C77" i="24" s="1"/>
  <c r="D129" i="24"/>
  <c r="D77" i="24" s="1"/>
  <c r="C130" i="24"/>
  <c r="D130" i="24"/>
  <c r="C128" i="24"/>
  <c r="C91" i="24" s="1"/>
  <c r="D128" i="24"/>
  <c r="D91" i="24" s="1"/>
  <c r="C127" i="24"/>
  <c r="C87" i="24" s="1"/>
  <c r="D127" i="24"/>
  <c r="D87" i="24" s="1"/>
  <c r="C125" i="24"/>
  <c r="D125" i="24"/>
  <c r="C124" i="24"/>
  <c r="D124" i="24"/>
  <c r="C123" i="24"/>
  <c r="D123" i="24"/>
  <c r="C119" i="24"/>
  <c r="C115" i="24"/>
  <c r="C116" i="24"/>
  <c r="C108" i="24"/>
  <c r="C107" i="24"/>
  <c r="C106" i="24"/>
  <c r="D115" i="24"/>
  <c r="D116" i="24"/>
  <c r="D112" i="24"/>
  <c r="D111" i="24"/>
  <c r="D86" i="24" s="1"/>
  <c r="D72" i="24" s="1"/>
  <c r="D108" i="24"/>
  <c r="D107" i="24"/>
  <c r="D106" i="24"/>
  <c r="D67" i="24" l="1"/>
  <c r="C74" i="24"/>
  <c r="C69" i="24"/>
  <c r="C68" i="24"/>
  <c r="C82" i="27"/>
  <c r="C85" i="27"/>
  <c r="C74" i="27"/>
  <c r="C81" i="27"/>
  <c r="C78" i="27"/>
  <c r="B149" i="27"/>
  <c r="B255" i="27" s="1"/>
  <c r="B208" i="27"/>
  <c r="B146" i="27"/>
  <c r="B170" i="27" s="1"/>
  <c r="B205" i="27"/>
  <c r="B211" i="27"/>
  <c r="D80" i="27"/>
  <c r="M80" i="27" s="1"/>
  <c r="D97" i="27"/>
  <c r="B12" i="27"/>
  <c r="B222" i="27"/>
  <c r="B219" i="27"/>
  <c r="B147" i="27"/>
  <c r="B171" i="27" s="1"/>
  <c r="D81" i="27"/>
  <c r="M81" i="27" s="1"/>
  <c r="D78" i="27"/>
  <c r="D73" i="27"/>
  <c r="D75" i="27"/>
  <c r="M75" i="27" s="1"/>
  <c r="C86" i="27"/>
  <c r="D85" i="27"/>
  <c r="M85" i="27" s="1"/>
  <c r="D74" i="27"/>
  <c r="M69" i="27" s="1"/>
  <c r="D82" i="27"/>
  <c r="B230" i="27"/>
  <c r="B227" i="27"/>
  <c r="B148" i="27"/>
  <c r="B172" i="27" s="1"/>
  <c r="C75" i="27"/>
  <c r="C97" i="27"/>
  <c r="C80" i="27"/>
  <c r="D86" i="27"/>
  <c r="M86" i="27" s="1"/>
  <c r="C71" i="24"/>
  <c r="D68" i="24"/>
  <c r="D75" i="24"/>
  <c r="D71" i="24"/>
  <c r="C75" i="24"/>
  <c r="D76" i="24"/>
  <c r="M76" i="24" s="1"/>
  <c r="C79" i="24"/>
  <c r="D69" i="24"/>
  <c r="D90" i="24"/>
  <c r="D73" i="24"/>
  <c r="D78" i="24"/>
  <c r="D80" i="24"/>
  <c r="C78" i="24"/>
  <c r="D74" i="24"/>
  <c r="D79" i="24"/>
  <c r="M84" i="27"/>
  <c r="D151" i="27"/>
  <c r="M87" i="27"/>
  <c r="N87" i="27" s="1"/>
  <c r="O87" i="27" s="1"/>
  <c r="P87" i="27" s="1"/>
  <c r="D76" i="27"/>
  <c r="C151" i="27"/>
  <c r="O78" i="27"/>
  <c r="B13" i="27"/>
  <c r="M79" i="27"/>
  <c r="C116" i="27"/>
  <c r="B252" i="27"/>
  <c r="B212" i="27"/>
  <c r="B11" i="27"/>
  <c r="D139" i="27"/>
  <c r="M3" i="27"/>
  <c r="D116" i="27"/>
  <c r="D126" i="27" s="1"/>
  <c r="D77" i="27" s="1"/>
  <c r="M82" i="27"/>
  <c r="M83" i="27"/>
  <c r="C139" i="27"/>
  <c r="M79" i="24"/>
  <c r="N75" i="27" l="1"/>
  <c r="N86" i="27"/>
  <c r="N76" i="24"/>
  <c r="O76" i="24" s="1"/>
  <c r="C153" i="27"/>
  <c r="N84" i="27"/>
  <c r="D153" i="27"/>
  <c r="N80" i="27"/>
  <c r="P78" i="27"/>
  <c r="C120" i="27"/>
  <c r="C126" i="27"/>
  <c r="N79" i="27"/>
  <c r="M70" i="27"/>
  <c r="N69" i="27"/>
  <c r="O86" i="27"/>
  <c r="D120" i="27"/>
  <c r="B254" i="27"/>
  <c r="N83" i="27"/>
  <c r="B253" i="27"/>
  <c r="N81" i="27"/>
  <c r="N85" i="27"/>
  <c r="N3" i="27"/>
  <c r="Q87" i="27"/>
  <c r="N82" i="27"/>
  <c r="N79" i="24"/>
  <c r="C128" i="27" l="1"/>
  <c r="C77" i="27"/>
  <c r="O75" i="27"/>
  <c r="O79" i="27"/>
  <c r="O84" i="27"/>
  <c r="O80" i="27"/>
  <c r="Q78" i="27"/>
  <c r="O69" i="27"/>
  <c r="N70" i="27"/>
  <c r="D128" i="27"/>
  <c r="C55" i="27"/>
  <c r="C54" i="27"/>
  <c r="C57" i="27"/>
  <c r="O82" i="27"/>
  <c r="P79" i="27"/>
  <c r="O81" i="27"/>
  <c r="O85" i="27"/>
  <c r="O83" i="27"/>
  <c r="R87" i="27"/>
  <c r="P86" i="27"/>
  <c r="O3" i="27"/>
  <c r="O79" i="24"/>
  <c r="P76" i="24"/>
  <c r="P181" i="27" l="1"/>
  <c r="O181" i="27"/>
  <c r="N181" i="27"/>
  <c r="U181" i="27"/>
  <c r="M181" i="27"/>
  <c r="S181" i="27"/>
  <c r="T181" i="27"/>
  <c r="R181" i="27"/>
  <c r="Q181" i="27"/>
  <c r="P75" i="27"/>
  <c r="P84" i="27"/>
  <c r="M77" i="27"/>
  <c r="P80" i="27"/>
  <c r="P69" i="27"/>
  <c r="R78" i="27"/>
  <c r="O70" i="27"/>
  <c r="P83" i="27"/>
  <c r="C12" i="27"/>
  <c r="P3" i="27"/>
  <c r="S87" i="27"/>
  <c r="P85" i="27"/>
  <c r="D40" i="27"/>
  <c r="C13" i="27"/>
  <c r="Q79" i="27"/>
  <c r="D56" i="27"/>
  <c r="C11" i="27"/>
  <c r="P82" i="27"/>
  <c r="Q86" i="27"/>
  <c r="Q84" i="27"/>
  <c r="P81" i="27"/>
  <c r="P79" i="24"/>
  <c r="Q76" i="24"/>
  <c r="Q75" i="27" l="1"/>
  <c r="N77" i="27"/>
  <c r="Q69" i="27"/>
  <c r="Q80" i="27"/>
  <c r="P70" i="27"/>
  <c r="S78" i="27"/>
  <c r="C14" i="27"/>
  <c r="G43" i="27" s="1"/>
  <c r="D41" i="27"/>
  <c r="D42" i="27" s="1"/>
  <c r="D43" i="27" s="1"/>
  <c r="D44" i="27" s="1"/>
  <c r="Q81" i="27"/>
  <c r="R84" i="27"/>
  <c r="R79" i="27"/>
  <c r="Q85" i="27"/>
  <c r="Q83" i="27"/>
  <c r="Q3" i="27"/>
  <c r="Q82" i="27"/>
  <c r="R86" i="27"/>
  <c r="T87" i="27"/>
  <c r="Q79" i="24"/>
  <c r="R76" i="24"/>
  <c r="O77" i="27" l="1"/>
  <c r="R75" i="27"/>
  <c r="R69" i="27"/>
  <c r="Q70" i="27"/>
  <c r="R80" i="27"/>
  <c r="T78" i="27"/>
  <c r="R83" i="27"/>
  <c r="S86" i="27"/>
  <c r="U87" i="27"/>
  <c r="D46" i="27"/>
  <c r="R82" i="27"/>
  <c r="R85" i="27"/>
  <c r="S79" i="27"/>
  <c r="R3" i="27"/>
  <c r="R81" i="27"/>
  <c r="S84" i="27"/>
  <c r="R79" i="24"/>
  <c r="S76" i="24"/>
  <c r="M3" i="24"/>
  <c r="C3" i="24"/>
  <c r="A1" i="24"/>
  <c r="B243" i="24"/>
  <c r="B242" i="24"/>
  <c r="B241" i="24"/>
  <c r="D143" i="24"/>
  <c r="C143" i="24"/>
  <c r="D131" i="24"/>
  <c r="D109" i="24"/>
  <c r="M80" i="24"/>
  <c r="M78" i="24"/>
  <c r="M77" i="24"/>
  <c r="M75" i="24"/>
  <c r="M74" i="24"/>
  <c r="M63" i="24"/>
  <c r="M68" i="24"/>
  <c r="B44" i="24"/>
  <c r="B43" i="24"/>
  <c r="G42" i="24"/>
  <c r="B42" i="24"/>
  <c r="G41" i="24"/>
  <c r="B41" i="24"/>
  <c r="G40" i="24"/>
  <c r="B40" i="24"/>
  <c r="B14" i="24"/>
  <c r="R70" i="27" l="1"/>
  <c r="S69" i="27"/>
  <c r="T69" i="27" s="1"/>
  <c r="S75" i="27"/>
  <c r="P77" i="27"/>
  <c r="B222" i="24"/>
  <c r="B219" i="24"/>
  <c r="B140" i="24"/>
  <c r="B164" i="24" s="1"/>
  <c r="B141" i="24"/>
  <c r="B247" i="24" s="1"/>
  <c r="B197" i="24"/>
  <c r="B200" i="24"/>
  <c r="B203" i="24"/>
  <c r="B204" i="24" s="1"/>
  <c r="B138" i="24"/>
  <c r="B162" i="24" s="1"/>
  <c r="B214" i="24"/>
  <c r="B211" i="24"/>
  <c r="B139" i="24"/>
  <c r="B163" i="24" s="1"/>
  <c r="N68" i="24"/>
  <c r="N74" i="24"/>
  <c r="N75" i="24"/>
  <c r="N78" i="24"/>
  <c r="S80" i="27"/>
  <c r="U78" i="27"/>
  <c r="S82" i="27"/>
  <c r="S81" i="27"/>
  <c r="T79" i="27"/>
  <c r="S3" i="27"/>
  <c r="T86" i="27"/>
  <c r="T84" i="27"/>
  <c r="D58" i="27"/>
  <c r="C58" i="27"/>
  <c r="S83" i="27"/>
  <c r="S85" i="27"/>
  <c r="S70" i="27"/>
  <c r="O74" i="24"/>
  <c r="O75" i="24"/>
  <c r="O78" i="24"/>
  <c r="N80" i="24"/>
  <c r="S79" i="24"/>
  <c r="M64" i="24"/>
  <c r="N63" i="24"/>
  <c r="N77" i="24"/>
  <c r="T76" i="24"/>
  <c r="B11" i="24"/>
  <c r="B13" i="24"/>
  <c r="N3" i="24"/>
  <c r="M72" i="24"/>
  <c r="C131" i="24"/>
  <c r="C145" i="24" s="1"/>
  <c r="D145" i="24"/>
  <c r="C109" i="24"/>
  <c r="D113" i="24"/>
  <c r="D118" i="24"/>
  <c r="D70" i="24" s="1"/>
  <c r="B12" i="24"/>
  <c r="B246" i="24" l="1"/>
  <c r="Q77" i="27"/>
  <c r="T75" i="27"/>
  <c r="B244" i="24"/>
  <c r="P78" i="24"/>
  <c r="P75" i="24"/>
  <c r="P74" i="24"/>
  <c r="N72" i="24"/>
  <c r="O68" i="24"/>
  <c r="T80" i="27"/>
  <c r="U79" i="27"/>
  <c r="E45" i="27"/>
  <c r="T70" i="27"/>
  <c r="U69" i="27"/>
  <c r="T3" i="27"/>
  <c r="T85" i="27"/>
  <c r="T81" i="27"/>
  <c r="T82" i="27"/>
  <c r="T83" i="27"/>
  <c r="U84" i="27"/>
  <c r="U86" i="27"/>
  <c r="T79" i="24"/>
  <c r="O80" i="24"/>
  <c r="O77" i="24"/>
  <c r="N64" i="24"/>
  <c r="O63" i="24"/>
  <c r="U76" i="24"/>
  <c r="O3" i="24"/>
  <c r="C113" i="24"/>
  <c r="C118" i="24"/>
  <c r="C70" i="24" s="1"/>
  <c r="C57" i="24"/>
  <c r="C54" i="24"/>
  <c r="C55" i="24"/>
  <c r="B245" i="24"/>
  <c r="D120" i="24"/>
  <c r="R77" i="27" l="1"/>
  <c r="U75" i="27"/>
  <c r="P173" i="24"/>
  <c r="O173" i="24"/>
  <c r="N173" i="24"/>
  <c r="Q173" i="24"/>
  <c r="U173" i="24"/>
  <c r="M173" i="24"/>
  <c r="T173" i="24"/>
  <c r="R173" i="24"/>
  <c r="S173" i="24"/>
  <c r="Q74" i="24"/>
  <c r="P68" i="24"/>
  <c r="Q75" i="24"/>
  <c r="O72" i="24"/>
  <c r="Q78" i="24"/>
  <c r="U80" i="27"/>
  <c r="U83" i="27"/>
  <c r="U3" i="27"/>
  <c r="E43" i="27"/>
  <c r="E40" i="27"/>
  <c r="E44" i="27"/>
  <c r="E41" i="27"/>
  <c r="E42" i="27"/>
  <c r="U81" i="27"/>
  <c r="U85" i="27"/>
  <c r="U70" i="27"/>
  <c r="U82" i="27"/>
  <c r="P80" i="24"/>
  <c r="U79" i="24"/>
  <c r="O64" i="24"/>
  <c r="P63" i="24"/>
  <c r="P77" i="24"/>
  <c r="P3" i="24"/>
  <c r="C13" i="24"/>
  <c r="C12" i="24"/>
  <c r="D40" i="24"/>
  <c r="D56" i="24"/>
  <c r="C11" i="24"/>
  <c r="C120" i="24"/>
  <c r="S77" i="27" l="1"/>
  <c r="P72" i="24"/>
  <c r="R75" i="24"/>
  <c r="R78" i="24"/>
  <c r="Q68" i="24"/>
  <c r="R74" i="24"/>
  <c r="E46" i="27"/>
  <c r="Q80" i="24"/>
  <c r="Q77" i="24"/>
  <c r="Q63" i="24"/>
  <c r="P64" i="24"/>
  <c r="Q3" i="24"/>
  <c r="C14" i="24"/>
  <c r="G43" i="24" s="1"/>
  <c r="D41" i="24"/>
  <c r="D42" i="24" s="1"/>
  <c r="D43" i="24" s="1"/>
  <c r="D44" i="24" s="1"/>
  <c r="T77" i="27" l="1"/>
  <c r="S74" i="24"/>
  <c r="S75" i="24"/>
  <c r="R68" i="24"/>
  <c r="S78" i="24"/>
  <c r="Q72" i="24"/>
  <c r="R80" i="24"/>
  <c r="Q64" i="24"/>
  <c r="R63" i="24"/>
  <c r="R77" i="24"/>
  <c r="R3" i="24"/>
  <c r="U77" i="27" l="1"/>
  <c r="S68" i="24"/>
  <c r="T74" i="24"/>
  <c r="R72" i="24"/>
  <c r="T75" i="24"/>
  <c r="T78" i="24"/>
  <c r="S80" i="24"/>
  <c r="S77" i="24"/>
  <c r="R64" i="24"/>
  <c r="S63" i="24"/>
  <c r="S3" i="24"/>
  <c r="D58" i="24"/>
  <c r="C58" i="24"/>
  <c r="D46" i="24"/>
  <c r="S72" i="24" l="1"/>
  <c r="U78" i="24"/>
  <c r="U74" i="24"/>
  <c r="U75" i="24"/>
  <c r="T68" i="24"/>
  <c r="T80" i="24"/>
  <c r="T77" i="24"/>
  <c r="S64" i="24"/>
  <c r="T63" i="24"/>
  <c r="E44" i="24"/>
  <c r="T3" i="24"/>
  <c r="T72" i="24" l="1"/>
  <c r="U68" i="24"/>
  <c r="U80" i="24"/>
  <c r="T64" i="24"/>
  <c r="U63" i="24"/>
  <c r="U77" i="24"/>
  <c r="E41" i="24"/>
  <c r="E40" i="24"/>
  <c r="E43" i="24"/>
  <c r="E42" i="24"/>
  <c r="E45" i="24"/>
  <c r="U3" i="24"/>
  <c r="U72" i="24" l="1"/>
  <c r="E46" i="24"/>
  <c r="U64" i="24"/>
  <c r="C102" i="23" l="1"/>
  <c r="C103" i="23" s="1"/>
  <c r="C104" i="23" s="1"/>
  <c r="C101" i="23"/>
  <c r="F53" i="23"/>
  <c r="F36" i="23" s="1"/>
  <c r="E53" i="23"/>
  <c r="E36" i="23" s="1"/>
  <c r="F35" i="23"/>
  <c r="E35" i="23"/>
  <c r="A1" i="23"/>
  <c r="I33" i="23"/>
  <c r="H33" i="23"/>
  <c r="G33" i="23"/>
  <c r="F32" i="23"/>
  <c r="E32" i="23"/>
  <c r="I31" i="23"/>
  <c r="H31" i="23"/>
  <c r="G31" i="23"/>
  <c r="F30" i="23"/>
  <c r="E30" i="23"/>
  <c r="I29" i="23"/>
  <c r="H29" i="23"/>
  <c r="F28" i="23"/>
  <c r="G29" i="23" s="1"/>
  <c r="E28" i="23"/>
  <c r="E37" i="23" s="1"/>
  <c r="F21" i="23"/>
  <c r="N8" i="23"/>
  <c r="G3" i="23"/>
  <c r="H3" i="23" s="1"/>
  <c r="E3" i="23"/>
  <c r="F46" i="20"/>
  <c r="F29" i="20" s="1"/>
  <c r="E46" i="20"/>
  <c r="E29" i="20" s="1"/>
  <c r="G24" i="20"/>
  <c r="H24" i="20"/>
  <c r="I24" i="20"/>
  <c r="F23" i="20"/>
  <c r="E23" i="20"/>
  <c r="G26" i="20"/>
  <c r="H26" i="20"/>
  <c r="I26" i="20"/>
  <c r="F25" i="20"/>
  <c r="E25" i="20"/>
  <c r="H22" i="20"/>
  <c r="I22" i="20"/>
  <c r="F21" i="20"/>
  <c r="G22" i="20" s="1"/>
  <c r="E21" i="20"/>
  <c r="E30" i="20" s="1"/>
  <c r="D3" i="23" l="1"/>
  <c r="C3" i="23" s="1"/>
  <c r="E31" i="23"/>
  <c r="F31" i="23"/>
  <c r="F33" i="23"/>
  <c r="E33" i="23"/>
  <c r="I3" i="23"/>
  <c r="F29" i="23"/>
  <c r="F37" i="23"/>
  <c r="F30" i="20"/>
  <c r="E24" i="20"/>
  <c r="F24" i="20"/>
  <c r="E26" i="20"/>
  <c r="F26" i="20"/>
  <c r="F22" i="20"/>
  <c r="J3" i="23" l="1"/>
  <c r="K3" i="23" l="1"/>
  <c r="L3" i="23" l="1"/>
  <c r="M3" i="23" l="1"/>
  <c r="N3" i="23" l="1"/>
  <c r="O3" i="23" l="1"/>
  <c r="P3" i="23" l="1"/>
  <c r="C94" i="20" l="1"/>
  <c r="C95" i="20" s="1"/>
  <c r="E28" i="20"/>
  <c r="F28" i="20"/>
  <c r="F14" i="20"/>
  <c r="E3" i="20"/>
  <c r="D3" i="20" s="1"/>
  <c r="C3" i="20" s="1"/>
  <c r="G3" i="20"/>
  <c r="H3" i="20" s="1"/>
  <c r="I3" i="20" s="1"/>
  <c r="J3" i="20" s="1"/>
  <c r="K3" i="20" s="1"/>
  <c r="L3" i="20" s="1"/>
  <c r="M3" i="20" s="1"/>
  <c r="N3" i="20" s="1"/>
  <c r="O3" i="20" s="1"/>
  <c r="P3" i="20" l="1"/>
  <c r="A1" i="20" l="1"/>
  <c r="H44" i="22"/>
  <c r="F44" i="22"/>
  <c r="D44" i="22"/>
  <c r="R43" i="22"/>
  <c r="P43" i="22"/>
  <c r="N43" i="22"/>
  <c r="L43" i="22"/>
  <c r="R40" i="22"/>
  <c r="P40" i="22"/>
  <c r="N40" i="22"/>
  <c r="L40" i="22"/>
  <c r="F40" i="22"/>
  <c r="D40" i="22"/>
  <c r="B13" i="22"/>
  <c r="F10" i="20"/>
  <c r="N8" i="20"/>
  <c r="A1" i="3"/>
  <c r="A7" i="2"/>
  <c r="C96" i="20" l="1"/>
  <c r="C97"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Financial Edge</author>
  </authors>
  <commentList>
    <comment ref="F12" authorId="0" shapeId="0" xr:uid="{71F8BD54-FF42-44EA-B98B-EA02BBC03D1A}">
      <text>
        <r>
          <rPr>
            <b/>
            <sz val="9"/>
            <color indexed="81"/>
            <rFont val="Tahoma"/>
            <family val="2"/>
          </rPr>
          <t>Financial Edge:</t>
        </r>
        <r>
          <rPr>
            <sz val="9"/>
            <color indexed="81"/>
            <rFont val="Tahoma"/>
            <family val="2"/>
          </rPr>
          <t xml:space="preserve">
European B 10 year credit spread
Source: Felix/Europe/Discount Rate</t>
        </r>
      </text>
    </comment>
    <comment ref="G21" authorId="0" shapeId="0" xr:uid="{A82665FA-34C7-43E3-AEA8-0FF2B5CBA13E}">
      <text>
        <r>
          <rPr>
            <b/>
            <sz val="9"/>
            <color indexed="81"/>
            <rFont val="Tahoma"/>
            <family val="2"/>
          </rPr>
          <t>Financial Edge:</t>
        </r>
        <r>
          <rPr>
            <sz val="9"/>
            <color indexed="81"/>
            <rFont val="Tahoma"/>
            <family val="2"/>
          </rPr>
          <t xml:space="preserve">
Factset</t>
        </r>
      </text>
    </comment>
    <comment ref="H21" authorId="0" shapeId="0" xr:uid="{EBB2CAE0-3658-4221-B8CD-4A944400B25C}">
      <text>
        <r>
          <rPr>
            <b/>
            <sz val="9"/>
            <color indexed="81"/>
            <rFont val="Tahoma"/>
            <family val="2"/>
          </rPr>
          <t>Financial Edge:</t>
        </r>
        <r>
          <rPr>
            <sz val="9"/>
            <color indexed="81"/>
            <rFont val="Tahoma"/>
            <family val="2"/>
          </rPr>
          <t xml:space="preserve">
Factset</t>
        </r>
      </text>
    </comment>
    <comment ref="I21" authorId="0" shapeId="0" xr:uid="{7799B3A4-E2B4-4B84-9636-5F633556B930}">
      <text>
        <r>
          <rPr>
            <b/>
            <sz val="9"/>
            <color indexed="81"/>
            <rFont val="Tahoma"/>
            <family val="2"/>
          </rPr>
          <t>Financial Edge:</t>
        </r>
        <r>
          <rPr>
            <sz val="9"/>
            <color indexed="81"/>
            <rFont val="Tahoma"/>
            <family val="2"/>
          </rPr>
          <t xml:space="preserve">
Factset</t>
        </r>
      </text>
    </comment>
    <comment ref="G23" authorId="0" shapeId="0" xr:uid="{741BA15E-D551-46D9-B369-B89AF99C5FD9}">
      <text>
        <r>
          <rPr>
            <b/>
            <sz val="9"/>
            <color indexed="81"/>
            <rFont val="Tahoma"/>
            <family val="2"/>
          </rPr>
          <t>Financial Edge:</t>
        </r>
        <r>
          <rPr>
            <sz val="9"/>
            <color indexed="81"/>
            <rFont val="Tahoma"/>
            <family val="2"/>
          </rPr>
          <t xml:space="preserve">
Factset</t>
        </r>
      </text>
    </comment>
    <comment ref="H23" authorId="0" shapeId="0" xr:uid="{3D9B6CE5-1F7F-4589-AC99-6C66B2D16E68}">
      <text>
        <r>
          <rPr>
            <b/>
            <sz val="9"/>
            <color indexed="81"/>
            <rFont val="Tahoma"/>
            <family val="2"/>
          </rPr>
          <t>Financial Edge:</t>
        </r>
        <r>
          <rPr>
            <sz val="9"/>
            <color indexed="81"/>
            <rFont val="Tahoma"/>
            <family val="2"/>
          </rPr>
          <t xml:space="preserve">
Factset</t>
        </r>
      </text>
    </comment>
    <comment ref="I23" authorId="0" shapeId="0" xr:uid="{96E8F4F1-16C6-4115-B4B1-966FAB17AD00}">
      <text>
        <r>
          <rPr>
            <b/>
            <sz val="9"/>
            <color indexed="81"/>
            <rFont val="Tahoma"/>
            <family val="2"/>
          </rPr>
          <t>Financial Edge:</t>
        </r>
        <r>
          <rPr>
            <sz val="9"/>
            <color indexed="81"/>
            <rFont val="Tahoma"/>
            <family val="2"/>
          </rPr>
          <t xml:space="preserve">
Factset</t>
        </r>
      </text>
    </comment>
    <comment ref="G25" authorId="0" shapeId="0" xr:uid="{98D95095-6823-497A-854E-C7DBC0A948D2}">
      <text>
        <r>
          <rPr>
            <b/>
            <sz val="9"/>
            <color indexed="81"/>
            <rFont val="Tahoma"/>
            <family val="2"/>
          </rPr>
          <t>Financial Edge:</t>
        </r>
        <r>
          <rPr>
            <sz val="9"/>
            <color indexed="81"/>
            <rFont val="Tahoma"/>
            <family val="2"/>
          </rPr>
          <t xml:space="preserve">
Factset</t>
        </r>
      </text>
    </comment>
    <comment ref="H25" authorId="0" shapeId="0" xr:uid="{E7658492-AE35-4131-9FEC-CD3FF2551A15}">
      <text>
        <r>
          <rPr>
            <b/>
            <sz val="9"/>
            <color indexed="81"/>
            <rFont val="Tahoma"/>
            <family val="2"/>
          </rPr>
          <t>Financial Edge:</t>
        </r>
        <r>
          <rPr>
            <sz val="9"/>
            <color indexed="81"/>
            <rFont val="Tahoma"/>
            <family val="2"/>
          </rPr>
          <t xml:space="preserve">
Factset</t>
        </r>
      </text>
    </comment>
    <comment ref="I25" authorId="0" shapeId="0" xr:uid="{F1C74711-33C9-40EC-A0B2-143E28311B8B}">
      <text>
        <r>
          <rPr>
            <b/>
            <sz val="9"/>
            <color indexed="81"/>
            <rFont val="Tahoma"/>
            <family val="2"/>
          </rPr>
          <t>Financial Edge:</t>
        </r>
        <r>
          <rPr>
            <sz val="9"/>
            <color indexed="81"/>
            <rFont val="Tahoma"/>
            <family val="2"/>
          </rPr>
          <t xml:space="preserve">
Factset</t>
        </r>
      </text>
    </comment>
    <comment ref="B78" authorId="0" shapeId="0" xr:uid="{A780AD76-FE38-4FF1-8EE6-35706BE5C058}">
      <text>
        <r>
          <rPr>
            <b/>
            <sz val="9"/>
            <color indexed="81"/>
            <rFont val="Tahoma"/>
            <family val="2"/>
          </rPr>
          <t>Financial Edge:</t>
        </r>
        <r>
          <rPr>
            <sz val="9"/>
            <color indexed="81"/>
            <rFont val="Tahoma"/>
            <family val="2"/>
          </rPr>
          <t xml:space="preserve">
50% paydown minimum required within 7 years for credit committee to approve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Financial Edge</author>
  </authors>
  <commentList>
    <comment ref="F7" authorId="0" shapeId="0" xr:uid="{2EF01FD4-DA2F-4141-923E-EA13E3D19E14}">
      <text>
        <r>
          <rPr>
            <b/>
            <sz val="9"/>
            <color indexed="81"/>
            <rFont val="Tahoma"/>
            <family val="2"/>
          </rPr>
          <t>Financial Edge:</t>
        </r>
        <r>
          <rPr>
            <sz val="9"/>
            <color indexed="81"/>
            <rFont val="Tahoma"/>
            <family val="2"/>
          </rPr>
          <t xml:space="preserve">
09-May-2025 (Factset)</t>
        </r>
      </text>
    </comment>
    <comment ref="F12" authorId="0" shapeId="0" xr:uid="{37A9E619-3202-4FEA-B7AE-340C4B374701}">
      <text>
        <r>
          <rPr>
            <b/>
            <sz val="9"/>
            <color indexed="81"/>
            <rFont val="Tahoma"/>
            <family val="2"/>
          </rPr>
          <t>Financial Edge:</t>
        </r>
        <r>
          <rPr>
            <sz val="9"/>
            <color indexed="81"/>
            <rFont val="Tahoma"/>
            <family val="2"/>
          </rPr>
          <t xml:space="preserve">
2024 AR</t>
        </r>
      </text>
    </comment>
    <comment ref="F19" authorId="0" shapeId="0" xr:uid="{2FD456EB-D7B0-4C35-B36D-5FB364F6F0BE}">
      <text>
        <r>
          <rPr>
            <b/>
            <sz val="9"/>
            <color indexed="81"/>
            <rFont val="Tahoma"/>
            <family val="2"/>
          </rPr>
          <t>Financial Edge:</t>
        </r>
        <r>
          <rPr>
            <sz val="9"/>
            <color indexed="81"/>
            <rFont val="Tahoma"/>
            <family val="2"/>
          </rPr>
          <t xml:space="preserve">
European B 10 year credit spread
Source: Felix/Europe/Discount Rate</t>
        </r>
      </text>
    </comment>
    <comment ref="G28" authorId="0" shapeId="0" xr:uid="{9052409C-74C0-4E3A-8DE1-7E2F70B37DA6}">
      <text>
        <r>
          <rPr>
            <b/>
            <sz val="9"/>
            <color indexed="81"/>
            <rFont val="Tahoma"/>
            <family val="2"/>
          </rPr>
          <t>Financial Edge:</t>
        </r>
        <r>
          <rPr>
            <sz val="9"/>
            <color indexed="81"/>
            <rFont val="Tahoma"/>
            <family val="2"/>
          </rPr>
          <t xml:space="preserve">
Factset</t>
        </r>
      </text>
    </comment>
    <comment ref="H28" authorId="0" shapeId="0" xr:uid="{03CA34D9-A6DC-4869-AAC4-2A862C973E34}">
      <text>
        <r>
          <rPr>
            <b/>
            <sz val="9"/>
            <color indexed="81"/>
            <rFont val="Tahoma"/>
            <family val="2"/>
          </rPr>
          <t>Financial Edge:</t>
        </r>
        <r>
          <rPr>
            <sz val="9"/>
            <color indexed="81"/>
            <rFont val="Tahoma"/>
            <family val="2"/>
          </rPr>
          <t xml:space="preserve">
Factset</t>
        </r>
      </text>
    </comment>
    <comment ref="I28" authorId="0" shapeId="0" xr:uid="{73E56953-4FDB-4305-9C36-DC250EC7FF33}">
      <text>
        <r>
          <rPr>
            <b/>
            <sz val="9"/>
            <color indexed="81"/>
            <rFont val="Tahoma"/>
            <family val="2"/>
          </rPr>
          <t>Financial Edge:</t>
        </r>
        <r>
          <rPr>
            <sz val="9"/>
            <color indexed="81"/>
            <rFont val="Tahoma"/>
            <family val="2"/>
          </rPr>
          <t xml:space="preserve">
Factset</t>
        </r>
      </text>
    </comment>
    <comment ref="G30" authorId="0" shapeId="0" xr:uid="{69C74A84-7F28-487A-87AF-E21F34B24CE5}">
      <text>
        <r>
          <rPr>
            <b/>
            <sz val="9"/>
            <color indexed="81"/>
            <rFont val="Tahoma"/>
            <family val="2"/>
          </rPr>
          <t>Financial Edge:</t>
        </r>
        <r>
          <rPr>
            <sz val="9"/>
            <color indexed="81"/>
            <rFont val="Tahoma"/>
            <family val="2"/>
          </rPr>
          <t xml:space="preserve">
Factset</t>
        </r>
      </text>
    </comment>
    <comment ref="H30" authorId="0" shapeId="0" xr:uid="{6C076FBA-3A75-4E2F-B6B9-5B215C1E200B}">
      <text>
        <r>
          <rPr>
            <b/>
            <sz val="9"/>
            <color indexed="81"/>
            <rFont val="Tahoma"/>
            <family val="2"/>
          </rPr>
          <t>Financial Edge:</t>
        </r>
        <r>
          <rPr>
            <sz val="9"/>
            <color indexed="81"/>
            <rFont val="Tahoma"/>
            <family val="2"/>
          </rPr>
          <t xml:space="preserve">
Factset</t>
        </r>
      </text>
    </comment>
    <comment ref="I30" authorId="0" shapeId="0" xr:uid="{9B19AA23-E310-45BF-931A-EDABD1C74A0E}">
      <text>
        <r>
          <rPr>
            <b/>
            <sz val="9"/>
            <color indexed="81"/>
            <rFont val="Tahoma"/>
            <family val="2"/>
          </rPr>
          <t>Financial Edge:</t>
        </r>
        <r>
          <rPr>
            <sz val="9"/>
            <color indexed="81"/>
            <rFont val="Tahoma"/>
            <family val="2"/>
          </rPr>
          <t xml:space="preserve">
Factset</t>
        </r>
      </text>
    </comment>
    <comment ref="G32" authorId="0" shapeId="0" xr:uid="{C982A8D5-84CB-48FD-8159-C046DE7FF032}">
      <text>
        <r>
          <rPr>
            <b/>
            <sz val="9"/>
            <color indexed="81"/>
            <rFont val="Tahoma"/>
            <family val="2"/>
          </rPr>
          <t>Financial Edge:</t>
        </r>
        <r>
          <rPr>
            <sz val="9"/>
            <color indexed="81"/>
            <rFont val="Tahoma"/>
            <family val="2"/>
          </rPr>
          <t xml:space="preserve">
Factset</t>
        </r>
      </text>
    </comment>
    <comment ref="H32" authorId="0" shapeId="0" xr:uid="{E6EB9B2C-9D1E-4C53-A659-223BD0A45FE4}">
      <text>
        <r>
          <rPr>
            <b/>
            <sz val="9"/>
            <color indexed="81"/>
            <rFont val="Tahoma"/>
            <family val="2"/>
          </rPr>
          <t>Financial Edge:</t>
        </r>
        <r>
          <rPr>
            <sz val="9"/>
            <color indexed="81"/>
            <rFont val="Tahoma"/>
            <family val="2"/>
          </rPr>
          <t xml:space="preserve">
Factset</t>
        </r>
      </text>
    </comment>
    <comment ref="I32" authorId="0" shapeId="0" xr:uid="{6BDDDC3F-8202-46AC-89E0-5DD8B728138A}">
      <text>
        <r>
          <rPr>
            <b/>
            <sz val="9"/>
            <color indexed="81"/>
            <rFont val="Tahoma"/>
            <family val="2"/>
          </rPr>
          <t>Financial Edge:</t>
        </r>
        <r>
          <rPr>
            <sz val="9"/>
            <color indexed="81"/>
            <rFont val="Tahoma"/>
            <family val="2"/>
          </rPr>
          <t xml:space="preserve">
Factset</t>
        </r>
      </text>
    </comment>
    <comment ref="B85" authorId="0" shapeId="0" xr:uid="{78C6C5A7-2DC6-4B91-8DE7-42C469F0C447}">
      <text>
        <r>
          <rPr>
            <b/>
            <sz val="9"/>
            <color indexed="81"/>
            <rFont val="Tahoma"/>
            <family val="2"/>
          </rPr>
          <t>Financial Edge:</t>
        </r>
        <r>
          <rPr>
            <sz val="9"/>
            <color indexed="81"/>
            <rFont val="Tahoma"/>
            <family val="2"/>
          </rPr>
          <t xml:space="preserve">
50% paydown minimum required within 7 years for credit committee to approve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Financial Edge</author>
  </authors>
  <commentList>
    <comment ref="B8" authorId="0" shapeId="0" xr:uid="{E7E45989-E2CF-4B02-9BA1-94EA3FBA3028}">
      <text>
        <r>
          <rPr>
            <b/>
            <sz val="9"/>
            <color indexed="81"/>
            <rFont val="Tahoma"/>
            <family val="2"/>
          </rPr>
          <t>Financial Edge:</t>
        </r>
        <r>
          <rPr>
            <sz val="9"/>
            <color indexed="81"/>
            <rFont val="Tahoma"/>
            <family val="2"/>
          </rPr>
          <t xml:space="preserve">
Secured Overnight Financing Rate (SOFR)</t>
        </r>
      </text>
    </comment>
    <comment ref="G43" authorId="0" shapeId="0" xr:uid="{E96BDBE2-D4EF-4BC8-BD62-F91CC7CDCA1C}">
      <text>
        <r>
          <rPr>
            <b/>
            <sz val="9"/>
            <color indexed="81"/>
            <rFont val="Tahoma"/>
            <family val="2"/>
          </rPr>
          <t>Financial Edge:</t>
        </r>
        <r>
          <rPr>
            <sz val="9"/>
            <color indexed="81"/>
            <rFont val="Tahoma"/>
            <family val="2"/>
          </rPr>
          <t xml:space="preserve">
Unitranche 50-100bps higher than the weighted average cost of all financing</t>
        </r>
      </text>
    </comment>
    <comment ref="B54" authorId="0" shapeId="0" xr:uid="{09E6139A-BAA5-4619-BD6A-D78F7A0A9A44}">
      <text>
        <r>
          <rPr>
            <b/>
            <sz val="9"/>
            <color indexed="81"/>
            <rFont val="Tahoma"/>
            <family val="2"/>
          </rPr>
          <t>Financial Edge:</t>
        </r>
        <r>
          <rPr>
            <sz val="9"/>
            <color indexed="81"/>
            <rFont val="Tahoma"/>
            <family val="2"/>
          </rPr>
          <t xml:space="preserve">
Typically:
1. 7 year bullet
2. 1% p.a. amortization
3. Most loans, even cov-lite, have a mandatory cash sweep as some % of excess cash flow</t>
        </r>
      </text>
    </comment>
    <comment ref="B55" authorId="0" shapeId="0" xr:uid="{930F2CAC-2594-4DA6-9A6E-4A41C2A1CE60}">
      <text>
        <r>
          <rPr>
            <b/>
            <sz val="9"/>
            <color indexed="81"/>
            <rFont val="Tahoma"/>
            <family val="2"/>
          </rPr>
          <t>Financial Edge:</t>
        </r>
        <r>
          <rPr>
            <sz val="9"/>
            <color indexed="81"/>
            <rFont val="Tahoma"/>
            <family val="2"/>
          </rPr>
          <t xml:space="preserve">
HY bonds typically:
1. Strict no-call provisions in early years
2. Some bonds use a make-whole provision, allowing the issuer to call the bonds in the early years and then make the investors whole by paying them for lost future interest.
3. HY bonds generally offer call provisions for the issuer in the middle years of the bonds for a steep premium, the premium will then decline approaching maturity.
4. This complexity is beyond the needs of the model.</t>
        </r>
      </text>
    </comment>
    <comment ref="D213" authorId="0" shapeId="0" xr:uid="{B388E40E-B80C-4945-B1A2-696D5E4D3DD8}">
      <text>
        <r>
          <rPr>
            <b/>
            <sz val="9"/>
            <color indexed="81"/>
            <rFont val="Tahoma"/>
            <family val="2"/>
          </rPr>
          <t>Financial Edge:</t>
        </r>
        <r>
          <rPr>
            <sz val="9"/>
            <color indexed="81"/>
            <rFont val="Tahoma"/>
            <family val="2"/>
          </rPr>
          <t xml:space="preserve">
HY bonds typically:
1. Strict no-call provisions in early years
2. Some bonds use a make-whole provision, allowing the issuer to call the bonds in the early years and then make the investors whole by paying them for lost future interest.
3. HY bonds generally offer call provisions for the issuer in the middle years of the bonds for a steep premium, the premium will then decline approaching maturity.
4. This complexity is beyond the needs of the model, so we will leave the switch at zero by default and only use it to check theoretically how quickly the company could repay the debt.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Financial Edge</author>
  </authors>
  <commentList>
    <comment ref="B8" authorId="0" shapeId="0" xr:uid="{A0F1F940-2ADE-45C2-8F37-004C6DA21C23}">
      <text>
        <r>
          <rPr>
            <b/>
            <sz val="9"/>
            <color indexed="81"/>
            <rFont val="Tahoma"/>
            <family val="2"/>
          </rPr>
          <t>Financial Edge:</t>
        </r>
        <r>
          <rPr>
            <sz val="9"/>
            <color indexed="81"/>
            <rFont val="Tahoma"/>
            <family val="2"/>
          </rPr>
          <t xml:space="preserve">
Secured Overnight Financing Rate (SOFR)</t>
        </r>
      </text>
    </comment>
    <comment ref="G43" authorId="0" shapeId="0" xr:uid="{01C94274-E9B3-4C72-88AF-314A631036B3}">
      <text>
        <r>
          <rPr>
            <b/>
            <sz val="9"/>
            <color indexed="81"/>
            <rFont val="Tahoma"/>
            <family val="2"/>
          </rPr>
          <t>Financial Edge:</t>
        </r>
        <r>
          <rPr>
            <sz val="9"/>
            <color indexed="81"/>
            <rFont val="Tahoma"/>
            <family val="2"/>
          </rPr>
          <t xml:space="preserve">
Unitranche 50-100bps higher than the weighted average cost of all financing</t>
        </r>
      </text>
    </comment>
    <comment ref="B54" authorId="0" shapeId="0" xr:uid="{3BC78FA8-401A-4645-A597-8063EA66DDE9}">
      <text>
        <r>
          <rPr>
            <b/>
            <sz val="9"/>
            <color indexed="81"/>
            <rFont val="Tahoma"/>
            <family val="2"/>
          </rPr>
          <t>Financial Edge:</t>
        </r>
        <r>
          <rPr>
            <sz val="9"/>
            <color indexed="81"/>
            <rFont val="Tahoma"/>
            <family val="2"/>
          </rPr>
          <t xml:space="preserve">
Typically:
1. 7 year bullet
2. 1% p.a. amortization
3. Most loans, even cov-lite, have a mandatory cash sweep as some % of excess cash flow</t>
        </r>
      </text>
    </comment>
    <comment ref="B55" authorId="0" shapeId="0" xr:uid="{088C18CD-F6DF-43EC-8016-5264E88D508E}">
      <text>
        <r>
          <rPr>
            <b/>
            <sz val="9"/>
            <color indexed="81"/>
            <rFont val="Tahoma"/>
            <family val="2"/>
          </rPr>
          <t>Financial Edge:</t>
        </r>
        <r>
          <rPr>
            <sz val="9"/>
            <color indexed="81"/>
            <rFont val="Tahoma"/>
            <family val="2"/>
          </rPr>
          <t xml:space="preserve">
HY bonds typically:
1. Strict no-call provisions in early years
2. Some bonds use a make-whole provision, allowing the issuer to call the bonds in the early years and then make the investors whole by paying them for lost future interest.
3. HY bonds generally offer call provisions for the issuer in the middle years of the bonds for a steep premium, the premium will then decline approaching maturity.
4. This complexity is beyond the needs of the model.</t>
        </r>
      </text>
    </comment>
    <comment ref="D221" authorId="0" shapeId="0" xr:uid="{C3A76240-ED39-42A8-A6D6-9BD20525F27C}">
      <text>
        <r>
          <rPr>
            <b/>
            <sz val="9"/>
            <color indexed="81"/>
            <rFont val="Tahoma"/>
            <family val="2"/>
          </rPr>
          <t>Financial Edge:</t>
        </r>
        <r>
          <rPr>
            <sz val="9"/>
            <color indexed="81"/>
            <rFont val="Tahoma"/>
            <family val="2"/>
          </rPr>
          <t xml:space="preserve">
HY bonds typically:
1. Strict no-call provisions in early years
2. Some bonds use a make-whole provision, allowing the issuer to call the bonds in the early years and then make the investors whole by paying them for lost future interest.
3. HY bonds generally offer call provisions for the issuer in the middle years of the bonds for a steep premium, the premium will then decline approaching maturity.
4. This complexity is beyond the needs of the model, so we will leave the switch at zero by default and only use it to check theoretically how quickly the company could repay the debt.</t>
        </r>
      </text>
    </comment>
  </commentList>
</comments>
</file>

<file path=xl/sharedStrings.xml><?xml version="1.0" encoding="utf-8"?>
<sst xmlns="http://schemas.openxmlformats.org/spreadsheetml/2006/main" count="727" uniqueCount="322">
  <si>
    <t>This document is for training purposes only. Financial Edge accepts no responsibility or liability for any other purpose or usage.</t>
  </si>
  <si>
    <t>www.fe.training</t>
  </si>
  <si>
    <t>Workout Information</t>
  </si>
  <si>
    <t>Features</t>
  </si>
  <si>
    <t>Model Details</t>
  </si>
  <si>
    <t>◦</t>
  </si>
  <si>
    <t>Company name</t>
  </si>
  <si>
    <t>Date</t>
  </si>
  <si>
    <t>Currency</t>
  </si>
  <si>
    <t>Units</t>
  </si>
  <si>
    <t>LBO</t>
  </si>
  <si>
    <t>Analyst Name</t>
  </si>
  <si>
    <t>Firstname Lastname</t>
  </si>
  <si>
    <t>Circular Switch</t>
  </si>
  <si>
    <t>Tab Structure</t>
  </si>
  <si>
    <t>Formatting</t>
  </si>
  <si>
    <t>Input</t>
  </si>
  <si>
    <t>Hard coded</t>
  </si>
  <si>
    <t>Formulas</t>
  </si>
  <si>
    <t>EBIT</t>
  </si>
  <si>
    <t>EBITDA</t>
  </si>
  <si>
    <t>NA</t>
  </si>
  <si>
    <t>Net debt</t>
  </si>
  <si>
    <t>End</t>
  </si>
  <si>
    <t>Assumptions</t>
  </si>
  <si>
    <t>Marginal tax rate</t>
  </si>
  <si>
    <t>Interest rate on cash</t>
  </si>
  <si>
    <t>Depreciation</t>
  </si>
  <si>
    <t>Equity</t>
  </si>
  <si>
    <t>Net income</t>
  </si>
  <si>
    <t>Income statement</t>
  </si>
  <si>
    <t>Revenue</t>
  </si>
  <si>
    <t>Interest income</t>
  </si>
  <si>
    <t>Interest expense</t>
  </si>
  <si>
    <t>Profit before tax</t>
  </si>
  <si>
    <t>Tax expense</t>
  </si>
  <si>
    <t>(Capital expenditure)</t>
  </si>
  <si>
    <t>Basic shares outstanding</t>
  </si>
  <si>
    <t>Depreciation and amortization</t>
  </si>
  <si>
    <t>Key data</t>
  </si>
  <si>
    <t>Ticker</t>
  </si>
  <si>
    <t>Country</t>
  </si>
  <si>
    <t>United States</t>
  </si>
  <si>
    <t>Analysis date</t>
  </si>
  <si>
    <t>Calendarize to</t>
  </si>
  <si>
    <t>Historical year end</t>
  </si>
  <si>
    <t>Home currency</t>
  </si>
  <si>
    <t>USD</t>
  </si>
  <si>
    <t>52 week low</t>
  </si>
  <si>
    <t>52 week high</t>
  </si>
  <si>
    <t>Credit rating</t>
  </si>
  <si>
    <t>Tranche</t>
  </si>
  <si>
    <t>Number</t>
  </si>
  <si>
    <t>Preferred equity</t>
  </si>
  <si>
    <t>Shareholders' equity</t>
  </si>
  <si>
    <t>Total</t>
  </si>
  <si>
    <t>Old 10-Q/Interim</t>
  </si>
  <si>
    <t>New 10-Q/interim</t>
  </si>
  <si>
    <t>FY +1</t>
  </si>
  <si>
    <t>FY +2</t>
  </si>
  <si>
    <t>FY +3</t>
  </si>
  <si>
    <t>FY +4</t>
  </si>
  <si>
    <t>LTM EBITDA</t>
  </si>
  <si>
    <t>Long-term effective tax rate</t>
  </si>
  <si>
    <t>(Increase) decrease in operating working capital</t>
  </si>
  <si>
    <t>Enterprise value</t>
  </si>
  <si>
    <t>Risk free rate</t>
  </si>
  <si>
    <t>-</t>
  </si>
  <si>
    <t>Max entry EV / LTM EBITDA multiple</t>
  </si>
  <si>
    <t>Sources and uses of funds</t>
  </si>
  <si>
    <t>Fees</t>
  </si>
  <si>
    <t>Total uses of funds</t>
  </si>
  <si>
    <t>Total sources of funds</t>
  </si>
  <si>
    <t>X LTM EBITDA</t>
  </si>
  <si>
    <t>Senior debt</t>
  </si>
  <si>
    <t>Max debt / EBITDA multiple</t>
  </si>
  <si>
    <t>Unsecured notes</t>
  </si>
  <si>
    <t>Max exit EV / LTM EBITDA multiple</t>
  </si>
  <si>
    <t>Cost of debt financing - spread</t>
  </si>
  <si>
    <t>Cost of senior debt</t>
  </si>
  <si>
    <t>Cost of unsecured notes</t>
  </si>
  <si>
    <t>Fees % of enterprise value</t>
  </si>
  <si>
    <t>Exit year</t>
  </si>
  <si>
    <t>Key numbers</t>
  </si>
  <si>
    <t>Cost savings % revenue</t>
  </si>
  <si>
    <t>Cost savings</t>
  </si>
  <si>
    <t>Cash flows to service debt</t>
  </si>
  <si>
    <t>Cash flow available for debt repayment</t>
  </si>
  <si>
    <t>Debt servicing</t>
  </si>
  <si>
    <t>Beginning senior debt balance</t>
  </si>
  <si>
    <t>Issuance (repayment)</t>
  </si>
  <si>
    <t>Ending senior debt balance</t>
  </si>
  <si>
    <t>Cash flow available for debt, after senior debt repayment</t>
  </si>
  <si>
    <t>Beginning unsecured notes</t>
  </si>
  <si>
    <t>Ending unsecured notes</t>
  </si>
  <si>
    <t>Ending cash</t>
  </si>
  <si>
    <t>Beginning debt repaid</t>
  </si>
  <si>
    <t>Senior debt repayment</t>
  </si>
  <si>
    <t>Unsecured notes repayment</t>
  </si>
  <si>
    <t>Ending debt repaid</t>
  </si>
  <si>
    <t>Total debt at acquisition</t>
  </si>
  <si>
    <t>Debt paydown % of total debt</t>
  </si>
  <si>
    <t>Returns to equity holders</t>
  </si>
  <si>
    <t>Year count</t>
  </si>
  <si>
    <t>Equity value</t>
  </si>
  <si>
    <t>Cash flows to equity holders</t>
  </si>
  <si>
    <t>IRR</t>
  </si>
  <si>
    <t>Sensitivity analysis</t>
  </si>
  <si>
    <t>IRR assuming changes in entry multiple and exit year</t>
  </si>
  <si>
    <t>Entry multiple</t>
  </si>
  <si>
    <t>Factset codes</t>
  </si>
  <si>
    <t>Summary sheet code name</t>
  </si>
  <si>
    <t>Delete sheet on new target ticker</t>
  </si>
  <si>
    <t>TUMI-US</t>
  </si>
  <si>
    <t>31/12/2015</t>
  </si>
  <si>
    <t>Last filing date</t>
  </si>
  <si>
    <t>01-Jun-16</t>
  </si>
  <si>
    <t>Trading information</t>
  </si>
  <si>
    <t>Free float (MM)</t>
  </si>
  <si>
    <t>LTM dividend yield</t>
  </si>
  <si>
    <t>Historical 5 year beta</t>
  </si>
  <si>
    <t/>
  </si>
  <si>
    <t>5 year EPS forward growth</t>
  </si>
  <si>
    <t>Balance sheet data</t>
  </si>
  <si>
    <t>NCI book value</t>
  </si>
  <si>
    <t xml:space="preserve">Historical income statement NCI </t>
  </si>
  <si>
    <t>Balance sheet ST debt</t>
  </si>
  <si>
    <t>Balance sheet LT debt</t>
  </si>
  <si>
    <t>Financial derivative liabilities</t>
  </si>
  <si>
    <t>Balance sheet cash and equivalents</t>
  </si>
  <si>
    <t>ST financial investments</t>
  </si>
  <si>
    <t>LT financial investments</t>
  </si>
  <si>
    <t>Non-core assets</t>
  </si>
  <si>
    <t>Earnings and estimates</t>
  </si>
  <si>
    <t>Latest annual</t>
  </si>
  <si>
    <t>Revenues</t>
  </si>
  <si>
    <t>Gross interest expense</t>
  </si>
  <si>
    <t>Free cash flow</t>
  </si>
  <si>
    <t>Share options and restricted stock units</t>
  </si>
  <si>
    <t>WA strike price</t>
  </si>
  <si>
    <t>CapIQ - total options year end</t>
  </si>
  <si>
    <t>CapIQ - total options quarter end</t>
  </si>
  <si>
    <t>CapIQ options used</t>
  </si>
  <si>
    <t>Manual tranche 1</t>
  </si>
  <si>
    <t>Manual tranche 2</t>
  </si>
  <si>
    <t>Manual tranche 3</t>
  </si>
  <si>
    <t>Manual tranche 4</t>
  </si>
  <si>
    <t>Manual tranche 5</t>
  </si>
  <si>
    <t>Projected benefit obligation</t>
  </si>
  <si>
    <t>Fair value of plan assets</t>
  </si>
  <si>
    <t>Total pension and OPEB expense</t>
  </si>
  <si>
    <t>Pension service cost</t>
  </si>
  <si>
    <t>Return on plan assets</t>
  </si>
  <si>
    <t>LTM rent expense</t>
  </si>
  <si>
    <t>Actual</t>
  </si>
  <si>
    <t>Projected</t>
  </si>
  <si>
    <t>All numbers in GBPm unless otherwise stated</t>
  </si>
  <si>
    <t>D&amp;A</t>
  </si>
  <si>
    <t>Capex % sales</t>
  </si>
  <si>
    <t>Capex</t>
  </si>
  <si>
    <t>Capex % revenue</t>
  </si>
  <si>
    <t>Revenue growth rate</t>
  </si>
  <si>
    <t>EBITDA margin</t>
  </si>
  <si>
    <t>EBIT margin</t>
  </si>
  <si>
    <t>Operating working capital</t>
  </si>
  <si>
    <t>EBITDA after cost savings</t>
  </si>
  <si>
    <t>Operating working capital % revenue</t>
  </si>
  <si>
    <t>Share price</t>
  </si>
  <si>
    <t>Dil shares outstanding</t>
  </si>
  <si>
    <t>Premium</t>
  </si>
  <si>
    <t>Offer price</t>
  </si>
  <si>
    <t>Equity purchase price</t>
  </si>
  <si>
    <t>Acquisition EV</t>
  </si>
  <si>
    <t>Entry EV / LTM EBITDA</t>
  </si>
  <si>
    <t>Exit EV / LTM EBITDA</t>
  </si>
  <si>
    <t>Net debt refin</t>
  </si>
  <si>
    <t>Offer premium</t>
  </si>
  <si>
    <t>Repay debt</t>
  </si>
  <si>
    <t>Target SE</t>
  </si>
  <si>
    <t>Deal GW</t>
  </si>
  <si>
    <t>New debt</t>
  </si>
  <si>
    <t>Equity issuance</t>
  </si>
  <si>
    <t>Fees % Acquisition EV</t>
  </si>
  <si>
    <t>SOFR</t>
  </si>
  <si>
    <t>Interest on cash</t>
  </si>
  <si>
    <t>Minimum cash % sales</t>
  </si>
  <si>
    <t>Acquisition bridge</t>
  </si>
  <si>
    <t>Acquisition EV / LTM EBITDA</t>
  </si>
  <si>
    <t>Cash</t>
  </si>
  <si>
    <t>Revolver</t>
  </si>
  <si>
    <t>Long term debt</t>
  </si>
  <si>
    <t>Mezzanine</t>
  </si>
  <si>
    <t>Acquisition equity value</t>
  </si>
  <si>
    <t>Goodwill</t>
  </si>
  <si>
    <t>Deal goodwill</t>
  </si>
  <si>
    <t>Sources and uses</t>
  </si>
  <si>
    <t>Refinanced net debt</t>
  </si>
  <si>
    <t>Debt/EBITDA</t>
  </si>
  <si>
    <t>Percentage</t>
  </si>
  <si>
    <t>Spread</t>
  </si>
  <si>
    <t>Rate</t>
  </si>
  <si>
    <t>Term</t>
  </si>
  <si>
    <t>Total sources</t>
  </si>
  <si>
    <t>Capital structure sensitivity</t>
  </si>
  <si>
    <t>Financial structure choice</t>
  </si>
  <si>
    <t>Standard</t>
  </si>
  <si>
    <t>Unitranche</t>
  </si>
  <si>
    <t>Senior debt (Term B)</t>
  </si>
  <si>
    <t>Senior unsecured high yield notes</t>
  </si>
  <si>
    <t>Scenarios</t>
  </si>
  <si>
    <t>SG&amp;A % sales</t>
  </si>
  <si>
    <t>Bank case</t>
  </si>
  <si>
    <t>Management case</t>
  </si>
  <si>
    <t>Operating assumptions</t>
  </si>
  <si>
    <t>Sales growth rate</t>
  </si>
  <si>
    <t>COGS % sales</t>
  </si>
  <si>
    <t>Effective tax rate</t>
  </si>
  <si>
    <t>Depreciation % beginning PP&amp;E</t>
  </si>
  <si>
    <t>Amortization amount</t>
  </si>
  <si>
    <t>AR % sales</t>
  </si>
  <si>
    <t>Inventory % COGS</t>
  </si>
  <si>
    <t xml:space="preserve">LT assets amount </t>
  </si>
  <si>
    <t>AP % COGS</t>
  </si>
  <si>
    <t>LT liabilities amount</t>
  </si>
  <si>
    <t>Common dividend payout ratio</t>
  </si>
  <si>
    <t>Calculations</t>
  </si>
  <si>
    <t>Beginning PP&amp;E</t>
  </si>
  <si>
    <t>Add capex</t>
  </si>
  <si>
    <t>Subtract depreciation</t>
  </si>
  <si>
    <t>Ending PP&amp;E</t>
  </si>
  <si>
    <t>Beginning intangibles</t>
  </si>
  <si>
    <t>Subtract amortization</t>
  </si>
  <si>
    <t>Ending intangibles</t>
  </si>
  <si>
    <t>Beginning shareholder's equity</t>
  </si>
  <si>
    <t>Add net income</t>
  </si>
  <si>
    <t>Subtract common dividends</t>
  </si>
  <si>
    <t>Ending shareholder's equity</t>
  </si>
  <si>
    <t>Sales</t>
  </si>
  <si>
    <t>COGS</t>
  </si>
  <si>
    <t>SG&amp;A</t>
  </si>
  <si>
    <t>Amortization</t>
  </si>
  <si>
    <t>Cash interest expense</t>
  </si>
  <si>
    <t>PIK interest expense</t>
  </si>
  <si>
    <t>Income before tax</t>
  </si>
  <si>
    <t>Balance sheet</t>
  </si>
  <si>
    <t>Accounts receivable</t>
  </si>
  <si>
    <t>Inventories</t>
  </si>
  <si>
    <t>Other current assets</t>
  </si>
  <si>
    <t>PP&amp;E</t>
  </si>
  <si>
    <t>Intangibles</t>
  </si>
  <si>
    <t>Other LT assets</t>
  </si>
  <si>
    <t>Total assets</t>
  </si>
  <si>
    <t>Accounts payable</t>
  </si>
  <si>
    <t>Other LT liabilities</t>
  </si>
  <si>
    <t>Shareholder's equity</t>
  </si>
  <si>
    <t>Total liabilities and equity</t>
  </si>
  <si>
    <t>Balance?</t>
  </si>
  <si>
    <t>Cash flow statement</t>
  </si>
  <si>
    <t>(Inc) dec in OWC</t>
  </si>
  <si>
    <t>(Inc) dec in other LT assets</t>
  </si>
  <si>
    <t>Inc (dec) in other LT liabilities</t>
  </si>
  <si>
    <t>Operating cash flow</t>
  </si>
  <si>
    <t>(Capex)</t>
  </si>
  <si>
    <t>Investing cash flow</t>
  </si>
  <si>
    <t>Inc (dec) in revolver</t>
  </si>
  <si>
    <t>Inc (dec) in LT debt</t>
  </si>
  <si>
    <t>(Common dividends)</t>
  </si>
  <si>
    <t>Financing cash flow</t>
  </si>
  <si>
    <t>Beginning cash</t>
  </si>
  <si>
    <t>Net cash flow</t>
  </si>
  <si>
    <t>Debt</t>
  </si>
  <si>
    <t>Unitranche mandatory repayment</t>
  </si>
  <si>
    <t>Cash available before minimum cash</t>
  </si>
  <si>
    <t>Minimum cash</t>
  </si>
  <si>
    <t>Cash available for debt service</t>
  </si>
  <si>
    <t>Mandatory debt repayments</t>
  </si>
  <si>
    <t>Surplus cash / (revolver requirement)</t>
  </si>
  <si>
    <t>Beginning revolver</t>
  </si>
  <si>
    <t>Revolver issuance / (repayment)</t>
  </si>
  <si>
    <t>Ending revolver</t>
  </si>
  <si>
    <t>Cash available for accelerated repayment</t>
  </si>
  <si>
    <t>Mandatory repayment</t>
  </si>
  <si>
    <t>Accelerated repayment</t>
  </si>
  <si>
    <t>Switch</t>
  </si>
  <si>
    <t>Margin ratchet</t>
  </si>
  <si>
    <t xml:space="preserve">  </t>
  </si>
  <si>
    <t>Beginning mezzanine</t>
  </si>
  <si>
    <t>Accrued interest</t>
  </si>
  <si>
    <t>PIK Toggle</t>
  </si>
  <si>
    <t>Ending mezzanine</t>
  </si>
  <si>
    <t>Cash interest rate reduction</t>
  </si>
  <si>
    <t>Cash Interest</t>
  </si>
  <si>
    <t>PIK intertest expense</t>
  </si>
  <si>
    <t>EV</t>
  </si>
  <si>
    <t>Cash flow</t>
  </si>
  <si>
    <t>Short term debt</t>
  </si>
  <si>
    <t>Other current liabilities</t>
  </si>
  <si>
    <t>Step down target goodwill</t>
  </si>
  <si>
    <t>Target SE at book value</t>
  </si>
  <si>
    <t>Target SE at fair value</t>
  </si>
  <si>
    <t>Step down</t>
  </si>
  <si>
    <t>Other current assets amount</t>
  </si>
  <si>
    <t>Bank Case</t>
  </si>
  <si>
    <t>Other current liabilities % COGS</t>
  </si>
  <si>
    <t>Total uses</t>
  </si>
  <si>
    <t>Non recurring expense</t>
  </si>
  <si>
    <t>Non recurring expense amount</t>
  </si>
  <si>
    <t>PP&amp;E stepup</t>
  </si>
  <si>
    <t>Step up</t>
  </si>
  <si>
    <t>At entry</t>
  </si>
  <si>
    <t>At exit</t>
  </si>
  <si>
    <t>Institutions</t>
  </si>
  <si>
    <t>Management</t>
  </si>
  <si>
    <t>Ownership</t>
  </si>
  <si>
    <t>Equity value of warrants</t>
  </si>
  <si>
    <t>Value of mezzanine loan</t>
  </si>
  <si>
    <t>Mezzanine cash flows</t>
  </si>
  <si>
    <t>PE institutions</t>
  </si>
  <si>
    <t>PE institution cash flows</t>
  </si>
  <si>
    <t>Management cash flows</t>
  </si>
  <si>
    <t>Cash interest</t>
  </si>
  <si>
    <t>Mid Cap LBO Modelling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</si>
</sst>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0.0_);\(#,##0.0\);0.0_);@_)"/>
    <numFmt numFmtId="169" formatCode="#,##0.0_);\(#,##0.0\)\,0.0_);@_)"/>
    <numFmt numFmtId="170" formatCode="[$-409]d\-mmm\-yy"/>
    <numFmt numFmtId="171" formatCode="0.0%_);\(0.0%\)"/>
    <numFmt numFmtId="172" formatCode="#,##0.0\ \x_);\(#,##0.0\ \x\)"/>
    <numFmt numFmtId="173" formatCode="dd\-mmm\-yy_)"/>
    <numFmt numFmtId="174" formatCode="0.00%_);\(0.00%\)"/>
    <numFmt numFmtId="175" formatCode="[$-409]d\-mmm\-yy;@"/>
    <numFmt numFmtId="176" formatCode="#,##0.0\ \x_);\(#,##0.0\ \x\);"/>
    <numFmt numFmtId="177" formatCode="#,##0.00_);\(#,##0.00\);0.00_);@_)"/>
    <numFmt numFmtId="178" formatCode="&quot;Year &quot;0"/>
  </numFmts>
  <fonts count="54" x14ac:knownFonts="1">
    <font>
      <sz val="11"/>
      <name val="Calibri"/>
      <family val="2"/>
      <scheme val="minor"/>
    </font>
    <font>
      <sz val="20"/>
      <color theme="1"/>
      <name val="Calibri"/>
      <family val="2"/>
      <scheme val="minor"/>
    </font>
    <font>
      <sz val="20"/>
      <color theme="1"/>
      <name val="Calibri"/>
      <family val="2"/>
      <scheme val="minor"/>
    </font>
    <font>
      <sz val="11"/>
      <color theme="1"/>
      <name val="Calibri"/>
      <family val="2"/>
    </font>
    <font>
      <sz val="22"/>
      <color theme="0"/>
      <name val="Calibri"/>
      <family val="2"/>
    </font>
    <font>
      <sz val="11"/>
      <name val="Arial"/>
      <family val="2"/>
    </font>
    <font>
      <sz val="18"/>
      <color theme="0"/>
      <name val="Calibri"/>
      <family val="2"/>
    </font>
    <font>
      <sz val="11"/>
      <color rgb="FF6E6E6E"/>
      <name val="Calibri"/>
      <family val="2"/>
    </font>
    <font>
      <b/>
      <sz val="12"/>
      <color rgb="FF163260"/>
      <name val="Calibri"/>
      <family val="2"/>
    </font>
    <font>
      <sz val="10"/>
      <color rgb="FF085393"/>
      <name val="Calibri"/>
      <family val="2"/>
    </font>
    <font>
      <sz val="11"/>
      <color rgb="FF085393"/>
      <name val="Calibri"/>
      <family val="2"/>
    </font>
    <font>
      <u/>
      <sz val="11"/>
      <color theme="10"/>
      <name val="Arial"/>
      <family val="2"/>
    </font>
    <font>
      <sz val="14"/>
      <color theme="0"/>
      <name val="Calibri"/>
      <family val="2"/>
    </font>
    <font>
      <u/>
      <sz val="14"/>
      <color rgb="FF085393"/>
      <name val="Calibri"/>
      <family val="2"/>
    </font>
    <font>
      <sz val="11"/>
      <color rgb="FF0000FF"/>
      <name val="Calibri"/>
      <family val="2"/>
    </font>
    <font>
      <sz val="11"/>
      <color theme="0"/>
      <name val="Calibri"/>
      <family val="2"/>
    </font>
    <font>
      <sz val="9"/>
      <color indexed="81"/>
      <name val="Tahoma"/>
      <family val="2"/>
    </font>
    <font>
      <b/>
      <sz val="9"/>
      <color indexed="81"/>
      <name val="Tahoma"/>
      <family val="2"/>
    </font>
    <font>
      <sz val="11"/>
      <color rgb="FF0000FF"/>
      <name val="Calibri"/>
      <family val="2"/>
      <scheme val="minor"/>
    </font>
    <font>
      <sz val="11"/>
      <color theme="1"/>
      <name val="Calibri"/>
      <family val="2"/>
      <scheme val="minor"/>
    </font>
    <font>
      <sz val="20"/>
      <color rgb="FF006100"/>
      <name val="Calibri"/>
      <family val="2"/>
      <scheme val="minor"/>
    </font>
    <font>
      <sz val="20"/>
      <color rgb="FF9C0006"/>
      <name val="Calibri"/>
      <family val="2"/>
      <scheme val="minor"/>
    </font>
    <font>
      <sz val="20"/>
      <color rgb="FF9C5700"/>
      <name val="Calibri"/>
      <family val="2"/>
      <scheme val="minor"/>
    </font>
    <font>
      <b/>
      <sz val="20"/>
      <color rgb="FF3F3F3F"/>
      <name val="Calibri"/>
      <family val="2"/>
      <scheme val="minor"/>
    </font>
    <font>
      <b/>
      <sz val="20"/>
      <color rgb="FFFA7D00"/>
      <name val="Calibri"/>
      <family val="2"/>
      <scheme val="minor"/>
    </font>
    <font>
      <sz val="20"/>
      <color rgb="FFFA7D00"/>
      <name val="Calibri"/>
      <family val="2"/>
      <scheme val="minor"/>
    </font>
    <font>
      <b/>
      <sz val="20"/>
      <color theme="0"/>
      <name val="Calibri"/>
      <family val="2"/>
      <scheme val="minor"/>
    </font>
    <font>
      <sz val="20"/>
      <color rgb="FFFF0000"/>
      <name val="Calibri"/>
      <family val="2"/>
      <scheme val="minor"/>
    </font>
    <font>
      <i/>
      <sz val="20"/>
      <color rgb="FF7F7F7F"/>
      <name val="Calibri"/>
      <family val="2"/>
      <scheme val="minor"/>
    </font>
    <font>
      <sz val="11"/>
      <color theme="1" tint="0.249977111117893"/>
      <name val="Calibri"/>
      <family val="2"/>
      <scheme val="minor"/>
    </font>
    <font>
      <sz val="11"/>
      <color theme="0"/>
      <name val="Calibri"/>
      <family val="2"/>
      <scheme val="minor"/>
    </font>
    <font>
      <sz val="11"/>
      <name val="Calibri"/>
      <family val="2"/>
      <scheme val="minor"/>
    </font>
    <font>
      <sz val="9"/>
      <color theme="0"/>
      <name val="Calibri"/>
      <family val="2"/>
      <scheme val="minor"/>
    </font>
    <font>
      <u/>
      <sz val="11"/>
      <color theme="11"/>
      <name val="Calibri"/>
      <family val="2"/>
      <scheme val="minor"/>
    </font>
    <font>
      <u/>
      <sz val="11"/>
      <color theme="10"/>
      <name val="Calibri"/>
      <family val="2"/>
      <scheme val="minor"/>
    </font>
    <font>
      <sz val="22"/>
      <color theme="0"/>
      <name val="Calibri"/>
      <family val="2"/>
      <scheme val="major"/>
    </font>
    <font>
      <sz val="14"/>
      <color theme="0"/>
      <name val="Calibri"/>
      <family val="2"/>
      <scheme val="major"/>
    </font>
    <font>
      <b/>
      <sz val="12"/>
      <color rgb="FF163260"/>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20"/>
      <color theme="1"/>
      <name val="Calibri"/>
      <family val="2"/>
      <scheme val="minor"/>
    </font>
    <font>
      <sz val="20"/>
      <color theme="0"/>
      <name val="Calibri"/>
      <family val="2"/>
      <scheme val="minor"/>
    </font>
    <font>
      <b/>
      <sz val="11"/>
      <name val="Calibri"/>
      <family val="2"/>
      <scheme val="minor"/>
    </font>
    <font>
      <b/>
      <sz val="11"/>
      <color theme="1"/>
      <name val="Calibri"/>
      <family val="2"/>
    </font>
    <font>
      <sz val="12"/>
      <color rgb="FF163260"/>
      <name val="Calibri"/>
      <family val="2"/>
    </font>
    <font>
      <b/>
      <sz val="11"/>
      <color rgb="FF0000FF"/>
      <name val="Calibri"/>
      <family val="2"/>
      <scheme val="minor"/>
    </font>
    <font>
      <b/>
      <sz val="11"/>
      <color rgb="FF0000FF"/>
      <name val="Calibri"/>
      <family val="2"/>
    </font>
    <font>
      <sz val="18"/>
      <color theme="0"/>
      <name val="Calibri"/>
      <family val="2"/>
      <scheme val="minor"/>
    </font>
    <font>
      <sz val="14"/>
      <color theme="0"/>
      <name val="Calibri"/>
      <family val="2"/>
      <scheme val="minor"/>
    </font>
    <font>
      <sz val="11"/>
      <color rgb="FF085393"/>
      <name val="Calibri"/>
      <family val="2"/>
      <scheme val="minor"/>
    </font>
    <font>
      <b/>
      <sz val="11"/>
      <color rgb="FF085393"/>
      <name val="Calibri"/>
      <family val="2"/>
      <scheme val="minor"/>
    </font>
    <font>
      <sz val="11"/>
      <color theme="6"/>
      <name val="Calibri"/>
      <family val="2"/>
      <scheme val="minor"/>
    </font>
  </fonts>
  <fills count="43">
    <fill>
      <patternFill patternType="none"/>
    </fill>
    <fill>
      <patternFill patternType="gray125"/>
    </fill>
    <fill>
      <patternFill patternType="solid">
        <fgColor rgb="FF163260"/>
        <bgColor rgb="FF163260"/>
      </patternFill>
    </fill>
    <fill>
      <patternFill patternType="solid">
        <fgColor rgb="FF085393"/>
        <bgColor rgb="FF085393"/>
      </patternFill>
    </fill>
    <fill>
      <patternFill patternType="solid">
        <fgColor rgb="FFF2F2F2"/>
        <bgColor rgb="FFF2F2F2"/>
      </patternFill>
    </fill>
    <fill>
      <patternFill patternType="solid">
        <fgColor theme="0"/>
        <bgColor theme="0"/>
      </patternFill>
    </fill>
    <fill>
      <patternFill patternType="solid">
        <fgColor rgb="FFDBEEFD"/>
        <bgColor rgb="FFDBEEFD"/>
      </patternFill>
    </fill>
    <fill>
      <patternFill patternType="solid">
        <fgColor rgb="FFF0F8FE"/>
        <bgColor rgb="FFF0F8FE"/>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0" tint="-4.9989318521683403E-2"/>
        <bgColor indexed="64"/>
      </patternFill>
    </fill>
    <fill>
      <patternFill patternType="solid">
        <fgColor rgb="FF163260"/>
        <bgColor indexed="64"/>
      </patternFill>
    </fill>
    <fill>
      <patternFill patternType="solid">
        <fgColor rgb="FF085393"/>
        <bgColor indexed="64"/>
      </patternFill>
    </fill>
    <fill>
      <patternFill patternType="solid">
        <fgColor rgb="FFDBEEFD"/>
        <bgColor indexed="64"/>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0"/>
        <bgColor indexed="64"/>
      </patternFill>
    </fill>
  </fills>
  <borders count="13">
    <border>
      <left/>
      <right/>
      <top/>
      <bottom/>
      <diagonal/>
    </border>
    <border>
      <left/>
      <right/>
      <top/>
      <bottom/>
      <diagonal/>
    </border>
    <border>
      <left/>
      <right/>
      <top/>
      <bottom style="medium">
        <color rgb="FFD8D8D8"/>
      </bottom>
      <diagonal/>
    </border>
    <border>
      <left style="thin">
        <color rgb="FFBBDEFB"/>
      </left>
      <right style="thin">
        <color rgb="FFBBDEFB"/>
      </right>
      <top style="thin">
        <color rgb="FFBBDEFB"/>
      </top>
      <bottom style="thin">
        <color rgb="FFBBDEFB"/>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1">
    <xf numFmtId="168" fontId="0" fillId="0" borderId="1"/>
    <xf numFmtId="168" fontId="34" fillId="0" borderId="1" applyNumberFormat="0" applyFill="0" applyBorder="0" applyAlignment="0" applyProtection="0"/>
    <xf numFmtId="168" fontId="33" fillId="0" borderId="1" applyNumberFormat="0" applyFill="0" applyBorder="0" applyAlignment="0" applyProtection="0"/>
    <xf numFmtId="171" fontId="31" fillId="19" borderId="1" applyFont="0" applyFill="0" applyBorder="0" applyAlignment="0" applyProtection="0"/>
    <xf numFmtId="0" fontId="20" fillId="8" borderId="0" applyNumberFormat="0" applyBorder="0" applyAlignment="0" applyProtection="0"/>
    <xf numFmtId="0" fontId="21" fillId="9" borderId="0" applyNumberFormat="0" applyBorder="0" applyAlignment="0" applyProtection="0"/>
    <xf numFmtId="0" fontId="22" fillId="10" borderId="0" applyNumberFormat="0" applyBorder="0" applyAlignment="0" applyProtection="0"/>
    <xf numFmtId="176" fontId="18" fillId="21" borderId="3" applyNumberFormat="0">
      <protection locked="0"/>
    </xf>
    <xf numFmtId="0" fontId="23" fillId="11" borderId="5" applyNumberFormat="0" applyAlignment="0" applyProtection="0"/>
    <xf numFmtId="0" fontId="24" fillId="11" borderId="4" applyNumberFormat="0" applyAlignment="0" applyProtection="0"/>
    <xf numFmtId="0" fontId="25" fillId="0" borderId="6" applyNumberFormat="0" applyFill="0" applyAlignment="0" applyProtection="0"/>
    <xf numFmtId="0" fontId="26" fillId="12" borderId="7"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9" fillId="18" borderId="1" applyNumberFormat="0" applyFont="0" applyAlignment="0" applyProtection="0">
      <alignment vertical="top"/>
    </xf>
    <xf numFmtId="169" fontId="30" fillId="19" borderId="1" applyNumberFormat="0" applyBorder="0" applyProtection="0">
      <alignment horizontal="center"/>
    </xf>
    <xf numFmtId="173" fontId="31" fillId="0" borderId="1" applyFont="0" applyFill="0" applyBorder="0" applyAlignment="0" applyProtection="0"/>
    <xf numFmtId="175" fontId="32" fillId="20" borderId="1">
      <alignment horizontal="center"/>
    </xf>
    <xf numFmtId="169" fontId="18" fillId="19" borderId="1" applyNumberFormat="0" applyFill="0" applyBorder="0" applyAlignment="0" applyProtection="0"/>
    <xf numFmtId="169" fontId="30" fillId="20" borderId="1">
      <alignment horizontal="center"/>
    </xf>
    <xf numFmtId="172" fontId="19" fillId="0" borderId="1" applyFont="0" applyFill="0" applyBorder="0" applyAlignment="0" applyProtection="0"/>
    <xf numFmtId="0" fontId="35" fillId="19" borderId="1" applyNumberFormat="0">
      <alignment horizontal="left"/>
    </xf>
    <xf numFmtId="0" fontId="36" fillId="20" borderId="1" applyNumberFormat="0" applyAlignment="0">
      <alignment horizontal="left"/>
    </xf>
    <xf numFmtId="0" fontId="37" fillId="0" borderId="1" applyNumberFormat="0" applyFill="0" applyBorder="0">
      <alignment horizontal="left" vertical="center"/>
    </xf>
    <xf numFmtId="0" fontId="38" fillId="0" borderId="0" applyNumberFormat="0" applyFill="0" applyBorder="0" applyAlignment="0" applyProtection="0"/>
    <xf numFmtId="0" fontId="39" fillId="0" borderId="8" applyNumberFormat="0" applyFill="0" applyAlignment="0" applyProtection="0"/>
    <xf numFmtId="0" fontId="40" fillId="0" borderId="9"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42" fillId="0" borderId="11" applyNumberFormat="0" applyFill="0" applyAlignment="0" applyProtection="0"/>
    <xf numFmtId="0" fontId="4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3"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0" fontId="31" fillId="41" borderId="12" applyNumberFormat="0" applyFont="0" applyAlignment="0" applyProtection="0"/>
    <xf numFmtId="169" fontId="30" fillId="19" borderId="1">
      <alignment horizontal="center"/>
    </xf>
    <xf numFmtId="169" fontId="51" fillId="0" borderId="1">
      <alignment vertical="top"/>
    </xf>
  </cellStyleXfs>
  <cellXfs count="125">
    <xf numFmtId="168" fontId="0" fillId="0" borderId="1" xfId="0"/>
    <xf numFmtId="171" fontId="4" fillId="2" borderId="1" xfId="3" applyFont="1" applyFill="1" applyAlignment="1">
      <alignment horizontal="left"/>
    </xf>
    <xf numFmtId="177" fontId="18" fillId="0" borderId="1" xfId="23" applyNumberFormat="1" applyFill="1"/>
    <xf numFmtId="168" fontId="14" fillId="0" borderId="1" xfId="0" applyFont="1"/>
    <xf numFmtId="0" fontId="3" fillId="0" borderId="1" xfId="0" applyNumberFormat="1" applyFont="1"/>
    <xf numFmtId="168" fontId="7" fillId="0" borderId="1" xfId="0" applyFont="1" applyAlignment="1">
      <alignment vertical="top"/>
    </xf>
    <xf numFmtId="168" fontId="7" fillId="0" borderId="1" xfId="0" applyFont="1"/>
    <xf numFmtId="168" fontId="8" fillId="0" borderId="1" xfId="0" applyFont="1" applyAlignment="1">
      <alignment vertical="center"/>
    </xf>
    <xf numFmtId="168" fontId="9" fillId="0" borderId="1" xfId="0" applyFont="1" applyAlignment="1">
      <alignment vertical="center" wrapText="1"/>
    </xf>
    <xf numFmtId="168" fontId="7" fillId="4" borderId="2" xfId="0" applyFont="1" applyFill="1" applyBorder="1" applyAlignment="1">
      <alignment vertical="top"/>
    </xf>
    <xf numFmtId="168" fontId="10" fillId="4" borderId="2" xfId="0" applyFont="1" applyFill="1" applyBorder="1" applyAlignment="1">
      <alignment horizontal="center" vertical="top"/>
    </xf>
    <xf numFmtId="168" fontId="7" fillId="4" borderId="2" xfId="0" applyFont="1" applyFill="1" applyBorder="1"/>
    <xf numFmtId="168" fontId="9" fillId="4" borderId="2" xfId="0" applyFont="1" applyFill="1" applyBorder="1" applyAlignment="1">
      <alignment vertical="center" wrapText="1"/>
    </xf>
    <xf numFmtId="169" fontId="14" fillId="6" borderId="3" xfId="0" applyNumberFormat="1" applyFont="1" applyFill="1" applyBorder="1"/>
    <xf numFmtId="169" fontId="8" fillId="0" borderId="1" xfId="0" applyNumberFormat="1" applyFont="1" applyAlignment="1">
      <alignment horizontal="left" vertical="center"/>
    </xf>
    <xf numFmtId="168" fontId="8" fillId="0" borderId="1" xfId="0" applyFont="1" applyAlignment="1">
      <alignment horizontal="left" vertical="center"/>
    </xf>
    <xf numFmtId="168" fontId="6" fillId="0" borderId="1" xfId="0" applyFont="1" applyAlignment="1">
      <alignment vertical="center"/>
    </xf>
    <xf numFmtId="168" fontId="12" fillId="0" borderId="1" xfId="0" applyFont="1"/>
    <xf numFmtId="168" fontId="14" fillId="6" borderId="3" xfId="0" applyFont="1" applyFill="1" applyBorder="1"/>
    <xf numFmtId="168" fontId="3" fillId="0" borderId="1" xfId="0" applyFont="1"/>
    <xf numFmtId="171" fontId="14" fillId="6" borderId="3" xfId="0" applyNumberFormat="1" applyFont="1" applyFill="1" applyBorder="1"/>
    <xf numFmtId="172" fontId="14" fillId="6" borderId="3" xfId="0" applyNumberFormat="1" applyFont="1" applyFill="1" applyBorder="1"/>
    <xf numFmtId="174" fontId="14" fillId="6" borderId="3" xfId="0" applyNumberFormat="1" applyFont="1" applyFill="1" applyBorder="1"/>
    <xf numFmtId="168" fontId="18" fillId="0" borderId="1" xfId="23" applyNumberFormat="1" applyFill="1"/>
    <xf numFmtId="172" fontId="18" fillId="21" borderId="3" xfId="7" applyNumberFormat="1">
      <protection locked="0"/>
    </xf>
    <xf numFmtId="168" fontId="3" fillId="0" borderId="1" xfId="0" applyFont="1" applyAlignment="1">
      <alignment horizontal="right"/>
    </xf>
    <xf numFmtId="171" fontId="0" fillId="0" borderId="1" xfId="3" applyFont="1" applyFill="1"/>
    <xf numFmtId="172" fontId="0" fillId="0" borderId="1" xfId="25" applyFont="1"/>
    <xf numFmtId="168" fontId="4" fillId="2" borderId="1" xfId="0" applyFont="1" applyFill="1" applyAlignment="1">
      <alignment horizontal="left"/>
    </xf>
    <xf numFmtId="168" fontId="37" fillId="0" borderId="1" xfId="28" applyNumberFormat="1">
      <alignment horizontal="left" vertical="center"/>
    </xf>
    <xf numFmtId="169" fontId="15" fillId="3" borderId="1" xfId="0" applyNumberFormat="1" applyFont="1" applyFill="1" applyAlignment="1">
      <alignment horizontal="center"/>
    </xf>
    <xf numFmtId="169" fontId="7" fillId="4" borderId="1" xfId="0" applyNumberFormat="1" applyFont="1" applyFill="1" applyAlignment="1">
      <alignment horizontal="left" vertical="top"/>
    </xf>
    <xf numFmtId="169" fontId="10" fillId="4" borderId="1" xfId="0" applyNumberFormat="1" applyFont="1" applyFill="1" applyAlignment="1">
      <alignment horizontal="center" vertical="top"/>
    </xf>
    <xf numFmtId="169" fontId="7" fillId="4" borderId="1" xfId="0" applyNumberFormat="1" applyFont="1" applyFill="1"/>
    <xf numFmtId="169" fontId="9" fillId="4" borderId="1" xfId="0" applyNumberFormat="1" applyFont="1" applyFill="1" applyAlignment="1">
      <alignment vertical="center" wrapText="1"/>
    </xf>
    <xf numFmtId="169" fontId="4" fillId="2" borderId="1" xfId="0" applyNumberFormat="1" applyFont="1" applyFill="1"/>
    <xf numFmtId="168" fontId="6" fillId="2" borderId="1" xfId="0" applyFont="1" applyFill="1"/>
    <xf numFmtId="169" fontId="12" fillId="3" borderId="1" xfId="0" applyNumberFormat="1" applyFont="1" applyFill="1"/>
    <xf numFmtId="168" fontId="12" fillId="3" borderId="1" xfId="0" applyFont="1" applyFill="1"/>
    <xf numFmtId="168" fontId="7" fillId="5" borderId="1" xfId="0" applyFont="1" applyFill="1"/>
    <xf numFmtId="168" fontId="7" fillId="4" borderId="1" xfId="0" applyFont="1" applyFill="1"/>
    <xf numFmtId="168" fontId="7" fillId="4" borderId="1" xfId="0" applyFont="1" applyFill="1" applyAlignment="1">
      <alignment horizontal="left" vertical="top"/>
    </xf>
    <xf numFmtId="168" fontId="10" fillId="4" borderId="1" xfId="0" applyFont="1" applyFill="1" applyAlignment="1">
      <alignment horizontal="center" vertical="top"/>
    </xf>
    <xf numFmtId="168" fontId="3" fillId="4" borderId="1" xfId="0" applyFont="1" applyFill="1"/>
    <xf numFmtId="168" fontId="7" fillId="4" borderId="1" xfId="0" applyFont="1" applyFill="1" applyAlignment="1">
      <alignment vertical="top"/>
    </xf>
    <xf numFmtId="168" fontId="10" fillId="4" borderId="1" xfId="0" applyFont="1" applyFill="1" applyAlignment="1">
      <alignment vertical="top"/>
    </xf>
    <xf numFmtId="168" fontId="7" fillId="4" borderId="1" xfId="0" applyFont="1" applyFill="1" applyAlignment="1">
      <alignment vertical="top" wrapText="1"/>
    </xf>
    <xf numFmtId="169" fontId="7" fillId="4" borderId="1" xfId="0" applyNumberFormat="1" applyFont="1" applyFill="1" applyAlignment="1">
      <alignment vertical="top"/>
    </xf>
    <xf numFmtId="169" fontId="13" fillId="4" borderId="1" xfId="0" applyNumberFormat="1" applyFont="1" applyFill="1" applyAlignment="1">
      <alignment vertical="center" wrapText="1"/>
    </xf>
    <xf numFmtId="168" fontId="8" fillId="4" borderId="1" xfId="0" applyFont="1" applyFill="1" applyAlignment="1">
      <alignment vertical="center"/>
    </xf>
    <xf numFmtId="173" fontId="3" fillId="0" borderId="1" xfId="0" applyNumberFormat="1" applyFont="1"/>
    <xf numFmtId="171" fontId="3" fillId="0" borderId="1" xfId="0" applyNumberFormat="1" applyFont="1"/>
    <xf numFmtId="173" fontId="15" fillId="3" borderId="1" xfId="0" applyNumberFormat="1" applyFont="1" applyFill="1" applyAlignment="1">
      <alignment horizontal="center"/>
    </xf>
    <xf numFmtId="172" fontId="3" fillId="0" borderId="1" xfId="0" applyNumberFormat="1" applyFont="1"/>
    <xf numFmtId="168" fontId="3" fillId="0" borderId="1" xfId="0" applyFont="1" applyAlignment="1">
      <alignment horizontal="center"/>
    </xf>
    <xf numFmtId="172" fontId="15" fillId="3" borderId="1" xfId="0" applyNumberFormat="1" applyFont="1" applyFill="1" applyAlignment="1">
      <alignment horizontal="center"/>
    </xf>
    <xf numFmtId="171" fontId="3" fillId="0" borderId="1" xfId="0" applyNumberFormat="1" applyFont="1" applyAlignment="1">
      <alignment horizontal="right"/>
    </xf>
    <xf numFmtId="174" fontId="3" fillId="0" borderId="1" xfId="0" applyNumberFormat="1" applyFont="1"/>
    <xf numFmtId="169" fontId="15" fillId="3" borderId="1" xfId="0" applyNumberFormat="1" applyFont="1" applyFill="1" applyAlignment="1">
      <alignment horizontal="right"/>
    </xf>
    <xf numFmtId="172" fontId="3" fillId="0" borderId="1" xfId="25" applyFont="1"/>
    <xf numFmtId="169" fontId="12" fillId="3" borderId="1" xfId="0" applyNumberFormat="1" applyFont="1" applyFill="1" applyAlignment="1">
      <alignment horizontal="left" vertical="center"/>
    </xf>
    <xf numFmtId="170" fontId="14" fillId="6" borderId="1" xfId="0" applyNumberFormat="1" applyFont="1" applyFill="1"/>
    <xf numFmtId="168" fontId="3" fillId="7" borderId="1" xfId="0" applyFont="1" applyFill="1"/>
    <xf numFmtId="168" fontId="14" fillId="7" borderId="1" xfId="0" applyFont="1" applyFill="1"/>
    <xf numFmtId="168" fontId="3" fillId="6" borderId="1" xfId="0" applyFont="1" applyFill="1"/>
    <xf numFmtId="168" fontId="14" fillId="6" borderId="1" xfId="0" applyFont="1" applyFill="1"/>
    <xf numFmtId="169" fontId="3" fillId="0" borderId="1" xfId="0" applyNumberFormat="1" applyFont="1" applyAlignment="1">
      <alignment horizontal="right"/>
    </xf>
    <xf numFmtId="168" fontId="3" fillId="0" borderId="1" xfId="0" applyFont="1" applyAlignment="1">
      <alignment horizontal="right" vertical="top" wrapText="1"/>
    </xf>
    <xf numFmtId="170" fontId="3" fillId="0" borderId="1" xfId="0" applyNumberFormat="1" applyFont="1"/>
    <xf numFmtId="173" fontId="14" fillId="7" borderId="1" xfId="0" applyNumberFormat="1" applyFont="1" applyFill="1"/>
    <xf numFmtId="168" fontId="44" fillId="0" borderId="1" xfId="0" applyFont="1"/>
    <xf numFmtId="168" fontId="45" fillId="0" borderId="1" xfId="0" applyFont="1"/>
    <xf numFmtId="168" fontId="18" fillId="21" borderId="3" xfId="7" applyNumberFormat="1">
      <protection locked="0"/>
    </xf>
    <xf numFmtId="171" fontId="18" fillId="21" borderId="3" xfId="7" applyNumberFormat="1">
      <protection locked="0"/>
    </xf>
    <xf numFmtId="171" fontId="3" fillId="0" borderId="1" xfId="3" applyFont="1" applyFill="1"/>
    <xf numFmtId="171" fontId="18" fillId="0" borderId="1" xfId="3" applyFont="1" applyFill="1"/>
    <xf numFmtId="168" fontId="46" fillId="0" borderId="1" xfId="0" applyFont="1" applyAlignment="1">
      <alignment horizontal="left" vertical="center"/>
    </xf>
    <xf numFmtId="0" fontId="45" fillId="0" borderId="1" xfId="0" applyNumberFormat="1" applyFont="1"/>
    <xf numFmtId="168" fontId="47" fillId="0" borderId="1" xfId="23" applyNumberFormat="1" applyFont="1" applyFill="1"/>
    <xf numFmtId="168" fontId="48" fillId="0" borderId="1" xfId="0" applyFont="1"/>
    <xf numFmtId="171" fontId="31" fillId="0" borderId="1" xfId="3" applyFont="1" applyFill="1"/>
    <xf numFmtId="171" fontId="44" fillId="0" borderId="1" xfId="3" applyFont="1" applyFill="1"/>
    <xf numFmtId="171" fontId="18" fillId="21" borderId="3" xfId="3" applyFont="1" applyFill="1" applyBorder="1" applyProtection="1">
      <protection locked="0"/>
    </xf>
    <xf numFmtId="177" fontId="0" fillId="0" borderId="1" xfId="0" applyNumberFormat="1"/>
    <xf numFmtId="171" fontId="15" fillId="3" borderId="1" xfId="3" applyFont="1" applyFill="1" applyAlignment="1">
      <alignment horizontal="center"/>
    </xf>
    <xf numFmtId="168" fontId="49" fillId="19" borderId="1" xfId="0" applyFont="1" applyFill="1" applyAlignment="1">
      <alignment vertical="center"/>
    </xf>
    <xf numFmtId="169" fontId="30" fillId="19" borderId="1" xfId="59">
      <alignment horizontal="center"/>
    </xf>
    <xf numFmtId="169" fontId="37" fillId="20" borderId="1" xfId="28" applyNumberFormat="1" applyFill="1">
      <alignment horizontal="left" vertical="center"/>
    </xf>
    <xf numFmtId="168" fontId="50" fillId="20" borderId="1" xfId="0" applyFont="1" applyFill="1"/>
    <xf numFmtId="169" fontId="51" fillId="0" borderId="1" xfId="60">
      <alignment vertical="top"/>
    </xf>
    <xf numFmtId="168" fontId="0" fillId="0" borderId="1" xfId="0" applyAlignment="1">
      <alignment vertical="top"/>
    </xf>
    <xf numFmtId="168" fontId="37" fillId="0" borderId="1" xfId="28" applyNumberFormat="1" applyFill="1">
      <alignment horizontal="left" vertical="center"/>
    </xf>
    <xf numFmtId="171" fontId="0" fillId="0" borderId="3" xfId="3" applyFont="1" applyFill="1" applyBorder="1" applyProtection="1">
      <protection locked="0"/>
    </xf>
    <xf numFmtId="169" fontId="52" fillId="0" borderId="1" xfId="60" applyFont="1">
      <alignment vertical="top"/>
    </xf>
    <xf numFmtId="172" fontId="44" fillId="0" borderId="1" xfId="25" applyFont="1"/>
    <xf numFmtId="168" fontId="44" fillId="0" borderId="1" xfId="0" applyFont="1" applyAlignment="1">
      <alignment horizontal="right"/>
    </xf>
    <xf numFmtId="174" fontId="0" fillId="0" borderId="1" xfId="0" applyNumberFormat="1" applyAlignment="1">
      <alignment horizontal="right"/>
    </xf>
    <xf numFmtId="168" fontId="53" fillId="0" borderId="1" xfId="0" applyFont="1"/>
    <xf numFmtId="169" fontId="0" fillId="0" borderId="1" xfId="0" applyNumberFormat="1"/>
    <xf numFmtId="169" fontId="37" fillId="0" borderId="1" xfId="28" applyNumberFormat="1">
      <alignment horizontal="left" vertical="center"/>
    </xf>
    <xf numFmtId="168" fontId="0" fillId="0" borderId="1" xfId="0" applyAlignment="1">
      <alignment horizontal="right"/>
    </xf>
    <xf numFmtId="178" fontId="0" fillId="0" borderId="1" xfId="0" applyNumberFormat="1"/>
    <xf numFmtId="171" fontId="31" fillId="0" borderId="1" xfId="3" applyFill="1"/>
    <xf numFmtId="168" fontId="0" fillId="42" borderId="1" xfId="0" applyFill="1"/>
    <xf numFmtId="168" fontId="6" fillId="42" borderId="1" xfId="0" applyFont="1" applyFill="1"/>
    <xf numFmtId="168" fontId="7" fillId="42" borderId="1" xfId="0" applyFont="1" applyFill="1" applyAlignment="1">
      <alignment vertical="top"/>
    </xf>
    <xf numFmtId="168" fontId="7" fillId="42" borderId="1" xfId="0" applyFont="1" applyFill="1"/>
    <xf numFmtId="168" fontId="10" fillId="42" borderId="1" xfId="0" applyFont="1" applyFill="1" applyAlignment="1">
      <alignment horizontal="center" vertical="top"/>
    </xf>
    <xf numFmtId="169" fontId="7" fillId="42" borderId="1" xfId="0" applyNumberFormat="1" applyFont="1" applyFill="1"/>
    <xf numFmtId="169" fontId="14" fillId="42" borderId="1" xfId="0" applyNumberFormat="1" applyFont="1" applyFill="1" applyAlignment="1">
      <alignment vertical="top"/>
    </xf>
    <xf numFmtId="0" fontId="3" fillId="42" borderId="1" xfId="0" applyNumberFormat="1" applyFont="1" applyFill="1"/>
    <xf numFmtId="174" fontId="18" fillId="21" borderId="3" xfId="7" applyNumberFormat="1">
      <protection locked="0"/>
    </xf>
    <xf numFmtId="176" fontId="18" fillId="21" borderId="3" xfId="7">
      <protection locked="0"/>
    </xf>
    <xf numFmtId="0" fontId="18" fillId="21" borderId="3" xfId="7" applyNumberFormat="1">
      <protection locked="0"/>
    </xf>
    <xf numFmtId="169" fontId="18" fillId="21" borderId="3" xfId="7" applyNumberFormat="1">
      <protection locked="0"/>
    </xf>
    <xf numFmtId="169" fontId="11" fillId="4" borderId="1" xfId="0" applyNumberFormat="1" applyFont="1" applyFill="1" applyAlignment="1">
      <alignment horizontal="center" vertical="center" wrapText="1"/>
    </xf>
    <xf numFmtId="0" fontId="5" fillId="0" borderId="1" xfId="0" applyNumberFormat="1" applyFont="1"/>
    <xf numFmtId="169" fontId="4" fillId="2" borderId="1" xfId="0" applyNumberFormat="1" applyFont="1" applyFill="1" applyAlignment="1">
      <alignment horizontal="center"/>
    </xf>
    <xf numFmtId="169" fontId="4" fillId="3" borderId="1" xfId="0" applyNumberFormat="1" applyFont="1" applyFill="1" applyAlignment="1">
      <alignment horizontal="center" vertical="center"/>
    </xf>
    <xf numFmtId="169" fontId="7" fillId="4" borderId="1" xfId="0" applyNumberFormat="1" applyFont="1" applyFill="1" applyAlignment="1">
      <alignment horizontal="left" vertical="top"/>
    </xf>
    <xf numFmtId="169" fontId="3" fillId="4" borderId="1" xfId="0" applyNumberFormat="1" applyFont="1" applyFill="1" applyAlignment="1">
      <alignment horizontal="center" vertical="center" wrapText="1"/>
    </xf>
    <xf numFmtId="168" fontId="3" fillId="4" borderId="1" xfId="0" applyFont="1" applyFill="1" applyAlignment="1">
      <alignment horizontal="left"/>
    </xf>
    <xf numFmtId="168" fontId="8" fillId="4" borderId="1" xfId="0" applyFont="1" applyFill="1" applyAlignment="1">
      <alignment horizontal="left" vertical="center"/>
    </xf>
    <xf numFmtId="168" fontId="3" fillId="4" borderId="1" xfId="0" applyFont="1" applyFill="1"/>
    <xf numFmtId="170" fontId="3" fillId="4" borderId="1" xfId="0" applyNumberFormat="1" applyFont="1" applyFill="1" applyAlignment="1">
      <alignment horizontal="left"/>
    </xf>
  </cellXfs>
  <cellStyles count="61">
    <cellStyle name="20% - Accent1" xfId="14" builtinId="30" hidden="1"/>
    <cellStyle name="20% - Accent2" xfId="15" builtinId="34" hidden="1"/>
    <cellStyle name="20% - Accent3" xfId="16" builtinId="38" hidden="1"/>
    <cellStyle name="20% - Accent4" xfId="17" builtinId="42" hidden="1"/>
    <cellStyle name="20% - Accent5" xfId="18" builtinId="46" hidden="1"/>
    <cellStyle name="20% - Accent6" xfId="51" builtinId="50" hidden="1"/>
    <cellStyle name="40% - Accent1" xfId="36" builtinId="31" hidden="1"/>
    <cellStyle name="40% - Accent2" xfId="39" builtinId="35" hidden="1"/>
    <cellStyle name="40% - Accent3" xfId="42" builtinId="39" hidden="1"/>
    <cellStyle name="40% - Accent4" xfId="45" builtinId="43" hidden="1"/>
    <cellStyle name="40% - Accent5" xfId="48" builtinId="47" hidden="1"/>
    <cellStyle name="40% - Accent6" xfId="52" builtinId="51" hidden="1"/>
    <cellStyle name="60% - Accent1" xfId="37" builtinId="32" hidden="1"/>
    <cellStyle name="60% - Accent2" xfId="40" builtinId="36" hidden="1"/>
    <cellStyle name="60% - Accent3" xfId="43" builtinId="40" hidden="1"/>
    <cellStyle name="60% - Accent4" xfId="46" builtinId="44" hidden="1"/>
    <cellStyle name="60% - Accent5" xfId="49" builtinId="48" hidden="1"/>
    <cellStyle name="60% - Accent6" xfId="53" builtinId="52" hidden="1"/>
    <cellStyle name="Accent1" xfId="35" builtinId="29" hidden="1"/>
    <cellStyle name="Accent2" xfId="38" builtinId="33" hidden="1"/>
    <cellStyle name="Accent3" xfId="41" builtinId="37" hidden="1"/>
    <cellStyle name="Accent4" xfId="44" builtinId="41" hidden="1"/>
    <cellStyle name="Accent5" xfId="47" builtinId="45" hidden="1"/>
    <cellStyle name="Accent6" xfId="50" builtinId="49" hidden="1"/>
    <cellStyle name="Background Fill" xfId="19" xr:uid="{D191FE50-09C8-424C-B523-D5D33B56345E}"/>
    <cellStyle name="Bad" xfId="5" builtinId="27" hidden="1"/>
    <cellStyle name="Calculation" xfId="9" builtinId="22" hidden="1"/>
    <cellStyle name="Check Cell" xfId="11" builtinId="23" hidden="1"/>
    <cellStyle name="Column Heading" xfId="20" xr:uid="{8CE03F7A-D579-4116-BD76-5386275F696F}"/>
    <cellStyle name="Comma" xfId="54" builtinId="3" hidden="1"/>
    <cellStyle name="Comma [0]" xfId="55" builtinId="6" hidden="1"/>
    <cellStyle name="Currency" xfId="56" builtinId="4" hidden="1"/>
    <cellStyle name="Currency [0]" xfId="57" builtinId="7" hidden="1"/>
    <cellStyle name="Date" xfId="21" xr:uid="{FA95EFB7-623E-4156-84B8-31B8752CCC36}"/>
    <cellStyle name="Date Heading" xfId="22" xr:uid="{44984087-7F5A-4DE4-9F41-09BCF05F1D03}"/>
    <cellStyle name="Explanatory Text" xfId="13" builtinId="53" hidden="1"/>
    <cellStyle name="Followed Hyperlink" xfId="2" builtinId="9" hidden="1" customBuiltin="1"/>
    <cellStyle name="Good" xfId="4" builtinId="26" hidden="1"/>
    <cellStyle name="Hard Coded Number" xfId="23" xr:uid="{82755E70-246C-4CB7-9303-88EF5B451766}"/>
    <cellStyle name="Heading" xfId="24" xr:uid="{C8A98528-CED2-4D7C-97E6-776B729BE0F9}"/>
    <cellStyle name="Heading 1" xfId="30" builtinId="16" hidden="1"/>
    <cellStyle name="Heading 2" xfId="31" builtinId="17" hidden="1"/>
    <cellStyle name="Heading 3" xfId="32" builtinId="18" hidden="1"/>
    <cellStyle name="Heading 4" xfId="33" builtinId="19" hidden="1"/>
    <cellStyle name="Hist Proj Title" xfId="59" xr:uid="{DFC5EFCA-716F-4813-9A41-A0F24135A354}"/>
    <cellStyle name="Hyperlink" xfId="1" builtinId="8" hidden="1" customBuiltin="1"/>
    <cellStyle name="Input" xfId="7" builtinId="20" customBuiltin="1"/>
    <cellStyle name="Linked Cell" xfId="10" builtinId="24" hidden="1"/>
    <cellStyle name="Multiple" xfId="25" xr:uid="{7924ABA2-E6A2-45F9-B328-713CA1055226}"/>
    <cellStyle name="Neutral" xfId="6" builtinId="28" hidden="1"/>
    <cellStyle name="Normal" xfId="0" builtinId="0" customBuiltin="1"/>
    <cellStyle name="Note" xfId="58" builtinId="10" hidden="1"/>
    <cellStyle name="Output" xfId="8" builtinId="21" hidden="1"/>
    <cellStyle name="Percent" xfId="3" builtinId="5" customBuiltin="1"/>
    <cellStyle name="Primary Title" xfId="26" xr:uid="{6B18F1F5-1555-429C-AD8E-4077B9A3BD34}"/>
    <cellStyle name="Row Label" xfId="60" xr:uid="{15ADA6BB-7217-4F3E-B336-ECBC9AB26801}"/>
    <cellStyle name="Secondary Title" xfId="27" xr:uid="{85E7E940-8AA6-49D5-9D0B-C04186ADEBA4}"/>
    <cellStyle name="Tertiary Title" xfId="28" xr:uid="{E083078C-9C44-412C-A3EE-BC4704FC53AB}"/>
    <cellStyle name="Title" xfId="29" builtinId="15" hidden="1"/>
    <cellStyle name="Total" xfId="34" builtinId="25" hidden="1"/>
    <cellStyle name="Warning Text" xfId="12" builtinId="11" hidden="1"/>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19050</xdr:colOff>
      <xdr:row>0</xdr:row>
      <xdr:rowOff>1019175</xdr:rowOff>
    </xdr:from>
    <xdr:ext cx="3590925" cy="5238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15</xdr:col>
      <xdr:colOff>1914514</xdr:colOff>
      <xdr:row>0</xdr:row>
      <xdr:rowOff>114300</xdr:rowOff>
    </xdr:from>
    <xdr:ext cx="352425" cy="34290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843827" y="114300"/>
          <a:ext cx="352425" cy="3429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F3F3F"/>
      </a:dk1>
      <a:lt1>
        <a:srgbClr val="FFFFFF"/>
      </a:lt1>
      <a:dk2>
        <a:srgbClr val="3F3F3F"/>
      </a:dk2>
      <a:lt2>
        <a:srgbClr val="FFFFFF"/>
      </a:lt2>
      <a:accent1>
        <a:srgbClr val="085393"/>
      </a:accent1>
      <a:accent2>
        <a:srgbClr val="8064A2"/>
      </a:accent2>
      <a:accent3>
        <a:srgbClr val="C0504D"/>
      </a:accent3>
      <a:accent4>
        <a:srgbClr val="ED7D31"/>
      </a:accent4>
      <a:accent5>
        <a:srgbClr val="FFC000"/>
      </a:accent5>
      <a:accent6>
        <a:srgbClr val="70AD47"/>
      </a:accent6>
      <a:hlink>
        <a:srgbClr val="085393"/>
      </a:hlink>
      <a:folHlink>
        <a:srgbClr val="08539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e.train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
  <sheetViews>
    <sheetView tabSelected="1" workbookViewId="0">
      <selection sqref="A1:N1"/>
    </sheetView>
  </sheetViews>
  <sheetFormatPr defaultColWidth="12.59765625" defaultRowHeight="15" customHeight="1" x14ac:dyDescent="0.45"/>
  <cols>
    <col min="1" max="1" width="8.59765625" style="103" customWidth="1"/>
    <col min="2" max="13" width="8" style="103" customWidth="1"/>
    <col min="14" max="14" width="8.59765625" style="103" customWidth="1"/>
    <col min="15" max="26" width="8" style="103" customWidth="1"/>
    <col min="27" max="16384" width="12.59765625" style="103"/>
  </cols>
  <sheetData>
    <row r="1" spans="1:26" ht="189.75" customHeight="1" x14ac:dyDescent="0.85">
      <c r="A1" s="117"/>
      <c r="B1" s="116"/>
      <c r="C1" s="116"/>
      <c r="D1" s="116"/>
      <c r="E1" s="116"/>
      <c r="F1" s="116"/>
      <c r="G1" s="116"/>
      <c r="H1" s="116"/>
      <c r="I1" s="116"/>
      <c r="J1" s="116"/>
      <c r="K1" s="116"/>
      <c r="L1" s="116"/>
      <c r="M1" s="116"/>
      <c r="N1" s="116"/>
      <c r="V1" s="104"/>
      <c r="W1" s="104"/>
      <c r="X1" s="104"/>
      <c r="Y1" s="104"/>
      <c r="Z1" s="104"/>
    </row>
    <row r="2" spans="1:26" ht="75" customHeight="1" x14ac:dyDescent="0.45">
      <c r="A2" s="118" t="s">
        <v>321</v>
      </c>
      <c r="B2" s="116"/>
      <c r="C2" s="116"/>
      <c r="D2" s="116"/>
      <c r="E2" s="116"/>
      <c r="F2" s="116"/>
      <c r="G2" s="116"/>
      <c r="H2" s="116"/>
      <c r="I2" s="116"/>
      <c r="J2" s="116"/>
      <c r="K2" s="116"/>
      <c r="L2" s="116"/>
      <c r="M2" s="116"/>
      <c r="N2" s="116"/>
      <c r="V2" s="105"/>
      <c r="W2" s="105"/>
      <c r="X2" s="105"/>
      <c r="Y2" s="105"/>
      <c r="Z2" s="105"/>
    </row>
    <row r="3" spans="1:26" ht="7.5" customHeight="1" x14ac:dyDescent="0.45">
      <c r="A3" s="6"/>
      <c r="B3" s="7"/>
      <c r="C3" s="7"/>
      <c r="D3" s="6"/>
      <c r="E3" s="6"/>
      <c r="F3" s="8"/>
      <c r="G3" s="8"/>
      <c r="H3" s="8"/>
      <c r="I3" s="8"/>
      <c r="J3" s="8"/>
      <c r="K3" s="8"/>
      <c r="L3" s="6"/>
      <c r="M3" s="6"/>
      <c r="N3" s="6"/>
      <c r="V3" s="106"/>
      <c r="W3" s="106"/>
      <c r="X3" s="106"/>
      <c r="Y3" s="106"/>
      <c r="Z3" s="106"/>
    </row>
    <row r="4" spans="1:26" ht="15" customHeight="1" x14ac:dyDescent="0.45">
      <c r="A4" s="31"/>
      <c r="B4" s="32"/>
      <c r="C4" s="119"/>
      <c r="D4" s="116"/>
      <c r="E4" s="33"/>
      <c r="F4" s="34"/>
      <c r="G4" s="34"/>
      <c r="H4" s="34"/>
      <c r="I4" s="34"/>
      <c r="J4" s="34"/>
      <c r="K4" s="34"/>
      <c r="L4" s="33"/>
      <c r="M4" s="33"/>
      <c r="N4" s="33"/>
      <c r="V4" s="106"/>
      <c r="W4" s="106"/>
      <c r="X4" s="106"/>
      <c r="Y4" s="106"/>
      <c r="Z4" s="106"/>
    </row>
    <row r="5" spans="1:26" ht="15" customHeight="1" x14ac:dyDescent="0.45">
      <c r="A5" s="120" t="s">
        <v>0</v>
      </c>
      <c r="B5" s="116"/>
      <c r="C5" s="116"/>
      <c r="D5" s="116"/>
      <c r="E5" s="116"/>
      <c r="F5" s="116"/>
      <c r="G5" s="116"/>
      <c r="H5" s="116"/>
      <c r="I5" s="116"/>
      <c r="J5" s="116"/>
      <c r="K5" s="116"/>
      <c r="L5" s="116"/>
      <c r="M5" s="116"/>
      <c r="N5" s="116"/>
      <c r="V5" s="106"/>
      <c r="W5" s="106"/>
      <c r="X5" s="106"/>
      <c r="Y5" s="106"/>
      <c r="Z5" s="106"/>
    </row>
    <row r="6" spans="1:26" ht="15" customHeight="1" x14ac:dyDescent="0.45">
      <c r="A6" s="116"/>
      <c r="B6" s="116"/>
      <c r="C6" s="116"/>
      <c r="D6" s="116"/>
      <c r="E6" s="116"/>
      <c r="F6" s="116"/>
      <c r="G6" s="116"/>
      <c r="H6" s="116"/>
      <c r="I6" s="116"/>
      <c r="J6" s="116"/>
      <c r="K6" s="116"/>
      <c r="L6" s="116"/>
      <c r="M6" s="116"/>
      <c r="N6" s="116"/>
      <c r="V6" s="106"/>
      <c r="W6" s="106"/>
      <c r="X6" s="106"/>
      <c r="Y6" s="106"/>
      <c r="Z6" s="106"/>
    </row>
    <row r="7" spans="1:26" ht="15" customHeight="1" x14ac:dyDescent="0.45">
      <c r="A7" s="120" t="str">
        <f ca="1">"© "&amp;YEAR(TODAY())&amp;" Financial Edge Training"</f>
        <v>© 2026 Financial Edge Training</v>
      </c>
      <c r="B7" s="116"/>
      <c r="C7" s="116"/>
      <c r="D7" s="116"/>
      <c r="E7" s="116"/>
      <c r="F7" s="116"/>
      <c r="G7" s="116"/>
      <c r="H7" s="116"/>
      <c r="I7" s="116"/>
      <c r="J7" s="116"/>
      <c r="K7" s="116"/>
      <c r="L7" s="116"/>
      <c r="M7" s="116"/>
      <c r="N7" s="116"/>
      <c r="V7" s="106"/>
      <c r="W7" s="106"/>
      <c r="X7" s="106"/>
      <c r="Y7" s="106"/>
      <c r="Z7" s="106"/>
    </row>
    <row r="8" spans="1:26" ht="15" customHeight="1" x14ac:dyDescent="0.45">
      <c r="A8" s="115" t="s">
        <v>1</v>
      </c>
      <c r="B8" s="116"/>
      <c r="C8" s="116"/>
      <c r="D8" s="116"/>
      <c r="E8" s="116"/>
      <c r="F8" s="116"/>
      <c r="G8" s="116"/>
      <c r="H8" s="116"/>
      <c r="I8" s="116"/>
      <c r="J8" s="116"/>
      <c r="K8" s="116"/>
      <c r="L8" s="116"/>
      <c r="M8" s="116"/>
      <c r="N8" s="116"/>
      <c r="V8" s="106"/>
      <c r="W8" s="106"/>
      <c r="X8" s="106"/>
      <c r="Y8" s="106"/>
      <c r="Z8" s="106"/>
    </row>
    <row r="9" spans="1:26" ht="15" customHeight="1" x14ac:dyDescent="0.45">
      <c r="A9" s="9"/>
      <c r="B9" s="10"/>
      <c r="C9" s="9"/>
      <c r="D9" s="9"/>
      <c r="E9" s="11"/>
      <c r="F9" s="12"/>
      <c r="G9" s="12"/>
      <c r="H9" s="12"/>
      <c r="I9" s="12"/>
      <c r="J9" s="12"/>
      <c r="K9" s="12"/>
      <c r="L9" s="11"/>
      <c r="M9" s="11"/>
      <c r="N9" s="11"/>
      <c r="V9" s="106"/>
      <c r="W9" s="106"/>
      <c r="X9" s="106"/>
      <c r="Y9" s="106"/>
      <c r="Z9" s="106"/>
    </row>
  </sheetData>
  <mergeCells count="6">
    <mergeCell ref="A8:N8"/>
    <mergeCell ref="A1:N1"/>
    <mergeCell ref="A2:N2"/>
    <mergeCell ref="C4:D4"/>
    <mergeCell ref="A5:N6"/>
    <mergeCell ref="A7:N7"/>
  </mergeCells>
  <hyperlinks>
    <hyperlink ref="A8" r:id="rId1" xr:uid="{00000000-0004-0000-0100-000000000000}"/>
  </hyperlinks>
  <pageMargins left="0.7" right="0.7" top="0.75" bottom="0.75" header="0" footer="0"/>
  <pageSetup paperSize="9" scale="98" orientation="landscape" r:id="rId2"/>
  <headerFooter>
    <oddHeader>&amp;R&amp;F  &amp;A</oddHeader>
    <oddFooter>&amp;L© 2019&amp;CPage &amp;P of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00"/>
  <sheetViews>
    <sheetView workbookViewId="0"/>
  </sheetViews>
  <sheetFormatPr defaultColWidth="12.59765625" defaultRowHeight="15" customHeight="1" x14ac:dyDescent="0.45"/>
  <cols>
    <col min="1" max="1" width="1.1328125" style="103" customWidth="1"/>
    <col min="2" max="2" width="2.59765625" style="103" customWidth="1"/>
    <col min="3" max="3" width="11.59765625" style="103" customWidth="1"/>
    <col min="4" max="4" width="2.59765625" style="103" customWidth="1"/>
    <col min="5" max="7" width="1.1328125" style="103" customWidth="1"/>
    <col min="8" max="8" width="2.59765625" style="103" customWidth="1"/>
    <col min="9" max="9" width="37.59765625" style="103" customWidth="1"/>
    <col min="10" max="11" width="1.1328125" style="103" customWidth="1"/>
    <col min="12" max="12" width="13.59765625" style="103" customWidth="1"/>
    <col min="13" max="14" width="1.1328125" style="103" customWidth="1"/>
    <col min="15" max="15" width="2.59765625" style="103" customWidth="1"/>
    <col min="16" max="16" width="28.59765625" style="103" customWidth="1"/>
    <col min="17" max="17" width="2.59765625" style="103" customWidth="1"/>
    <col min="18" max="18" width="1.1328125" style="103" customWidth="1"/>
    <col min="19" max="36" width="8" style="103" customWidth="1"/>
    <col min="37" max="16384" width="12.59765625" style="103"/>
  </cols>
  <sheetData>
    <row r="1" spans="1:36" ht="45" customHeight="1" x14ac:dyDescent="0.85">
      <c r="A1" s="35" t="str">
        <f>Welcome!A2</f>
        <v>Mid Cap LBO Modelling</v>
      </c>
      <c r="B1" s="35"/>
      <c r="C1" s="35"/>
      <c r="D1" s="35"/>
      <c r="E1" s="35"/>
      <c r="F1" s="35"/>
      <c r="G1" s="35"/>
      <c r="H1" s="35"/>
      <c r="I1" s="35"/>
      <c r="J1" s="36"/>
      <c r="K1" s="36"/>
      <c r="L1" s="36"/>
      <c r="M1" s="36"/>
      <c r="N1" s="36"/>
      <c r="O1" s="36"/>
      <c r="P1" s="36"/>
      <c r="Q1" s="36"/>
      <c r="R1" s="36"/>
    </row>
    <row r="2" spans="1:36" ht="30" customHeight="1" x14ac:dyDescent="0.55000000000000004">
      <c r="A2" s="37" t="s">
        <v>2</v>
      </c>
      <c r="B2" s="37"/>
      <c r="C2" s="37"/>
      <c r="D2" s="37"/>
      <c r="E2" s="37"/>
      <c r="F2" s="37"/>
      <c r="G2" s="37"/>
      <c r="H2" s="37"/>
      <c r="I2" s="37"/>
      <c r="J2" s="38"/>
      <c r="K2" s="38"/>
      <c r="L2" s="38"/>
      <c r="M2" s="38"/>
      <c r="N2" s="38"/>
      <c r="O2" s="38"/>
      <c r="P2" s="38"/>
      <c r="Q2" s="38"/>
      <c r="R2" s="38"/>
    </row>
    <row r="3" spans="1:36" ht="7.5" customHeight="1" x14ac:dyDescent="0.45">
      <c r="A3" s="39"/>
      <c r="B3" s="39"/>
      <c r="C3" s="39"/>
      <c r="D3" s="39"/>
      <c r="E3" s="39"/>
      <c r="F3" s="39"/>
      <c r="G3" s="39"/>
      <c r="H3" s="39"/>
      <c r="I3" s="39"/>
      <c r="J3" s="39"/>
      <c r="K3" s="39"/>
      <c r="L3" s="39"/>
      <c r="M3" s="39"/>
      <c r="N3" s="39"/>
      <c r="O3" s="39"/>
      <c r="P3" s="39"/>
      <c r="Q3" s="39"/>
      <c r="R3" s="39"/>
      <c r="Y3" s="39"/>
      <c r="Z3" s="39"/>
      <c r="AA3" s="39"/>
      <c r="AB3" s="39"/>
      <c r="AC3" s="39"/>
      <c r="AD3" s="39"/>
      <c r="AE3" s="39"/>
      <c r="AF3" s="39"/>
      <c r="AG3" s="39"/>
      <c r="AH3" s="39"/>
      <c r="AI3" s="39"/>
      <c r="AJ3" s="39"/>
    </row>
    <row r="4" spans="1:36" ht="22.5" customHeight="1" x14ac:dyDescent="0.45">
      <c r="A4" s="40"/>
      <c r="B4" s="122" t="s">
        <v>3</v>
      </c>
      <c r="C4" s="116"/>
      <c r="D4" s="116"/>
      <c r="E4" s="116"/>
      <c r="F4" s="116"/>
      <c r="G4" s="116"/>
      <c r="H4" s="116"/>
      <c r="I4" s="116"/>
      <c r="J4" s="39"/>
      <c r="K4" s="40"/>
      <c r="L4" s="122" t="s">
        <v>4</v>
      </c>
      <c r="M4" s="116"/>
      <c r="N4" s="116"/>
      <c r="O4" s="116"/>
      <c r="P4" s="116"/>
      <c r="Q4" s="34"/>
      <c r="R4" s="34"/>
      <c r="Y4" s="39"/>
      <c r="Z4" s="39"/>
      <c r="AA4" s="39"/>
      <c r="AB4" s="39"/>
      <c r="AC4" s="39"/>
      <c r="AD4" s="39"/>
      <c r="AE4" s="39"/>
      <c r="AF4" s="39"/>
      <c r="AG4" s="39"/>
      <c r="AH4" s="39"/>
      <c r="AI4" s="39"/>
      <c r="AJ4" s="39"/>
    </row>
    <row r="5" spans="1:36" ht="15" customHeight="1" x14ac:dyDescent="0.45">
      <c r="A5" s="41"/>
      <c r="B5" s="42" t="s">
        <v>5</v>
      </c>
      <c r="C5" s="43" t="s">
        <v>10</v>
      </c>
      <c r="D5" s="44"/>
      <c r="E5" s="44"/>
      <c r="F5" s="44"/>
      <c r="G5" s="44"/>
      <c r="H5" s="44"/>
      <c r="I5" s="44"/>
      <c r="J5" s="39"/>
      <c r="K5" s="40"/>
      <c r="L5" s="45" t="s">
        <v>6</v>
      </c>
      <c r="M5" s="45"/>
      <c r="N5" s="123"/>
      <c r="O5" s="116"/>
      <c r="P5" s="116"/>
      <c r="Q5" s="116"/>
      <c r="R5" s="34"/>
      <c r="Y5" s="39"/>
      <c r="Z5" s="39"/>
      <c r="AA5" s="39"/>
      <c r="AB5" s="39"/>
      <c r="AC5" s="39"/>
      <c r="AD5" s="39"/>
      <c r="AE5" s="39"/>
      <c r="AF5" s="39"/>
      <c r="AG5" s="39"/>
      <c r="AH5" s="39"/>
      <c r="AI5" s="39"/>
      <c r="AJ5" s="39"/>
    </row>
    <row r="6" spans="1:36" ht="15" customHeight="1" x14ac:dyDescent="0.45">
      <c r="A6" s="46"/>
      <c r="B6" s="42"/>
      <c r="C6" s="43"/>
      <c r="D6" s="44"/>
      <c r="E6" s="44"/>
      <c r="F6" s="44"/>
      <c r="G6" s="44"/>
      <c r="H6" s="44"/>
      <c r="I6" s="44"/>
      <c r="J6" s="39"/>
      <c r="K6" s="41"/>
      <c r="L6" s="45" t="s">
        <v>7</v>
      </c>
      <c r="M6" s="45"/>
      <c r="N6" s="124"/>
      <c r="O6" s="116"/>
      <c r="P6" s="116"/>
      <c r="Q6" s="116"/>
      <c r="R6" s="34"/>
      <c r="Y6" s="39"/>
      <c r="Z6" s="39"/>
      <c r="AA6" s="39"/>
      <c r="AB6" s="39"/>
      <c r="AC6" s="39"/>
      <c r="AD6" s="39"/>
      <c r="AE6" s="39"/>
      <c r="AF6" s="39"/>
      <c r="AG6" s="39"/>
      <c r="AH6" s="39"/>
      <c r="AI6" s="39"/>
      <c r="AJ6" s="39"/>
    </row>
    <row r="7" spans="1:36" ht="15" customHeight="1" x14ac:dyDescent="0.45">
      <c r="A7" s="44"/>
      <c r="B7" s="42"/>
      <c r="C7" s="43"/>
      <c r="D7" s="44"/>
      <c r="E7" s="44"/>
      <c r="F7" s="44"/>
      <c r="G7" s="44"/>
      <c r="H7" s="44"/>
      <c r="I7" s="44"/>
      <c r="J7" s="39"/>
      <c r="K7" s="46"/>
      <c r="L7" s="45" t="s">
        <v>8</v>
      </c>
      <c r="M7" s="45"/>
      <c r="N7" s="123"/>
      <c r="O7" s="116"/>
      <c r="P7" s="116"/>
      <c r="Q7" s="116"/>
      <c r="R7" s="34"/>
      <c r="Y7" s="39"/>
      <c r="Z7" s="39"/>
      <c r="AA7" s="39"/>
      <c r="AB7" s="39"/>
      <c r="AC7" s="39"/>
      <c r="AD7" s="39"/>
      <c r="AE7" s="39"/>
      <c r="AF7" s="39"/>
      <c r="AG7" s="39"/>
      <c r="AH7" s="39"/>
      <c r="AI7" s="39"/>
      <c r="AJ7" s="39"/>
    </row>
    <row r="8" spans="1:36" ht="15" customHeight="1" x14ac:dyDescent="0.45">
      <c r="A8" s="44"/>
      <c r="B8" s="42"/>
      <c r="C8" s="43"/>
      <c r="D8" s="44"/>
      <c r="E8" s="44"/>
      <c r="F8" s="44"/>
      <c r="G8" s="44"/>
      <c r="H8" s="44"/>
      <c r="I8" s="44"/>
      <c r="J8" s="39"/>
      <c r="K8" s="44"/>
      <c r="L8" s="45" t="s">
        <v>9</v>
      </c>
      <c r="M8" s="45"/>
      <c r="N8" s="123"/>
      <c r="O8" s="116"/>
      <c r="P8" s="116"/>
      <c r="Q8" s="116"/>
      <c r="R8" s="34"/>
      <c r="Y8" s="39"/>
      <c r="Z8" s="39"/>
      <c r="AA8" s="39"/>
      <c r="AB8" s="39"/>
      <c r="AC8" s="39"/>
      <c r="AD8" s="39"/>
      <c r="AE8" s="39"/>
      <c r="AF8" s="39"/>
      <c r="AG8" s="39"/>
      <c r="AH8" s="39"/>
      <c r="AI8" s="39"/>
      <c r="AJ8" s="39"/>
    </row>
    <row r="9" spans="1:36" ht="15" customHeight="1" x14ac:dyDescent="0.45">
      <c r="A9" s="47"/>
      <c r="B9" s="42"/>
      <c r="C9" s="43"/>
      <c r="D9" s="47"/>
      <c r="E9" s="47"/>
      <c r="F9" s="47"/>
      <c r="G9" s="47"/>
      <c r="H9" s="47"/>
      <c r="I9" s="47"/>
      <c r="J9" s="39"/>
      <c r="K9" s="44"/>
      <c r="L9" s="45" t="s">
        <v>11</v>
      </c>
      <c r="M9" s="45"/>
      <c r="N9" s="123" t="s">
        <v>12</v>
      </c>
      <c r="O9" s="116"/>
      <c r="P9" s="116"/>
      <c r="Q9" s="116"/>
      <c r="R9" s="34"/>
      <c r="Y9" s="39"/>
      <c r="Z9" s="39"/>
      <c r="AA9" s="39"/>
      <c r="AB9" s="39"/>
      <c r="AC9" s="39"/>
      <c r="AD9" s="39"/>
      <c r="AE9" s="39"/>
      <c r="AF9" s="39"/>
      <c r="AG9" s="39"/>
      <c r="AH9" s="39"/>
      <c r="AI9" s="39"/>
      <c r="AJ9" s="39"/>
    </row>
    <row r="10" spans="1:36" ht="15" customHeight="1" x14ac:dyDescent="0.45">
      <c r="A10" s="33"/>
      <c r="B10" s="33"/>
      <c r="C10" s="33"/>
      <c r="D10" s="33"/>
      <c r="E10" s="33"/>
      <c r="F10" s="33"/>
      <c r="G10" s="33"/>
      <c r="H10" s="33"/>
      <c r="I10" s="33"/>
      <c r="J10" s="39"/>
      <c r="K10" s="44"/>
      <c r="L10" s="45" t="s">
        <v>13</v>
      </c>
      <c r="M10" s="45"/>
      <c r="N10" s="121">
        <v>0</v>
      </c>
      <c r="O10" s="116"/>
      <c r="P10" s="116"/>
      <c r="Q10" s="116"/>
      <c r="R10" s="48"/>
      <c r="Y10" s="39"/>
      <c r="Z10" s="39"/>
      <c r="AA10" s="39"/>
      <c r="AB10" s="39"/>
      <c r="AC10" s="39"/>
      <c r="AD10" s="39"/>
      <c r="AE10" s="39"/>
      <c r="AF10" s="39"/>
      <c r="AG10" s="39"/>
      <c r="AH10" s="39"/>
      <c r="AI10" s="39"/>
      <c r="AJ10" s="39"/>
    </row>
    <row r="11" spans="1:36" ht="15" customHeight="1" x14ac:dyDescent="0.45">
      <c r="A11" s="9"/>
      <c r="B11" s="9"/>
      <c r="C11" s="9"/>
      <c r="D11" s="9"/>
      <c r="E11" s="9"/>
      <c r="F11" s="9"/>
      <c r="G11" s="9"/>
      <c r="H11" s="9"/>
      <c r="I11" s="9"/>
      <c r="J11" s="39"/>
      <c r="K11" s="9"/>
      <c r="L11" s="9"/>
      <c r="M11" s="9"/>
      <c r="N11" s="9"/>
      <c r="O11" s="9"/>
      <c r="P11" s="9"/>
      <c r="Q11" s="9"/>
      <c r="R11" s="9"/>
      <c r="Y11" s="39"/>
      <c r="Z11" s="39"/>
      <c r="AA11" s="39"/>
      <c r="AB11" s="39"/>
      <c r="AC11" s="39"/>
      <c r="AD11" s="39"/>
      <c r="AE11" s="39"/>
      <c r="AF11" s="39"/>
      <c r="AG11" s="39"/>
      <c r="AH11" s="39"/>
      <c r="AI11" s="39"/>
      <c r="AJ11" s="39"/>
    </row>
    <row r="12" spans="1:36" ht="7.5" customHeight="1" x14ac:dyDescent="0.45">
      <c r="A12" s="39"/>
      <c r="B12" s="39"/>
      <c r="C12" s="39"/>
      <c r="D12" s="39"/>
      <c r="E12" s="39"/>
      <c r="F12" s="39"/>
      <c r="G12" s="39"/>
      <c r="H12" s="39"/>
      <c r="I12" s="39"/>
      <c r="J12" s="39"/>
      <c r="K12" s="8"/>
      <c r="L12" s="8"/>
      <c r="M12" s="8"/>
      <c r="N12" s="8"/>
      <c r="O12" s="8"/>
      <c r="P12" s="8"/>
      <c r="Q12" s="8"/>
      <c r="R12" s="8"/>
      <c r="Y12" s="39"/>
      <c r="Z12" s="39"/>
      <c r="AA12" s="39"/>
      <c r="AB12" s="39"/>
      <c r="AC12" s="39"/>
      <c r="AD12" s="39"/>
      <c r="AE12" s="39"/>
      <c r="AF12" s="39"/>
      <c r="AG12" s="39"/>
      <c r="AH12" s="39"/>
      <c r="AI12" s="39"/>
      <c r="AJ12" s="39"/>
    </row>
    <row r="13" spans="1:36" ht="22.5" customHeight="1" x14ac:dyDescent="0.45">
      <c r="A13" s="43"/>
      <c r="B13" s="122" t="s">
        <v>14</v>
      </c>
      <c r="C13" s="116"/>
      <c r="D13" s="116"/>
      <c r="E13" s="116"/>
      <c r="F13" s="116"/>
      <c r="G13" s="116"/>
      <c r="H13" s="116"/>
      <c r="I13" s="116"/>
      <c r="J13" s="116"/>
      <c r="K13" s="116"/>
      <c r="L13" s="116"/>
      <c r="M13" s="39"/>
      <c r="N13" s="40"/>
      <c r="O13" s="122" t="s">
        <v>15</v>
      </c>
      <c r="P13" s="116"/>
      <c r="Q13" s="116"/>
      <c r="R13" s="49"/>
      <c r="Y13" s="39"/>
      <c r="Z13" s="39"/>
      <c r="AA13" s="39"/>
      <c r="AB13" s="39"/>
      <c r="AC13" s="39"/>
      <c r="AD13" s="39"/>
      <c r="AE13" s="39"/>
      <c r="AF13" s="39"/>
      <c r="AG13" s="39"/>
      <c r="AH13" s="39"/>
      <c r="AI13" s="39"/>
      <c r="AJ13" s="39"/>
    </row>
    <row r="14" spans="1:36" ht="15" customHeight="1" x14ac:dyDescent="0.45">
      <c r="A14" s="44"/>
      <c r="B14" s="121"/>
      <c r="C14" s="116"/>
      <c r="D14" s="121"/>
      <c r="E14" s="116"/>
      <c r="F14" s="116"/>
      <c r="G14" s="116"/>
      <c r="H14" s="116"/>
      <c r="I14" s="116"/>
      <c r="J14" s="116"/>
      <c r="K14" s="116"/>
      <c r="L14" s="116"/>
      <c r="M14" s="39"/>
      <c r="N14" s="41"/>
      <c r="O14" s="107"/>
      <c r="P14" s="105"/>
      <c r="Q14" s="105"/>
      <c r="R14" s="44"/>
      <c r="Y14" s="39"/>
      <c r="Z14" s="39"/>
      <c r="AA14" s="39"/>
      <c r="AB14" s="39"/>
      <c r="AC14" s="39"/>
      <c r="AD14" s="39"/>
      <c r="AE14" s="39"/>
      <c r="AF14" s="39"/>
      <c r="AG14" s="39"/>
      <c r="AH14" s="39"/>
      <c r="AI14" s="39"/>
      <c r="AJ14" s="39"/>
    </row>
    <row r="15" spans="1:36" ht="15" customHeight="1" x14ac:dyDescent="0.45">
      <c r="A15" s="44"/>
      <c r="B15" s="121"/>
      <c r="C15" s="116"/>
      <c r="D15" s="121"/>
      <c r="E15" s="116"/>
      <c r="F15" s="116"/>
      <c r="G15" s="116"/>
      <c r="H15" s="116"/>
      <c r="I15" s="116"/>
      <c r="J15" s="116"/>
      <c r="K15" s="116"/>
      <c r="L15" s="116"/>
      <c r="M15" s="39"/>
      <c r="N15" s="46"/>
      <c r="O15" s="107"/>
      <c r="P15" s="13" t="s">
        <v>16</v>
      </c>
      <c r="Q15" s="5"/>
      <c r="R15" s="44"/>
      <c r="Y15" s="39"/>
      <c r="Z15" s="39"/>
      <c r="AA15" s="39"/>
      <c r="AB15" s="39"/>
      <c r="AC15" s="39"/>
      <c r="AD15" s="39"/>
      <c r="AE15" s="39"/>
      <c r="AF15" s="39"/>
      <c r="AG15" s="39"/>
      <c r="AH15" s="39"/>
      <c r="AI15" s="39"/>
      <c r="AJ15" s="39"/>
    </row>
    <row r="16" spans="1:36" ht="15" customHeight="1" x14ac:dyDescent="0.45">
      <c r="A16" s="44"/>
      <c r="B16" s="121"/>
      <c r="C16" s="116"/>
      <c r="D16" s="121"/>
      <c r="E16" s="116"/>
      <c r="F16" s="116"/>
      <c r="G16" s="116"/>
      <c r="H16" s="116"/>
      <c r="I16" s="116"/>
      <c r="J16" s="116"/>
      <c r="K16" s="116"/>
      <c r="L16" s="116"/>
      <c r="M16" s="39"/>
      <c r="N16" s="44"/>
      <c r="O16" s="107"/>
      <c r="P16" s="109" t="s">
        <v>17</v>
      </c>
      <c r="Q16" s="105"/>
      <c r="R16" s="44"/>
      <c r="Y16" s="39"/>
      <c r="Z16" s="39"/>
      <c r="AA16" s="39"/>
      <c r="AB16" s="39"/>
      <c r="AC16" s="39"/>
      <c r="AD16" s="39"/>
      <c r="AE16" s="39"/>
      <c r="AF16" s="39"/>
      <c r="AG16" s="39"/>
      <c r="AH16" s="39"/>
      <c r="AI16" s="39"/>
      <c r="AJ16" s="39"/>
    </row>
    <row r="17" spans="1:36" ht="15" customHeight="1" x14ac:dyDescent="0.45">
      <c r="A17" s="44"/>
      <c r="B17" s="121"/>
      <c r="C17" s="116"/>
      <c r="D17" s="121"/>
      <c r="E17" s="116"/>
      <c r="F17" s="116"/>
      <c r="G17" s="116"/>
      <c r="H17" s="116"/>
      <c r="I17" s="116"/>
      <c r="J17" s="116"/>
      <c r="K17" s="116"/>
      <c r="L17" s="116"/>
      <c r="M17" s="39"/>
      <c r="N17" s="44"/>
      <c r="O17" s="107"/>
      <c r="P17" s="110" t="s">
        <v>18</v>
      </c>
      <c r="Q17" s="105"/>
      <c r="R17" s="44"/>
      <c r="Y17" s="39"/>
      <c r="Z17" s="39"/>
      <c r="AA17" s="39"/>
      <c r="AB17" s="39"/>
      <c r="AC17" s="39"/>
      <c r="AD17" s="39"/>
      <c r="AE17" s="39"/>
      <c r="AF17" s="39"/>
      <c r="AG17" s="39"/>
      <c r="AH17" s="39"/>
      <c r="AI17" s="39"/>
      <c r="AJ17" s="39"/>
    </row>
    <row r="18" spans="1:36" ht="15" customHeight="1" x14ac:dyDescent="0.45">
      <c r="A18" s="33"/>
      <c r="B18" s="121"/>
      <c r="C18" s="116"/>
      <c r="D18" s="121"/>
      <c r="E18" s="116"/>
      <c r="F18" s="116"/>
      <c r="G18" s="116"/>
      <c r="H18" s="116"/>
      <c r="I18" s="116"/>
      <c r="J18" s="116"/>
      <c r="K18" s="116"/>
      <c r="L18" s="116"/>
      <c r="M18" s="39"/>
      <c r="N18" s="33"/>
      <c r="O18" s="108"/>
      <c r="P18" s="108"/>
      <c r="Q18" s="108"/>
      <c r="R18" s="33"/>
      <c r="Y18" s="39"/>
      <c r="Z18" s="39"/>
      <c r="AA18" s="39"/>
      <c r="AB18" s="39"/>
      <c r="AC18" s="39"/>
      <c r="AD18" s="39"/>
      <c r="AE18" s="39"/>
      <c r="AF18" s="39"/>
      <c r="AG18" s="39"/>
      <c r="AH18" s="39"/>
      <c r="AI18" s="39"/>
      <c r="AJ18" s="39"/>
    </row>
    <row r="19" spans="1:36" ht="14.25" customHeight="1" x14ac:dyDescent="0.45">
      <c r="A19" s="9"/>
      <c r="B19" s="9"/>
      <c r="C19" s="9"/>
      <c r="D19" s="9"/>
      <c r="E19" s="9"/>
      <c r="F19" s="9"/>
      <c r="G19" s="9"/>
      <c r="H19" s="9"/>
      <c r="I19" s="9"/>
      <c r="J19" s="9"/>
      <c r="K19" s="9"/>
      <c r="L19" s="9"/>
      <c r="M19"/>
      <c r="N19" s="9"/>
      <c r="O19" s="9"/>
      <c r="P19" s="9"/>
      <c r="Q19" s="9"/>
      <c r="R19" s="9"/>
    </row>
    <row r="20" spans="1:36" ht="14.25" customHeight="1" x14ac:dyDescent="0.45">
      <c r="Q20" s="106"/>
    </row>
    <row r="21" spans="1:36" ht="14.25" customHeight="1" x14ac:dyDescent="0.45"/>
    <row r="22" spans="1:36" ht="14.25" customHeight="1" x14ac:dyDescent="0.45"/>
    <row r="23" spans="1:36" ht="14.25" customHeight="1" x14ac:dyDescent="0.45"/>
    <row r="24" spans="1:36" ht="14.25" customHeight="1" x14ac:dyDescent="0.45"/>
    <row r="25" spans="1:36" ht="14.25" customHeight="1" x14ac:dyDescent="0.45"/>
    <row r="26" spans="1:36" ht="14.25" customHeight="1" x14ac:dyDescent="0.45"/>
    <row r="27" spans="1:36" ht="14.25" customHeight="1" x14ac:dyDescent="0.45"/>
    <row r="28" spans="1:36" ht="14.25" customHeight="1" x14ac:dyDescent="0.45"/>
    <row r="29" spans="1:36" ht="14.25" customHeight="1" x14ac:dyDescent="0.45"/>
    <row r="30" spans="1:36" ht="14.25" customHeight="1" x14ac:dyDescent="0.45"/>
    <row r="31" spans="1:36" ht="14.25" customHeight="1" x14ac:dyDescent="0.45"/>
    <row r="32" spans="1:36"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mergeCells count="20">
    <mergeCell ref="B4:I4"/>
    <mergeCell ref="L4:P4"/>
    <mergeCell ref="N5:Q5"/>
    <mergeCell ref="N6:Q6"/>
    <mergeCell ref="N7:Q7"/>
    <mergeCell ref="N8:Q8"/>
    <mergeCell ref="N9:Q9"/>
    <mergeCell ref="B16:C16"/>
    <mergeCell ref="D16:L16"/>
    <mergeCell ref="B17:C17"/>
    <mergeCell ref="D17:L17"/>
    <mergeCell ref="B18:C18"/>
    <mergeCell ref="D18:L18"/>
    <mergeCell ref="N10:Q10"/>
    <mergeCell ref="B13:L13"/>
    <mergeCell ref="O13:Q13"/>
    <mergeCell ref="B14:C14"/>
    <mergeCell ref="D14:L14"/>
    <mergeCell ref="B15:C15"/>
    <mergeCell ref="D15:L15"/>
  </mergeCells>
  <pageMargins left="0.7" right="0.7" top="0.75" bottom="0.75" header="0" footer="0"/>
  <pageSetup paperSize="9" orientation="landscape" r:id="rId1"/>
  <headerFooter>
    <oddHeader>&amp;R&amp;F  &amp;A</oddHeader>
    <oddFooter>&amp;L© 2017&amp;CPage &amp;P of</oddFooter>
  </headerFooter>
  <colBreaks count="1" manualBreakCount="1">
    <brk id="18"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101"/>
  <sheetViews>
    <sheetView workbookViewId="0"/>
  </sheetViews>
  <sheetFormatPr defaultColWidth="12.59765625" defaultRowHeight="15" customHeight="1" x14ac:dyDescent="0.45"/>
  <cols>
    <col min="1" max="1" width="1.59765625" customWidth="1"/>
    <col min="2" max="2" width="50.59765625" customWidth="1"/>
    <col min="3" max="9" width="10.265625" customWidth="1"/>
    <col min="10" max="10" width="12.73046875" bestFit="1" customWidth="1"/>
    <col min="11" max="16" width="10.265625" customWidth="1"/>
  </cols>
  <sheetData>
    <row r="1" spans="1:16" ht="45" customHeight="1" x14ac:dyDescent="0.85">
      <c r="A1" s="1" t="str">
        <f>"LBO valuation for Pets at Home"</f>
        <v>LBO valuation for Pets at Home</v>
      </c>
      <c r="B1" s="28"/>
      <c r="C1" s="28"/>
      <c r="D1" s="28"/>
      <c r="E1" s="28"/>
      <c r="F1" s="28"/>
      <c r="G1" s="28"/>
      <c r="H1" s="28"/>
      <c r="I1" s="28"/>
      <c r="J1" s="28"/>
      <c r="K1" s="28"/>
      <c r="L1" s="28"/>
      <c r="M1" s="28"/>
      <c r="N1" s="28"/>
      <c r="O1" s="28"/>
      <c r="P1" s="28"/>
    </row>
    <row r="2" spans="1:16" ht="15" customHeight="1" x14ac:dyDescent="0.45">
      <c r="A2" s="30"/>
      <c r="B2" s="30"/>
      <c r="C2" s="30" t="s">
        <v>154</v>
      </c>
      <c r="D2" s="30" t="s">
        <v>154</v>
      </c>
      <c r="E2" s="30" t="s">
        <v>154</v>
      </c>
      <c r="F2" s="30" t="s">
        <v>154</v>
      </c>
      <c r="G2" s="30" t="s">
        <v>155</v>
      </c>
      <c r="H2" s="30" t="s">
        <v>155</v>
      </c>
      <c r="I2" s="30" t="s">
        <v>155</v>
      </c>
      <c r="J2" s="30" t="s">
        <v>155</v>
      </c>
      <c r="K2" s="30" t="s">
        <v>155</v>
      </c>
      <c r="L2" s="30" t="s">
        <v>155</v>
      </c>
      <c r="M2" s="30" t="s">
        <v>155</v>
      </c>
      <c r="N2" s="30" t="s">
        <v>155</v>
      </c>
      <c r="O2" s="30" t="s">
        <v>155</v>
      </c>
      <c r="P2" s="30" t="s">
        <v>155</v>
      </c>
    </row>
    <row r="3" spans="1:16" ht="15" customHeight="1" x14ac:dyDescent="0.45">
      <c r="A3" s="30"/>
      <c r="B3" s="30"/>
      <c r="C3" s="52">
        <f>EDATE(D3,-12)</f>
        <v>44286</v>
      </c>
      <c r="D3" s="52">
        <f>EDATE(E3,-12)</f>
        <v>44651</v>
      </c>
      <c r="E3" s="52">
        <f>EDATE(F3,-12)</f>
        <v>45016</v>
      </c>
      <c r="F3" s="52">
        <v>45382</v>
      </c>
      <c r="G3" s="52">
        <f>EDATE(F3,12)</f>
        <v>45747</v>
      </c>
      <c r="H3" s="52">
        <f t="shared" ref="H3:O3" si="0">EDATE(G3,12)</f>
        <v>46112</v>
      </c>
      <c r="I3" s="52">
        <f t="shared" si="0"/>
        <v>46477</v>
      </c>
      <c r="J3" s="52">
        <f t="shared" si="0"/>
        <v>46843</v>
      </c>
      <c r="K3" s="52">
        <f t="shared" si="0"/>
        <v>47208</v>
      </c>
      <c r="L3" s="52">
        <f t="shared" si="0"/>
        <v>47573</v>
      </c>
      <c r="M3" s="52">
        <f t="shared" si="0"/>
        <v>47938</v>
      </c>
      <c r="N3" s="52">
        <f t="shared" si="0"/>
        <v>48304</v>
      </c>
      <c r="O3" s="52">
        <f t="shared" si="0"/>
        <v>48669</v>
      </c>
      <c r="P3" s="52">
        <f t="shared" ref="P3" si="1">EDATE(O3,12)</f>
        <v>49034</v>
      </c>
    </row>
    <row r="4" spans="1:16" ht="15" customHeight="1" x14ac:dyDescent="0.45">
      <c r="A4" s="4" t="s">
        <v>156</v>
      </c>
      <c r="B4" s="19"/>
      <c r="C4" s="19"/>
      <c r="D4" s="19"/>
      <c r="E4" s="19"/>
      <c r="F4" s="19"/>
      <c r="G4" s="19"/>
      <c r="H4" s="19"/>
      <c r="I4" s="19"/>
      <c r="J4" s="19"/>
      <c r="K4" s="19"/>
      <c r="L4" s="19"/>
      <c r="M4" s="19"/>
      <c r="N4" s="19"/>
      <c r="O4" s="19"/>
      <c r="P4" s="19"/>
    </row>
    <row r="5" spans="1:16" ht="15" customHeight="1" x14ac:dyDescent="0.45">
      <c r="B5" s="19"/>
      <c r="C5" s="19"/>
      <c r="D5" s="19"/>
      <c r="E5" s="19"/>
      <c r="F5" s="19"/>
      <c r="G5" s="19"/>
      <c r="H5" s="19"/>
      <c r="I5" s="19"/>
      <c r="J5" s="19"/>
      <c r="K5" s="19"/>
      <c r="L5" s="19"/>
      <c r="M5" s="19"/>
      <c r="N5" s="19"/>
      <c r="O5" s="19"/>
      <c r="P5" s="19"/>
    </row>
    <row r="6" spans="1:16" ht="15" customHeight="1" x14ac:dyDescent="0.45">
      <c r="A6" s="15" t="s">
        <v>24</v>
      </c>
      <c r="B6" s="19"/>
      <c r="C6" s="19"/>
      <c r="D6" s="19"/>
      <c r="E6" s="19"/>
      <c r="F6" s="19"/>
      <c r="H6" s="15" t="s">
        <v>69</v>
      </c>
      <c r="I6" s="19"/>
      <c r="J6" s="19"/>
      <c r="K6" s="19"/>
      <c r="L6" s="19"/>
      <c r="M6" s="19"/>
      <c r="N6" s="4" t="s">
        <v>73</v>
      </c>
      <c r="O6" s="19"/>
      <c r="P6" s="19"/>
    </row>
    <row r="7" spans="1:16" ht="15" customHeight="1" x14ac:dyDescent="0.45">
      <c r="A7" s="15"/>
      <c r="B7" s="4" t="s">
        <v>62</v>
      </c>
      <c r="C7" s="19"/>
      <c r="D7" s="19"/>
      <c r="E7" s="25"/>
      <c r="F7" s="19"/>
      <c r="H7" t="s">
        <v>65</v>
      </c>
      <c r="L7" t="s">
        <v>74</v>
      </c>
      <c r="N7" s="21">
        <v>4</v>
      </c>
    </row>
    <row r="8" spans="1:16" ht="15" customHeight="1" x14ac:dyDescent="0.45">
      <c r="A8" s="15"/>
      <c r="B8" s="4" t="s">
        <v>75</v>
      </c>
      <c r="C8" s="19"/>
      <c r="D8" s="19"/>
      <c r="E8" s="19"/>
      <c r="F8" s="21">
        <v>6</v>
      </c>
      <c r="H8" t="s">
        <v>70</v>
      </c>
      <c r="L8" t="s">
        <v>76</v>
      </c>
      <c r="N8" s="59">
        <f>+F8-N7</f>
        <v>2</v>
      </c>
    </row>
    <row r="9" spans="1:16" ht="15" customHeight="1" x14ac:dyDescent="0.45">
      <c r="A9" s="15"/>
      <c r="B9" s="19" t="s">
        <v>68</v>
      </c>
      <c r="C9" s="19"/>
      <c r="D9" s="19"/>
      <c r="E9" s="53"/>
      <c r="F9" s="24">
        <v>8</v>
      </c>
      <c r="L9" t="s">
        <v>28</v>
      </c>
      <c r="N9" s="19"/>
    </row>
    <row r="10" spans="1:16" ht="15" customHeight="1" x14ac:dyDescent="0.45">
      <c r="A10" s="15"/>
      <c r="B10" s="19" t="s">
        <v>77</v>
      </c>
      <c r="F10" s="27">
        <f>F9</f>
        <v>8</v>
      </c>
      <c r="H10" s="70" t="s">
        <v>71</v>
      </c>
      <c r="I10" s="70"/>
      <c r="J10" s="70"/>
      <c r="L10" s="70" t="s">
        <v>72</v>
      </c>
      <c r="M10" s="70"/>
      <c r="N10" s="71"/>
      <c r="O10" s="70"/>
    </row>
    <row r="11" spans="1:16" ht="15" customHeight="1" x14ac:dyDescent="0.45">
      <c r="A11" s="15"/>
      <c r="B11" s="19"/>
      <c r="C11" s="19"/>
      <c r="D11" s="19"/>
      <c r="E11" s="19"/>
      <c r="F11" s="19"/>
      <c r="H11" s="19"/>
      <c r="I11" s="19"/>
      <c r="J11" s="19"/>
      <c r="K11" s="19"/>
      <c r="L11" s="19"/>
      <c r="M11" s="19"/>
      <c r="O11" s="19"/>
      <c r="P11" s="19"/>
    </row>
    <row r="12" spans="1:16" ht="15" customHeight="1" x14ac:dyDescent="0.45">
      <c r="A12" s="15"/>
      <c r="B12" s="4" t="s">
        <v>78</v>
      </c>
      <c r="C12" s="19"/>
      <c r="D12" s="19"/>
      <c r="F12" s="22">
        <v>3.5099999999999999E-2</v>
      </c>
      <c r="H12" s="19"/>
      <c r="I12" s="19"/>
      <c r="J12" s="19"/>
      <c r="K12" s="19"/>
      <c r="L12" s="19"/>
      <c r="M12" s="19"/>
      <c r="N12" s="19"/>
      <c r="O12" s="19"/>
      <c r="P12" s="19"/>
    </row>
    <row r="13" spans="1:16" ht="15" customHeight="1" x14ac:dyDescent="0.45">
      <c r="A13" s="15"/>
      <c r="B13" s="4" t="s">
        <v>66</v>
      </c>
      <c r="C13" s="19"/>
      <c r="D13" s="19"/>
      <c r="F13" s="22">
        <v>2.41E-2</v>
      </c>
      <c r="H13" s="19"/>
      <c r="I13" s="19"/>
      <c r="J13" s="19"/>
      <c r="K13" s="19"/>
      <c r="L13" s="19"/>
      <c r="M13" s="19"/>
      <c r="N13" s="19"/>
      <c r="O13" s="19"/>
      <c r="P13" s="19"/>
    </row>
    <row r="14" spans="1:16" ht="15" customHeight="1" x14ac:dyDescent="0.45">
      <c r="A14" s="15"/>
      <c r="B14" s="4" t="s">
        <v>79</v>
      </c>
      <c r="C14" s="19"/>
      <c r="D14" s="19"/>
      <c r="F14" s="57">
        <f>SUM(F12:F13)</f>
        <v>5.9200000000000003E-2</v>
      </c>
      <c r="H14" s="19"/>
      <c r="I14" s="19"/>
      <c r="J14" s="19"/>
      <c r="K14" s="19"/>
      <c r="L14" s="19"/>
      <c r="M14" s="19"/>
      <c r="N14" s="19"/>
      <c r="O14" s="19"/>
      <c r="P14" s="19"/>
    </row>
    <row r="15" spans="1:16" ht="15" customHeight="1" x14ac:dyDescent="0.45">
      <c r="A15" s="15"/>
      <c r="B15" s="19" t="s">
        <v>80</v>
      </c>
      <c r="C15" s="19"/>
      <c r="D15" s="19"/>
      <c r="F15" s="22">
        <v>8.2500000000000004E-2</v>
      </c>
      <c r="H15" s="19"/>
      <c r="I15" s="19"/>
      <c r="J15" s="19"/>
      <c r="K15" s="19"/>
      <c r="L15" s="19"/>
      <c r="M15" s="19"/>
      <c r="N15" s="19"/>
      <c r="O15" s="19"/>
      <c r="P15" s="19"/>
    </row>
    <row r="16" spans="1:16" ht="15" customHeight="1" x14ac:dyDescent="0.45">
      <c r="A16" s="15"/>
      <c r="B16" s="19" t="s">
        <v>26</v>
      </c>
      <c r="C16" s="19"/>
      <c r="D16" s="19"/>
      <c r="F16" s="22">
        <v>0.03</v>
      </c>
      <c r="H16" s="19"/>
      <c r="I16" s="19"/>
      <c r="J16" s="19"/>
      <c r="K16" s="19"/>
      <c r="L16" s="19"/>
      <c r="M16" s="19"/>
      <c r="N16" s="19"/>
      <c r="O16" s="19"/>
      <c r="P16" s="19"/>
    </row>
    <row r="17" spans="1:16" ht="15" customHeight="1" x14ac:dyDescent="0.45">
      <c r="A17" s="15"/>
      <c r="B17" s="4" t="s">
        <v>81</v>
      </c>
      <c r="C17" s="19"/>
      <c r="D17" s="19"/>
      <c r="F17" s="22">
        <v>0.02</v>
      </c>
      <c r="H17" s="19"/>
      <c r="I17" s="19"/>
      <c r="J17" s="19"/>
      <c r="K17" s="19"/>
      <c r="L17" s="19"/>
      <c r="M17" s="19"/>
      <c r="N17" s="19"/>
      <c r="O17" s="19"/>
      <c r="P17" s="19"/>
    </row>
    <row r="18" spans="1:16" ht="15" customHeight="1" x14ac:dyDescent="0.45">
      <c r="A18" s="15"/>
      <c r="B18" s="4" t="s">
        <v>82</v>
      </c>
      <c r="C18" s="19"/>
      <c r="D18" s="19"/>
      <c r="F18" s="18">
        <v>4</v>
      </c>
      <c r="H18" s="19"/>
      <c r="I18" s="19"/>
      <c r="J18" s="19"/>
      <c r="K18" s="19"/>
      <c r="L18" s="19"/>
      <c r="M18" s="19"/>
      <c r="N18" s="19"/>
      <c r="O18" s="19"/>
      <c r="P18" s="19"/>
    </row>
    <row r="19" spans="1:16" ht="15" customHeight="1" x14ac:dyDescent="0.45">
      <c r="A19" s="15"/>
      <c r="B19" s="19"/>
      <c r="C19" s="19"/>
      <c r="D19" s="19"/>
      <c r="E19" s="19"/>
      <c r="F19" s="19"/>
      <c r="G19" s="19"/>
      <c r="H19" s="19"/>
      <c r="I19" s="19"/>
      <c r="J19" s="19"/>
      <c r="K19" s="19"/>
      <c r="L19" s="19"/>
      <c r="M19" s="19"/>
      <c r="N19" s="19"/>
      <c r="O19" s="19"/>
      <c r="P19" s="19"/>
    </row>
    <row r="20" spans="1:16" ht="15" customHeight="1" x14ac:dyDescent="0.45">
      <c r="A20" s="15" t="s">
        <v>24</v>
      </c>
      <c r="B20" s="19"/>
      <c r="C20" s="19"/>
      <c r="D20" s="19"/>
      <c r="E20" s="19"/>
      <c r="F20" s="19"/>
      <c r="G20" s="19"/>
      <c r="H20" s="19"/>
      <c r="I20" s="19"/>
      <c r="J20" s="19"/>
      <c r="K20" s="19"/>
      <c r="L20" s="19"/>
      <c r="M20" s="19"/>
      <c r="N20" s="19"/>
      <c r="O20" s="19"/>
      <c r="P20" s="19"/>
    </row>
    <row r="21" spans="1:16" ht="15" customHeight="1" x14ac:dyDescent="0.45">
      <c r="A21" s="15"/>
      <c r="B21" s="4" t="s">
        <v>31</v>
      </c>
      <c r="C21" s="19"/>
      <c r="D21" s="19"/>
      <c r="E21">
        <f>E33</f>
        <v>1404</v>
      </c>
      <c r="F21">
        <f>F33</f>
        <v>1477</v>
      </c>
      <c r="G21" s="72">
        <v>1495</v>
      </c>
      <c r="H21" s="72">
        <v>1526</v>
      </c>
      <c r="I21" s="72">
        <v>1581</v>
      </c>
    </row>
    <row r="22" spans="1:16" ht="15" customHeight="1" x14ac:dyDescent="0.45">
      <c r="A22" s="15"/>
      <c r="B22" s="4" t="s">
        <v>161</v>
      </c>
      <c r="C22" s="19"/>
      <c r="D22" s="19"/>
      <c r="E22" s="23"/>
      <c r="F22" s="26">
        <f>F21/E21-1</f>
        <v>5.1994301994301884E-2</v>
      </c>
      <c r="G22" s="26">
        <f t="shared" ref="G22:I22" si="2">G21/F21-1</f>
        <v>1.2186865267433955E-2</v>
      </c>
      <c r="H22" s="26">
        <f t="shared" si="2"/>
        <v>2.0735785953177155E-2</v>
      </c>
      <c r="I22" s="26">
        <f t="shared" si="2"/>
        <v>3.6041939711664472E-2</v>
      </c>
      <c r="J22" s="73">
        <v>0.03</v>
      </c>
      <c r="K22" s="73">
        <v>0.03</v>
      </c>
      <c r="L22" s="73">
        <v>0.03</v>
      </c>
      <c r="M22" s="73">
        <v>0.03</v>
      </c>
      <c r="N22" s="73">
        <v>0.03</v>
      </c>
      <c r="O22" s="73">
        <v>0.03</v>
      </c>
      <c r="P22" s="73">
        <v>0.03</v>
      </c>
    </row>
    <row r="23" spans="1:16" ht="15" customHeight="1" x14ac:dyDescent="0.45">
      <c r="A23" s="15"/>
      <c r="B23" s="4" t="s">
        <v>19</v>
      </c>
      <c r="C23" s="19"/>
      <c r="D23" s="19"/>
      <c r="E23" s="19">
        <f>E34</f>
        <v>150</v>
      </c>
      <c r="F23" s="19">
        <f>F34</f>
        <v>146</v>
      </c>
      <c r="G23" s="72">
        <v>147</v>
      </c>
      <c r="H23" s="72">
        <v>134</v>
      </c>
      <c r="I23" s="72">
        <v>142</v>
      </c>
    </row>
    <row r="24" spans="1:16" ht="15" customHeight="1" x14ac:dyDescent="0.45">
      <c r="A24" s="15"/>
      <c r="B24" s="4" t="s">
        <v>163</v>
      </c>
      <c r="C24" s="19"/>
      <c r="D24" s="19"/>
      <c r="E24" s="74">
        <f>E23/E21</f>
        <v>0.10683760683760683</v>
      </c>
      <c r="F24" s="74">
        <f>F23/F21</f>
        <v>9.8849018280297907E-2</v>
      </c>
      <c r="G24" s="74">
        <f>G23/G21</f>
        <v>9.8327759197324421E-2</v>
      </c>
      <c r="H24" s="74">
        <f>H23/H21</f>
        <v>8.7811271297509833E-2</v>
      </c>
      <c r="I24" s="74">
        <f>I23/I21</f>
        <v>8.9816571790006322E-2</v>
      </c>
      <c r="J24" s="73">
        <v>0.09</v>
      </c>
      <c r="K24" s="73">
        <v>0.09</v>
      </c>
      <c r="L24" s="73">
        <v>0.09</v>
      </c>
      <c r="M24" s="73">
        <v>0.09</v>
      </c>
      <c r="N24" s="73">
        <v>0.09</v>
      </c>
      <c r="O24" s="73">
        <v>0.09</v>
      </c>
      <c r="P24" s="73">
        <v>0.09</v>
      </c>
    </row>
    <row r="25" spans="1:16" ht="15" customHeight="1" x14ac:dyDescent="0.45">
      <c r="A25" s="15"/>
      <c r="B25" s="19" t="s">
        <v>20</v>
      </c>
      <c r="C25" s="19"/>
      <c r="D25" s="19"/>
      <c r="E25" s="19">
        <f>E43</f>
        <v>253</v>
      </c>
      <c r="F25" s="19">
        <f>F43</f>
        <v>247</v>
      </c>
      <c r="G25" s="72">
        <v>254</v>
      </c>
      <c r="H25" s="72">
        <v>244</v>
      </c>
      <c r="I25" s="72">
        <v>254</v>
      </c>
    </row>
    <row r="26" spans="1:16" ht="15" customHeight="1" x14ac:dyDescent="0.45">
      <c r="A26" s="15"/>
      <c r="B26" s="19" t="s">
        <v>162</v>
      </c>
      <c r="C26" s="19"/>
      <c r="D26" s="19"/>
      <c r="E26" s="74">
        <f>E25/E21</f>
        <v>0.18019943019943019</v>
      </c>
      <c r="F26" s="74">
        <f>F25/F21</f>
        <v>0.16723087339201084</v>
      </c>
      <c r="G26" s="74">
        <f>G25/G21</f>
        <v>0.16989966555183947</v>
      </c>
      <c r="H26" s="74">
        <f>H25/H21</f>
        <v>0.15989515072083879</v>
      </c>
      <c r="I26" s="74">
        <f>I25/I21</f>
        <v>0.16065781151170144</v>
      </c>
      <c r="J26" s="73">
        <v>0.16</v>
      </c>
      <c r="K26" s="73">
        <v>0.16</v>
      </c>
      <c r="L26" s="73">
        <v>0.16</v>
      </c>
      <c r="M26" s="73">
        <v>0.16</v>
      </c>
      <c r="N26" s="73">
        <v>0.16</v>
      </c>
      <c r="O26" s="73">
        <v>0.16</v>
      </c>
      <c r="P26" s="73">
        <v>0.16</v>
      </c>
    </row>
    <row r="27" spans="1:16" ht="15" customHeight="1" x14ac:dyDescent="0.45">
      <c r="A27" s="15"/>
      <c r="B27" s="19" t="s">
        <v>84</v>
      </c>
      <c r="C27" s="19"/>
      <c r="D27" s="19"/>
      <c r="E27" s="19"/>
      <c r="F27" s="19"/>
      <c r="G27" s="20">
        <v>0.03</v>
      </c>
      <c r="H27" s="20">
        <v>0.03</v>
      </c>
      <c r="I27" s="20">
        <v>0.03</v>
      </c>
      <c r="J27" s="20">
        <v>0.03</v>
      </c>
      <c r="K27" s="20">
        <v>0.03</v>
      </c>
      <c r="L27" s="20">
        <v>0.03</v>
      </c>
      <c r="M27" s="20">
        <v>0.03</v>
      </c>
      <c r="N27" s="20">
        <v>0.03</v>
      </c>
      <c r="O27" s="20">
        <v>0.03</v>
      </c>
      <c r="P27" s="20">
        <v>0.03</v>
      </c>
    </row>
    <row r="28" spans="1:16" ht="15" customHeight="1" x14ac:dyDescent="0.45">
      <c r="A28" s="15"/>
      <c r="B28" s="4" t="s">
        <v>63</v>
      </c>
      <c r="C28" s="19"/>
      <c r="D28" s="19"/>
      <c r="E28" s="74">
        <f>21.8/122.5</f>
        <v>0.17795918367346938</v>
      </c>
      <c r="F28" s="51">
        <f>26.5/105.7</f>
        <v>0.25070955534531691</v>
      </c>
      <c r="G28" s="73">
        <v>0.214</v>
      </c>
      <c r="H28" s="73">
        <v>0.214</v>
      </c>
      <c r="I28" s="73">
        <v>0.214</v>
      </c>
      <c r="J28" s="73">
        <v>0.214</v>
      </c>
      <c r="K28" s="73">
        <v>0.214</v>
      </c>
      <c r="L28" s="73">
        <v>0.214</v>
      </c>
      <c r="M28" s="73">
        <v>0.214</v>
      </c>
      <c r="N28" s="73">
        <v>0.214</v>
      </c>
      <c r="O28" s="73">
        <v>0.214</v>
      </c>
      <c r="P28" s="73">
        <v>0.214</v>
      </c>
    </row>
    <row r="29" spans="1:16" ht="15" customHeight="1" x14ac:dyDescent="0.45">
      <c r="A29" s="15"/>
      <c r="B29" s="4" t="s">
        <v>166</v>
      </c>
      <c r="C29" s="19"/>
      <c r="D29" s="19"/>
      <c r="E29" s="74">
        <f>E46/E33</f>
        <v>-7.7421652421652429E-2</v>
      </c>
      <c r="F29" s="74">
        <f>F46/F33</f>
        <v>-6.8246445497630315E-2</v>
      </c>
      <c r="G29" s="73">
        <v>-7.2999999999999995E-2</v>
      </c>
      <c r="H29" s="73">
        <v>-7.2999999999999995E-2</v>
      </c>
      <c r="I29" s="73">
        <v>-7.2999999999999995E-2</v>
      </c>
      <c r="J29" s="73">
        <v>-7.2999999999999995E-2</v>
      </c>
      <c r="K29" s="73">
        <v>-7.2999999999999995E-2</v>
      </c>
      <c r="L29" s="73">
        <v>-7.2999999999999995E-2</v>
      </c>
      <c r="M29" s="73">
        <v>-7.2999999999999995E-2</v>
      </c>
      <c r="N29" s="73">
        <v>-7.2999999999999995E-2</v>
      </c>
      <c r="O29" s="73">
        <v>-7.2999999999999995E-2</v>
      </c>
      <c r="P29" s="73">
        <v>-7.2999999999999995E-2</v>
      </c>
    </row>
    <row r="30" spans="1:16" ht="15" customHeight="1" x14ac:dyDescent="0.45">
      <c r="A30" s="15"/>
      <c r="B30" s="4" t="s">
        <v>160</v>
      </c>
      <c r="C30" s="19"/>
      <c r="D30" s="19"/>
      <c r="E30" s="74">
        <f>E47/E21</f>
        <v>5.3917378917378918E-2</v>
      </c>
      <c r="F30" s="74">
        <f>F47/F21</f>
        <v>3.2498307379823968E-2</v>
      </c>
      <c r="G30" s="73">
        <v>4.2999999999999997E-2</v>
      </c>
      <c r="H30" s="73">
        <v>4.2999999999999997E-2</v>
      </c>
      <c r="I30" s="73">
        <v>4.2999999999999997E-2</v>
      </c>
      <c r="J30" s="73">
        <v>4.2999999999999997E-2</v>
      </c>
      <c r="K30" s="73">
        <v>4.2999999999999997E-2</v>
      </c>
      <c r="L30" s="73">
        <v>4.2999999999999997E-2</v>
      </c>
      <c r="M30" s="73">
        <v>4.2999999999999997E-2</v>
      </c>
      <c r="N30" s="73">
        <v>4.2999999999999997E-2</v>
      </c>
      <c r="O30" s="73">
        <v>4.2999999999999997E-2</v>
      </c>
      <c r="P30" s="73">
        <v>4.2999999999999997E-2</v>
      </c>
    </row>
    <row r="31" spans="1:16" ht="15" customHeight="1" x14ac:dyDescent="0.45">
      <c r="A31" s="15"/>
      <c r="B31" s="19"/>
      <c r="C31" s="19"/>
      <c r="D31" s="19"/>
      <c r="E31" s="19"/>
      <c r="F31" s="19"/>
      <c r="G31" s="19"/>
      <c r="H31" s="19"/>
      <c r="I31" s="19"/>
      <c r="J31" s="19"/>
      <c r="K31" s="19"/>
      <c r="L31" s="19"/>
      <c r="M31" s="19"/>
      <c r="N31" s="19"/>
      <c r="O31" s="19"/>
      <c r="P31" s="19"/>
    </row>
    <row r="32" spans="1:16" ht="15" customHeight="1" x14ac:dyDescent="0.45">
      <c r="A32" s="15" t="s">
        <v>30</v>
      </c>
      <c r="B32" s="19"/>
      <c r="C32" s="19"/>
      <c r="D32" s="19"/>
      <c r="E32" s="19"/>
      <c r="F32" s="19"/>
      <c r="G32" s="19"/>
      <c r="H32" s="19"/>
      <c r="I32" s="19"/>
      <c r="J32" s="19"/>
      <c r="K32" s="19"/>
      <c r="L32" s="19"/>
      <c r="M32" s="19"/>
      <c r="N32" s="19"/>
      <c r="O32" s="19"/>
      <c r="P32" s="19"/>
    </row>
    <row r="33" spans="1:17" ht="15" customHeight="1" x14ac:dyDescent="0.45">
      <c r="A33" s="15"/>
      <c r="B33" s="4" t="s">
        <v>31</v>
      </c>
      <c r="C33" s="19"/>
      <c r="D33" s="19"/>
      <c r="E33" s="23">
        <v>1404</v>
      </c>
      <c r="F33" s="23">
        <v>1477</v>
      </c>
    </row>
    <row r="34" spans="1:17" s="70" customFormat="1" ht="15" customHeight="1" x14ac:dyDescent="0.45">
      <c r="A34" s="15"/>
      <c r="B34" s="77" t="s">
        <v>19</v>
      </c>
      <c r="C34" s="71"/>
      <c r="D34" s="71"/>
      <c r="E34" s="78">
        <v>150</v>
      </c>
      <c r="F34" s="78">
        <v>146</v>
      </c>
      <c r="Q34"/>
    </row>
    <row r="35" spans="1:17" ht="15" customHeight="1" x14ac:dyDescent="0.45">
      <c r="A35" s="15"/>
      <c r="B35" s="19" t="s">
        <v>85</v>
      </c>
      <c r="C35" s="19"/>
      <c r="D35" s="19"/>
      <c r="E35" s="19"/>
      <c r="F35" s="19"/>
    </row>
    <row r="36" spans="1:17" ht="15" customHeight="1" x14ac:dyDescent="0.45">
      <c r="A36" s="15"/>
      <c r="B36" s="4" t="s">
        <v>33</v>
      </c>
      <c r="C36" s="19"/>
      <c r="D36" s="19"/>
      <c r="E36" s="19"/>
      <c r="F36" s="19"/>
    </row>
    <row r="37" spans="1:17" ht="15" customHeight="1" x14ac:dyDescent="0.45">
      <c r="A37" s="15"/>
      <c r="B37" s="4" t="s">
        <v>32</v>
      </c>
      <c r="C37" s="19"/>
      <c r="D37" s="19"/>
      <c r="E37" s="19"/>
      <c r="F37" s="19"/>
    </row>
    <row r="38" spans="1:17" s="70" customFormat="1" ht="15" customHeight="1" x14ac:dyDescent="0.45">
      <c r="A38" s="15"/>
      <c r="B38" s="77" t="s">
        <v>34</v>
      </c>
      <c r="C38" s="71"/>
      <c r="D38" s="71"/>
      <c r="E38" s="71"/>
      <c r="F38" s="77"/>
      <c r="Q38"/>
    </row>
    <row r="39" spans="1:17" ht="15" customHeight="1" x14ac:dyDescent="0.45">
      <c r="A39" s="15"/>
      <c r="B39" s="4" t="s">
        <v>35</v>
      </c>
      <c r="C39" s="19"/>
      <c r="D39" s="19"/>
      <c r="E39" s="19"/>
      <c r="F39" s="4"/>
    </row>
    <row r="40" spans="1:17" s="70" customFormat="1" ht="15" customHeight="1" x14ac:dyDescent="0.45">
      <c r="A40" s="15"/>
      <c r="B40" s="77" t="s">
        <v>29</v>
      </c>
      <c r="C40" s="71"/>
      <c r="D40" s="71"/>
      <c r="E40" s="71"/>
      <c r="F40" s="77"/>
      <c r="Q40"/>
    </row>
    <row r="41" spans="1:17" ht="15" customHeight="1" x14ac:dyDescent="0.45">
      <c r="A41" s="15"/>
      <c r="B41" s="19"/>
      <c r="C41" s="19"/>
      <c r="D41" s="19"/>
      <c r="E41" s="19"/>
      <c r="F41" s="19"/>
      <c r="G41" s="19"/>
      <c r="H41" s="19"/>
      <c r="I41" s="19"/>
      <c r="J41" s="19"/>
      <c r="K41" s="19"/>
      <c r="L41" s="19"/>
      <c r="M41" s="19"/>
      <c r="N41" s="19"/>
      <c r="O41" s="19"/>
      <c r="P41" s="19"/>
    </row>
    <row r="42" spans="1:17" ht="15" customHeight="1" x14ac:dyDescent="0.45">
      <c r="A42" s="15" t="s">
        <v>83</v>
      </c>
      <c r="B42" s="19"/>
      <c r="C42" s="19"/>
      <c r="D42" s="19"/>
      <c r="E42" s="19"/>
      <c r="F42" s="19"/>
      <c r="G42" s="19"/>
      <c r="H42" s="19"/>
      <c r="I42" s="19"/>
      <c r="J42" s="19"/>
      <c r="K42" s="19"/>
      <c r="L42" s="19"/>
      <c r="M42" s="19"/>
      <c r="N42" s="19"/>
      <c r="O42" s="19"/>
      <c r="P42" s="19"/>
    </row>
    <row r="43" spans="1:17" ht="15" customHeight="1" x14ac:dyDescent="0.45">
      <c r="A43" s="15"/>
      <c r="B43" s="4" t="s">
        <v>20</v>
      </c>
      <c r="C43" s="19"/>
      <c r="D43" s="19"/>
      <c r="E43" s="23">
        <v>253</v>
      </c>
      <c r="F43" s="23">
        <v>247</v>
      </c>
    </row>
    <row r="44" spans="1:17" ht="15" customHeight="1" x14ac:dyDescent="0.45">
      <c r="A44" s="15"/>
      <c r="B44" s="4" t="s">
        <v>157</v>
      </c>
      <c r="C44" s="19"/>
      <c r="D44" s="19"/>
    </row>
    <row r="45" spans="1:17" ht="15" customHeight="1" x14ac:dyDescent="0.45">
      <c r="A45" s="15"/>
      <c r="B45" s="4" t="s">
        <v>165</v>
      </c>
      <c r="C45" s="19"/>
      <c r="D45" s="19"/>
    </row>
    <row r="46" spans="1:17" ht="15" customHeight="1" x14ac:dyDescent="0.45">
      <c r="A46" s="15"/>
      <c r="B46" s="4" t="s">
        <v>164</v>
      </c>
      <c r="C46" s="19"/>
      <c r="D46" s="19"/>
      <c r="E46" s="23">
        <f>108.6+51.8-261.2-0.3-3.9-3.7</f>
        <v>-108.70000000000002</v>
      </c>
      <c r="F46" s="23">
        <f>97.5+60.9-249.2-1.4-7.6-1</f>
        <v>-100.79999999999998</v>
      </c>
    </row>
    <row r="47" spans="1:17" ht="15" customHeight="1" x14ac:dyDescent="0.45">
      <c r="A47" s="15"/>
      <c r="B47" s="4" t="s">
        <v>159</v>
      </c>
      <c r="C47" s="19"/>
      <c r="D47" s="19"/>
      <c r="E47" s="23">
        <v>75.7</v>
      </c>
      <c r="F47" s="23">
        <v>48</v>
      </c>
    </row>
    <row r="48" spans="1:17" ht="15" customHeight="1" x14ac:dyDescent="0.45">
      <c r="A48" s="15"/>
      <c r="B48" s="4"/>
      <c r="C48" s="19"/>
      <c r="D48" s="19"/>
      <c r="E48" s="23"/>
      <c r="F48" s="23"/>
    </row>
    <row r="49" spans="1:17" ht="15" customHeight="1" x14ac:dyDescent="0.45">
      <c r="A49" s="15" t="s">
        <v>86</v>
      </c>
      <c r="B49" s="19"/>
      <c r="C49" s="19"/>
      <c r="D49" s="19"/>
      <c r="E49" s="19"/>
      <c r="F49" s="19"/>
      <c r="G49" s="19"/>
      <c r="H49" s="19"/>
      <c r="I49" s="19"/>
      <c r="J49" s="19"/>
      <c r="K49" s="19"/>
      <c r="L49" s="19"/>
      <c r="M49" s="19"/>
      <c r="N49" s="19"/>
      <c r="O49" s="19"/>
      <c r="P49" s="19"/>
    </row>
    <row r="50" spans="1:17" ht="15" customHeight="1" x14ac:dyDescent="0.45">
      <c r="A50" s="76"/>
      <c r="B50" s="4" t="s">
        <v>29</v>
      </c>
      <c r="C50" s="19"/>
      <c r="D50" s="19"/>
      <c r="E50" s="19"/>
      <c r="F50" s="4"/>
    </row>
    <row r="51" spans="1:17" ht="15" customHeight="1" x14ac:dyDescent="0.45">
      <c r="A51" s="15"/>
      <c r="B51" s="4" t="s">
        <v>157</v>
      </c>
      <c r="C51" s="19"/>
      <c r="D51" s="19"/>
      <c r="E51" s="19"/>
      <c r="F51" s="4"/>
    </row>
    <row r="52" spans="1:17" ht="15" customHeight="1" x14ac:dyDescent="0.45">
      <c r="A52" s="15"/>
      <c r="B52" s="4" t="s">
        <v>64</v>
      </c>
      <c r="C52" s="19"/>
      <c r="D52" s="19"/>
      <c r="E52" s="19"/>
      <c r="F52" s="19"/>
    </row>
    <row r="53" spans="1:17" ht="15" customHeight="1" x14ac:dyDescent="0.45">
      <c r="A53" s="15"/>
      <c r="B53" s="4" t="s">
        <v>36</v>
      </c>
      <c r="C53" s="19"/>
      <c r="D53" s="19"/>
      <c r="E53" s="19"/>
      <c r="F53" s="4"/>
    </row>
    <row r="54" spans="1:17" s="70" customFormat="1" ht="15" customHeight="1" x14ac:dyDescent="0.45">
      <c r="A54" s="15"/>
      <c r="B54" s="71" t="s">
        <v>87</v>
      </c>
      <c r="C54" s="71"/>
      <c r="D54" s="71"/>
      <c r="E54" s="71"/>
      <c r="F54" s="77"/>
      <c r="Q54"/>
    </row>
    <row r="55" spans="1:17" ht="15" customHeight="1" x14ac:dyDescent="0.45">
      <c r="A55" s="15"/>
      <c r="B55" s="19"/>
      <c r="C55" s="19"/>
      <c r="D55" s="19"/>
      <c r="E55" s="19"/>
      <c r="F55" s="4"/>
    </row>
    <row r="56" spans="1:17" ht="15" customHeight="1" x14ac:dyDescent="0.45">
      <c r="A56" s="15" t="s">
        <v>88</v>
      </c>
      <c r="B56" s="19"/>
      <c r="C56" s="19"/>
      <c r="D56" s="19"/>
      <c r="E56" s="19"/>
      <c r="F56" s="19"/>
      <c r="G56" s="19"/>
      <c r="H56" s="19"/>
      <c r="I56" s="19"/>
      <c r="J56" s="19"/>
      <c r="K56" s="19"/>
      <c r="L56" s="19"/>
      <c r="M56" s="19"/>
      <c r="N56" s="19"/>
      <c r="O56" s="19"/>
      <c r="P56" s="19"/>
    </row>
    <row r="57" spans="1:17" ht="15" customHeight="1" x14ac:dyDescent="0.45">
      <c r="A57" s="15"/>
      <c r="B57" s="4" t="s">
        <v>89</v>
      </c>
      <c r="C57" s="19"/>
      <c r="D57" s="19"/>
      <c r="E57" s="19"/>
    </row>
    <row r="58" spans="1:17" ht="15" customHeight="1" x14ac:dyDescent="0.45">
      <c r="A58" s="15"/>
      <c r="B58" s="4" t="s">
        <v>90</v>
      </c>
      <c r="C58" s="19"/>
      <c r="D58" s="19"/>
      <c r="E58" s="19"/>
    </row>
    <row r="59" spans="1:17" s="70" customFormat="1" ht="15" customHeight="1" x14ac:dyDescent="0.45">
      <c r="A59" s="15"/>
      <c r="B59" s="77" t="s">
        <v>91</v>
      </c>
      <c r="C59" s="71"/>
      <c r="D59" s="71"/>
      <c r="E59" s="25"/>
      <c r="Q59"/>
    </row>
    <row r="60" spans="1:17" ht="15" customHeight="1" x14ac:dyDescent="0.45">
      <c r="A60" s="15"/>
      <c r="B60" s="4" t="s">
        <v>33</v>
      </c>
      <c r="C60" s="19"/>
      <c r="D60" s="19"/>
      <c r="E60" s="19"/>
    </row>
    <row r="61" spans="1:17" ht="15" customHeight="1" x14ac:dyDescent="0.45">
      <c r="A61" s="15"/>
      <c r="B61" s="19"/>
      <c r="C61" s="19"/>
      <c r="D61" s="19"/>
      <c r="E61" s="19"/>
    </row>
    <row r="62" spans="1:17" s="70" customFormat="1" ht="15" customHeight="1" x14ac:dyDescent="0.45">
      <c r="A62" s="15"/>
      <c r="B62" s="71" t="s">
        <v>92</v>
      </c>
      <c r="C62" s="71"/>
      <c r="D62" s="71"/>
      <c r="Q62"/>
    </row>
    <row r="63" spans="1:17" ht="15" customHeight="1" x14ac:dyDescent="0.45">
      <c r="A63" s="15"/>
      <c r="B63" s="19"/>
      <c r="C63" s="19"/>
      <c r="D63" s="19"/>
      <c r="E63" s="19"/>
    </row>
    <row r="64" spans="1:17" ht="15" customHeight="1" x14ac:dyDescent="0.45">
      <c r="A64" s="15"/>
      <c r="B64" s="19" t="s">
        <v>93</v>
      </c>
      <c r="C64" s="19"/>
      <c r="D64" s="19"/>
      <c r="E64" s="19"/>
    </row>
    <row r="65" spans="1:17" ht="15" customHeight="1" x14ac:dyDescent="0.45">
      <c r="A65" s="15"/>
      <c r="B65" s="19" t="s">
        <v>90</v>
      </c>
      <c r="C65" s="19"/>
      <c r="D65" s="19"/>
      <c r="E65" s="19"/>
    </row>
    <row r="66" spans="1:17" s="70" customFormat="1" ht="15" customHeight="1" x14ac:dyDescent="0.45">
      <c r="A66" s="15"/>
      <c r="B66" s="71" t="s">
        <v>94</v>
      </c>
      <c r="C66" s="71"/>
      <c r="D66" s="71"/>
      <c r="E66" s="25"/>
      <c r="Q66"/>
    </row>
    <row r="67" spans="1:17" ht="15" customHeight="1" x14ac:dyDescent="0.45">
      <c r="A67" s="15"/>
      <c r="B67" s="19" t="s">
        <v>33</v>
      </c>
      <c r="C67" s="19"/>
      <c r="D67" s="19"/>
      <c r="E67" s="19"/>
    </row>
    <row r="68" spans="1:17" ht="15" customHeight="1" x14ac:dyDescent="0.45">
      <c r="A68" s="15"/>
      <c r="B68" s="19"/>
      <c r="C68" s="19"/>
      <c r="D68" s="19"/>
      <c r="E68" s="19"/>
      <c r="F68" s="19"/>
      <c r="G68" s="19"/>
      <c r="H68" s="19"/>
      <c r="I68" s="19"/>
      <c r="J68" s="19"/>
      <c r="K68" s="19"/>
      <c r="L68" s="19"/>
      <c r="M68" s="19"/>
      <c r="N68" s="19"/>
      <c r="O68" s="19"/>
      <c r="P68" s="19"/>
    </row>
    <row r="69" spans="1:17" s="70" customFormat="1" ht="15" customHeight="1" x14ac:dyDescent="0.45">
      <c r="A69" s="15"/>
      <c r="B69" s="71" t="s">
        <v>95</v>
      </c>
      <c r="C69" s="71"/>
      <c r="D69" s="71"/>
      <c r="E69" s="79"/>
      <c r="F69" s="79">
        <v>0</v>
      </c>
      <c r="Q69"/>
    </row>
    <row r="70" spans="1:17" ht="15" customHeight="1" x14ac:dyDescent="0.45">
      <c r="A70" s="15"/>
      <c r="B70" s="19" t="s">
        <v>32</v>
      </c>
      <c r="C70" s="19"/>
      <c r="D70" s="19"/>
      <c r="E70" s="3"/>
      <c r="F70" s="19"/>
    </row>
    <row r="71" spans="1:17" ht="15" customHeight="1" x14ac:dyDescent="0.45">
      <c r="A71" s="15"/>
      <c r="B71" s="19"/>
      <c r="C71" s="19"/>
      <c r="D71" s="19"/>
      <c r="E71" s="3"/>
      <c r="F71" s="19"/>
    </row>
    <row r="72" spans="1:17" ht="15" customHeight="1" x14ac:dyDescent="0.45">
      <c r="A72" s="15"/>
      <c r="B72" s="19" t="s">
        <v>96</v>
      </c>
      <c r="C72" s="19"/>
      <c r="D72" s="19"/>
      <c r="E72" s="3"/>
      <c r="F72" s="19"/>
    </row>
    <row r="73" spans="1:17" ht="15" customHeight="1" x14ac:dyDescent="0.45">
      <c r="A73" s="15"/>
      <c r="B73" s="19" t="s">
        <v>97</v>
      </c>
      <c r="C73" s="19"/>
      <c r="D73" s="19"/>
      <c r="E73" s="3"/>
      <c r="F73" s="19"/>
    </row>
    <row r="74" spans="1:17" ht="15" customHeight="1" x14ac:dyDescent="0.45">
      <c r="A74" s="15"/>
      <c r="B74" s="19" t="s">
        <v>98</v>
      </c>
      <c r="C74" s="19"/>
      <c r="D74" s="19"/>
      <c r="E74" s="3"/>
      <c r="F74" s="19"/>
    </row>
    <row r="75" spans="1:17" s="70" customFormat="1" ht="15" customHeight="1" x14ac:dyDescent="0.45">
      <c r="A75" s="15"/>
      <c r="B75" s="71" t="s">
        <v>99</v>
      </c>
      <c r="C75" s="71"/>
      <c r="D75" s="71"/>
      <c r="E75" s="79"/>
      <c r="F75" s="78">
        <v>0</v>
      </c>
      <c r="Q75"/>
    </row>
    <row r="76" spans="1:17" ht="15" customHeight="1" x14ac:dyDescent="0.45">
      <c r="A76" s="15"/>
      <c r="B76" s="19"/>
      <c r="C76" s="19"/>
      <c r="D76" s="19"/>
      <c r="E76" s="3"/>
      <c r="F76" s="19"/>
      <c r="G76" s="19"/>
      <c r="H76" s="19"/>
      <c r="I76" s="19"/>
      <c r="J76" s="19"/>
      <c r="K76" s="19"/>
      <c r="L76" s="19"/>
      <c r="M76" s="19"/>
      <c r="N76" s="19"/>
      <c r="O76" s="19"/>
      <c r="P76" s="19"/>
    </row>
    <row r="77" spans="1:17" ht="15" customHeight="1" x14ac:dyDescent="0.45">
      <c r="A77" s="15"/>
      <c r="B77" s="19" t="s">
        <v>100</v>
      </c>
      <c r="C77" s="19"/>
      <c r="D77" s="19"/>
      <c r="E77" s="25"/>
      <c r="H77" s="19"/>
      <c r="I77" s="19"/>
      <c r="J77" s="19"/>
      <c r="K77" s="19"/>
      <c r="L77" s="19"/>
      <c r="M77" s="19"/>
      <c r="N77" s="19"/>
      <c r="O77" s="19"/>
      <c r="P77" s="19"/>
    </row>
    <row r="78" spans="1:17" ht="15" customHeight="1" x14ac:dyDescent="0.45">
      <c r="A78" s="76"/>
      <c r="B78" s="19" t="s">
        <v>101</v>
      </c>
      <c r="C78" s="19"/>
      <c r="D78" s="19"/>
      <c r="E78" s="3"/>
      <c r="F78" s="19"/>
      <c r="G78" s="80"/>
      <c r="H78" s="80"/>
      <c r="I78" s="80"/>
      <c r="J78" s="80"/>
      <c r="K78" s="80"/>
      <c r="L78" s="80"/>
      <c r="M78" s="80"/>
      <c r="N78" s="80"/>
      <c r="O78" s="80"/>
      <c r="P78" s="80"/>
    </row>
    <row r="79" spans="1:17" ht="15" customHeight="1" x14ac:dyDescent="0.45">
      <c r="A79" s="15"/>
      <c r="B79" s="19"/>
      <c r="C79" s="19"/>
      <c r="D79" s="19"/>
      <c r="E79" s="19"/>
      <c r="F79" s="19"/>
      <c r="G79" s="19"/>
      <c r="H79" s="19"/>
      <c r="I79" s="19"/>
      <c r="J79" s="19"/>
      <c r="K79" s="19"/>
      <c r="L79" s="19"/>
      <c r="M79" s="19"/>
      <c r="N79" s="19"/>
      <c r="O79" s="19"/>
      <c r="P79" s="19"/>
    </row>
    <row r="80" spans="1:17" ht="15" customHeight="1" x14ac:dyDescent="0.45">
      <c r="A80" s="15" t="s">
        <v>102</v>
      </c>
      <c r="B80" s="19"/>
      <c r="C80" s="19"/>
      <c r="D80" s="19"/>
      <c r="E80" s="19"/>
      <c r="F80" s="19"/>
      <c r="G80" s="19"/>
      <c r="H80" s="19"/>
      <c r="I80" s="19"/>
      <c r="J80" s="19"/>
      <c r="K80" s="19"/>
      <c r="L80" s="19"/>
      <c r="M80" s="19"/>
      <c r="N80" s="19"/>
      <c r="O80" s="19"/>
      <c r="P80" s="19"/>
    </row>
    <row r="81" spans="1:17" ht="15" customHeight="1" x14ac:dyDescent="0.45">
      <c r="A81" s="15"/>
      <c r="B81" s="4" t="s">
        <v>103</v>
      </c>
      <c r="C81" s="19"/>
      <c r="D81" s="19"/>
      <c r="E81" s="19"/>
    </row>
    <row r="82" spans="1:17" ht="15" customHeight="1" x14ac:dyDescent="0.45">
      <c r="A82" s="15"/>
      <c r="B82" s="4" t="s">
        <v>65</v>
      </c>
      <c r="C82" s="19"/>
      <c r="D82" s="19"/>
      <c r="E82" s="19"/>
      <c r="F82" s="4"/>
    </row>
    <row r="83" spans="1:17" ht="15" customHeight="1" x14ac:dyDescent="0.45">
      <c r="A83" s="15"/>
      <c r="B83" s="4" t="s">
        <v>22</v>
      </c>
      <c r="C83" s="19"/>
      <c r="D83" s="19"/>
      <c r="E83" s="19"/>
      <c r="F83" s="19"/>
    </row>
    <row r="84" spans="1:17" s="70" customFormat="1" ht="15" customHeight="1" x14ac:dyDescent="0.45">
      <c r="A84" s="15"/>
      <c r="B84" s="77" t="s">
        <v>104</v>
      </c>
      <c r="C84" s="71"/>
      <c r="D84" s="71"/>
      <c r="E84" s="71"/>
      <c r="F84" s="71"/>
      <c r="Q84"/>
    </row>
    <row r="85" spans="1:17" ht="15" customHeight="1" x14ac:dyDescent="0.45">
      <c r="A85" s="15"/>
      <c r="B85" s="19"/>
      <c r="C85" s="19"/>
      <c r="D85" s="19"/>
      <c r="E85" s="19"/>
      <c r="F85" s="19"/>
    </row>
    <row r="86" spans="1:17" ht="15" customHeight="1" x14ac:dyDescent="0.45">
      <c r="A86" s="15"/>
      <c r="B86" s="4" t="s">
        <v>105</v>
      </c>
      <c r="C86" s="19"/>
      <c r="D86" s="19"/>
      <c r="E86" s="25"/>
    </row>
    <row r="87" spans="1:17" s="70" customFormat="1" ht="15" customHeight="1" x14ac:dyDescent="0.45">
      <c r="A87" s="15"/>
      <c r="B87" s="77" t="s">
        <v>106</v>
      </c>
      <c r="C87" s="71"/>
      <c r="D87" s="71"/>
      <c r="E87" s="25"/>
      <c r="F87" s="81"/>
      <c r="H87" s="71"/>
      <c r="I87" s="71"/>
      <c r="J87" s="71"/>
      <c r="K87" s="71"/>
      <c r="L87" s="71"/>
      <c r="M87" s="71"/>
      <c r="N87" s="71"/>
      <c r="O87" s="71"/>
      <c r="P87" s="71"/>
    </row>
    <row r="88" spans="1:17" ht="15" customHeight="1" x14ac:dyDescent="0.45">
      <c r="A88" s="15"/>
      <c r="B88" s="19"/>
      <c r="C88" s="19"/>
      <c r="D88" s="19"/>
      <c r="E88" s="19"/>
      <c r="F88" s="19"/>
      <c r="G88" s="19"/>
      <c r="H88" s="19"/>
      <c r="I88" s="19"/>
      <c r="J88" s="19"/>
      <c r="K88" s="19"/>
      <c r="L88" s="19"/>
      <c r="M88" s="19"/>
      <c r="N88" s="19"/>
      <c r="O88" s="19"/>
      <c r="P88" s="19"/>
    </row>
    <row r="89" spans="1:17" ht="15" customHeight="1" x14ac:dyDescent="0.45">
      <c r="A89" s="15" t="s">
        <v>107</v>
      </c>
      <c r="B89" s="19"/>
      <c r="C89" s="19"/>
      <c r="D89" s="19"/>
      <c r="E89" s="19"/>
      <c r="F89" s="19"/>
      <c r="G89" s="19"/>
      <c r="H89" s="19"/>
      <c r="I89" s="19"/>
      <c r="J89" s="19"/>
      <c r="K89" s="19"/>
      <c r="L89" s="19"/>
      <c r="M89" s="19"/>
      <c r="N89" s="19"/>
      <c r="O89" s="19"/>
      <c r="P89" s="19"/>
    </row>
    <row r="90" spans="1:17" ht="15" customHeight="1" x14ac:dyDescent="0.45">
      <c r="A90" s="15"/>
      <c r="B90" s="4" t="s">
        <v>108</v>
      </c>
      <c r="C90" s="19"/>
      <c r="D90" s="19"/>
      <c r="E90" s="19"/>
      <c r="F90" s="19"/>
      <c r="G90" s="19"/>
      <c r="H90" s="19"/>
      <c r="I90" s="19"/>
      <c r="J90" s="19"/>
      <c r="K90" s="19"/>
      <c r="L90" s="19"/>
      <c r="M90" s="19"/>
      <c r="N90" s="19"/>
      <c r="O90" s="19"/>
      <c r="P90" s="19"/>
    </row>
    <row r="91" spans="1:17" ht="15" customHeight="1" x14ac:dyDescent="0.45">
      <c r="A91" s="15"/>
      <c r="B91" s="19"/>
      <c r="C91" s="25"/>
      <c r="E91" s="54" t="s">
        <v>82</v>
      </c>
      <c r="F91" s="19"/>
      <c r="G91" s="19"/>
      <c r="H91" s="19"/>
      <c r="I91" s="19"/>
      <c r="J91" s="19"/>
      <c r="K91" s="19"/>
      <c r="L91" s="19"/>
      <c r="M91" s="19"/>
      <c r="N91" s="19"/>
      <c r="O91" s="19"/>
      <c r="P91" s="19"/>
    </row>
    <row r="92" spans="1:17" ht="15" customHeight="1" x14ac:dyDescent="0.45">
      <c r="A92" s="15"/>
      <c r="B92" s="19"/>
      <c r="C92" s="26"/>
      <c r="D92" s="58">
        <v>3</v>
      </c>
      <c r="E92" s="58">
        <v>4</v>
      </c>
      <c r="F92" s="58">
        <v>5</v>
      </c>
      <c r="G92" s="19"/>
      <c r="H92" s="19"/>
      <c r="I92" s="19"/>
      <c r="J92" s="19"/>
      <c r="K92" s="19"/>
      <c r="L92" s="19"/>
      <c r="M92" s="19"/>
      <c r="N92" s="19"/>
      <c r="O92" s="19"/>
      <c r="P92" s="19"/>
    </row>
    <row r="93" spans="1:17" ht="15" customHeight="1" x14ac:dyDescent="0.45">
      <c r="A93" s="15"/>
      <c r="B93" s="19"/>
      <c r="C93" s="55">
        <v>8</v>
      </c>
      <c r="D93" s="26"/>
      <c r="E93" s="26"/>
      <c r="F93" s="26"/>
      <c r="H93" s="19"/>
      <c r="I93" s="19"/>
      <c r="J93" s="19"/>
      <c r="K93" s="19"/>
      <c r="L93" s="19"/>
      <c r="M93" s="19"/>
      <c r="N93" s="19"/>
      <c r="O93" s="19"/>
      <c r="P93" s="19"/>
    </row>
    <row r="94" spans="1:17" ht="15" customHeight="1" x14ac:dyDescent="0.45">
      <c r="A94" s="15"/>
      <c r="B94" s="19"/>
      <c r="C94" s="55">
        <f>C93+1</f>
        <v>9</v>
      </c>
      <c r="D94" s="26"/>
      <c r="E94" s="26"/>
      <c r="F94" s="26"/>
      <c r="G94" s="19"/>
      <c r="H94" s="19"/>
      <c r="I94" s="19"/>
      <c r="J94" s="19"/>
      <c r="K94" s="19"/>
      <c r="L94" s="19"/>
      <c r="M94" s="19"/>
      <c r="N94" s="19"/>
      <c r="O94" s="19"/>
      <c r="P94" s="19"/>
    </row>
    <row r="95" spans="1:17" ht="15" customHeight="1" x14ac:dyDescent="0.45">
      <c r="A95" s="15"/>
      <c r="B95" s="4" t="s">
        <v>109</v>
      </c>
      <c r="C95" s="55">
        <f t="shared" ref="C95:C97" si="3">C94+1</f>
        <v>10</v>
      </c>
      <c r="D95" s="26"/>
      <c r="E95" s="26"/>
      <c r="F95" s="26"/>
      <c r="G95" s="19"/>
      <c r="H95" s="19"/>
      <c r="I95" s="19"/>
      <c r="J95" s="19"/>
      <c r="K95" s="19"/>
      <c r="L95" s="19"/>
      <c r="M95" s="19"/>
      <c r="N95" s="19"/>
      <c r="O95" s="19"/>
      <c r="P95" s="19"/>
    </row>
    <row r="96" spans="1:17" ht="15" customHeight="1" x14ac:dyDescent="0.45">
      <c r="A96" s="15"/>
      <c r="B96" s="19"/>
      <c r="C96" s="55">
        <f t="shared" si="3"/>
        <v>11</v>
      </c>
      <c r="D96" s="26"/>
      <c r="E96" s="26"/>
      <c r="F96" s="26"/>
      <c r="G96" s="19"/>
      <c r="H96" s="19"/>
      <c r="I96" s="19"/>
      <c r="J96" s="19"/>
      <c r="K96" s="19"/>
      <c r="L96" s="19"/>
      <c r="M96" s="19"/>
      <c r="N96" s="19"/>
      <c r="O96" s="19"/>
      <c r="P96" s="19"/>
    </row>
    <row r="97" spans="1:16" ht="15" customHeight="1" x14ac:dyDescent="0.45">
      <c r="A97" s="15"/>
      <c r="B97" s="19"/>
      <c r="C97" s="55">
        <f t="shared" si="3"/>
        <v>12</v>
      </c>
      <c r="D97" s="26"/>
      <c r="E97" s="26"/>
      <c r="F97" s="26"/>
      <c r="G97" s="19"/>
      <c r="H97" s="19"/>
      <c r="I97" s="19"/>
      <c r="J97" s="19"/>
      <c r="K97" s="19"/>
      <c r="L97" s="19"/>
      <c r="M97" s="19"/>
      <c r="N97" s="19"/>
      <c r="O97" s="19"/>
      <c r="P97" s="19"/>
    </row>
    <row r="98" spans="1:16" ht="15" customHeight="1" x14ac:dyDescent="0.45">
      <c r="A98" s="29"/>
    </row>
    <row r="99" spans="1:16" ht="15" customHeight="1" x14ac:dyDescent="0.45">
      <c r="A99" s="29" t="s">
        <v>23</v>
      </c>
    </row>
    <row r="100" spans="1:16" ht="15" customHeight="1" x14ac:dyDescent="0.45">
      <c r="A100" s="29"/>
    </row>
    <row r="101" spans="1:16" ht="15" customHeight="1" x14ac:dyDescent="0.45">
      <c r="A101" s="29"/>
    </row>
  </sheetData>
  <sortState xmlns:xlrd2="http://schemas.microsoft.com/office/spreadsheetml/2017/richdata2" ref="F13:F18">
    <sortCondition ref="F13:F18"/>
  </sortState>
  <conditionalFormatting sqref="D93:F97">
    <cfRule type="cellIs" dxfId="1" priority="1" operator="equal">
      <formula>$F$87</formula>
    </cfRule>
  </conditionalFormatting>
  <printOptions headings="1" gridLines="1"/>
  <pageMargins left="0.31496062992125984" right="0.11811023622047245" top="0.74803149606299213" bottom="0.74803149606299213" header="0" footer="0"/>
  <pageSetup paperSize="9" scale="66" fitToHeight="0" orientation="landscape" r:id="rId1"/>
  <headerFooter>
    <oddHeader>&amp;R&amp;F  &amp;A</oddHeader>
    <oddFooter>&amp;L© 2016&amp;CPage &amp;P of</oddFooter>
  </headerFooter>
  <rowBreaks count="2" manualBreakCount="2">
    <brk id="55" max="15" man="1"/>
    <brk id="88" max="1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C573-7CED-43AB-983C-07F4B512D9D5}">
  <sheetPr>
    <pageSetUpPr fitToPage="1"/>
  </sheetPr>
  <dimension ref="A1:Q108"/>
  <sheetViews>
    <sheetView workbookViewId="0"/>
  </sheetViews>
  <sheetFormatPr defaultColWidth="12.59765625" defaultRowHeight="15" customHeight="1" x14ac:dyDescent="0.45"/>
  <cols>
    <col min="1" max="1" width="1.59765625" customWidth="1"/>
    <col min="2" max="2" width="50.59765625" customWidth="1"/>
    <col min="3" max="9" width="10.265625" customWidth="1"/>
    <col min="10" max="10" width="12.73046875" bestFit="1" customWidth="1"/>
    <col min="11" max="16" width="10.265625" customWidth="1"/>
  </cols>
  <sheetData>
    <row r="1" spans="1:16" ht="45" customHeight="1" x14ac:dyDescent="0.85">
      <c r="A1" s="28" t="str">
        <f>"LBO valuation for Greggs"</f>
        <v>LBO valuation for Greggs</v>
      </c>
      <c r="B1" s="28"/>
      <c r="C1" s="28"/>
      <c r="D1" s="28"/>
      <c r="E1" s="28"/>
      <c r="F1" s="28"/>
      <c r="G1" s="28"/>
      <c r="H1" s="28"/>
      <c r="I1" s="28"/>
      <c r="J1" s="28"/>
      <c r="K1" s="28"/>
      <c r="L1" s="28"/>
      <c r="M1" s="28"/>
      <c r="N1" s="28"/>
      <c r="O1" s="28"/>
      <c r="P1" s="28"/>
    </row>
    <row r="2" spans="1:16" ht="15" customHeight="1" x14ac:dyDescent="0.45">
      <c r="A2" s="30"/>
      <c r="B2" s="30"/>
      <c r="C2" s="30" t="s">
        <v>154</v>
      </c>
      <c r="D2" s="30" t="s">
        <v>154</v>
      </c>
      <c r="E2" s="30" t="s">
        <v>154</v>
      </c>
      <c r="F2" s="30" t="s">
        <v>154</v>
      </c>
      <c r="G2" s="30" t="s">
        <v>155</v>
      </c>
      <c r="H2" s="30" t="s">
        <v>155</v>
      </c>
      <c r="I2" s="30" t="s">
        <v>155</v>
      </c>
      <c r="J2" s="30" t="s">
        <v>155</v>
      </c>
      <c r="K2" s="30" t="s">
        <v>155</v>
      </c>
      <c r="L2" s="30" t="s">
        <v>155</v>
      </c>
      <c r="M2" s="30" t="s">
        <v>155</v>
      </c>
      <c r="N2" s="30" t="s">
        <v>155</v>
      </c>
      <c r="O2" s="30" t="s">
        <v>155</v>
      </c>
      <c r="P2" s="30" t="s">
        <v>155</v>
      </c>
    </row>
    <row r="3" spans="1:16" ht="15" customHeight="1" x14ac:dyDescent="0.45">
      <c r="A3" s="30"/>
      <c r="B3" s="30"/>
      <c r="C3" s="52">
        <f>EDATE(D3,-12)</f>
        <v>44561</v>
      </c>
      <c r="D3" s="52">
        <f>EDATE(E3,-12)</f>
        <v>44926</v>
      </c>
      <c r="E3" s="52">
        <f>EDATE(F3,-12)</f>
        <v>45291</v>
      </c>
      <c r="F3" s="52">
        <v>45657</v>
      </c>
      <c r="G3" s="52">
        <f>EDATE(F3,12)</f>
        <v>46022</v>
      </c>
      <c r="H3" s="52">
        <f t="shared" ref="H3:P3" si="0">EDATE(G3,12)</f>
        <v>46387</v>
      </c>
      <c r="I3" s="52">
        <f t="shared" si="0"/>
        <v>46752</v>
      </c>
      <c r="J3" s="52">
        <f t="shared" si="0"/>
        <v>47118</v>
      </c>
      <c r="K3" s="52">
        <f t="shared" si="0"/>
        <v>47483</v>
      </c>
      <c r="L3" s="52">
        <f t="shared" si="0"/>
        <v>47848</v>
      </c>
      <c r="M3" s="52">
        <f t="shared" si="0"/>
        <v>48213</v>
      </c>
      <c r="N3" s="52">
        <f t="shared" si="0"/>
        <v>48579</v>
      </c>
      <c r="O3" s="52">
        <f t="shared" si="0"/>
        <v>48944</v>
      </c>
      <c r="P3" s="52">
        <f t="shared" si="0"/>
        <v>49309</v>
      </c>
    </row>
    <row r="4" spans="1:16" ht="15" customHeight="1" x14ac:dyDescent="0.45">
      <c r="A4" s="4" t="s">
        <v>156</v>
      </c>
      <c r="B4" s="19"/>
      <c r="C4" s="19"/>
      <c r="D4" s="19"/>
      <c r="E4" s="19"/>
      <c r="F4" s="19"/>
      <c r="G4" s="19"/>
      <c r="H4" s="19"/>
      <c r="I4" s="19"/>
      <c r="J4" s="19"/>
      <c r="K4" s="19"/>
      <c r="L4" s="19"/>
      <c r="M4" s="19"/>
      <c r="N4" s="19"/>
      <c r="O4" s="19"/>
      <c r="P4" s="19"/>
    </row>
    <row r="5" spans="1:16" ht="15" customHeight="1" x14ac:dyDescent="0.45">
      <c r="B5" s="19"/>
      <c r="C5" s="19"/>
      <c r="D5" s="19"/>
      <c r="E5" s="19"/>
      <c r="F5" s="19"/>
      <c r="G5" s="19"/>
      <c r="H5" s="19"/>
      <c r="I5" s="19"/>
      <c r="J5" s="19"/>
      <c r="K5" s="19"/>
      <c r="L5" s="19"/>
      <c r="M5" s="19"/>
      <c r="N5" s="19"/>
      <c r="O5" s="19"/>
      <c r="P5" s="19"/>
    </row>
    <row r="6" spans="1:16" ht="15" customHeight="1" x14ac:dyDescent="0.45">
      <c r="A6" s="15" t="s">
        <v>24</v>
      </c>
      <c r="B6" s="19"/>
      <c r="C6" s="19"/>
      <c r="D6" s="19"/>
      <c r="E6" s="19"/>
      <c r="F6" s="19"/>
      <c r="H6" s="15" t="s">
        <v>69</v>
      </c>
      <c r="I6" s="19"/>
      <c r="J6" s="19"/>
      <c r="K6" s="19"/>
      <c r="L6" s="19"/>
      <c r="M6" s="19"/>
      <c r="N6" s="4" t="s">
        <v>73</v>
      </c>
      <c r="O6" s="19"/>
      <c r="P6" s="19"/>
    </row>
    <row r="7" spans="1:16" ht="15" customHeight="1" x14ac:dyDescent="0.45">
      <c r="A7" s="15"/>
      <c r="B7" t="s">
        <v>167</v>
      </c>
      <c r="F7" s="2">
        <v>18.22</v>
      </c>
      <c r="H7" t="s">
        <v>171</v>
      </c>
      <c r="L7" t="s">
        <v>74</v>
      </c>
      <c r="N7" s="21">
        <v>4</v>
      </c>
    </row>
    <row r="8" spans="1:16" ht="15" customHeight="1" x14ac:dyDescent="0.45">
      <c r="A8" s="15"/>
      <c r="B8" t="s">
        <v>169</v>
      </c>
      <c r="F8" s="82">
        <v>0.4</v>
      </c>
      <c r="H8" t="s">
        <v>175</v>
      </c>
      <c r="L8" t="s">
        <v>76</v>
      </c>
      <c r="N8" s="59">
        <f>+F17-N7</f>
        <v>2</v>
      </c>
    </row>
    <row r="9" spans="1:16" ht="15" customHeight="1" x14ac:dyDescent="0.45">
      <c r="A9" s="15"/>
      <c r="B9" t="s">
        <v>170</v>
      </c>
      <c r="F9" s="83"/>
      <c r="H9" t="s">
        <v>70</v>
      </c>
      <c r="L9" t="s">
        <v>28</v>
      </c>
      <c r="N9" s="19"/>
    </row>
    <row r="10" spans="1:16" ht="15" customHeight="1" x14ac:dyDescent="0.45">
      <c r="A10" s="15"/>
      <c r="B10" t="s">
        <v>168</v>
      </c>
      <c r="F10" s="23">
        <v>102.26</v>
      </c>
      <c r="H10" s="70" t="s">
        <v>71</v>
      </c>
      <c r="I10" s="70"/>
      <c r="J10" s="70"/>
      <c r="L10" s="70" t="s">
        <v>72</v>
      </c>
      <c r="M10" s="70"/>
      <c r="N10" s="71"/>
      <c r="O10" s="70"/>
    </row>
    <row r="11" spans="1:16" ht="15" customHeight="1" x14ac:dyDescent="0.45">
      <c r="A11" s="15"/>
      <c r="B11" t="s">
        <v>171</v>
      </c>
      <c r="H11" s="70"/>
      <c r="I11" s="70"/>
      <c r="J11" s="71"/>
      <c r="K11" s="70"/>
      <c r="L11" s="70"/>
      <c r="M11" s="71"/>
      <c r="N11" s="70"/>
    </row>
    <row r="12" spans="1:16" ht="15" customHeight="1" x14ac:dyDescent="0.45">
      <c r="A12" s="15"/>
      <c r="B12" t="s">
        <v>22</v>
      </c>
      <c r="F12" s="23">
        <f>53.8+361.3+0.4-125.3</f>
        <v>290.2</v>
      </c>
      <c r="H12" s="70"/>
      <c r="I12" s="70"/>
      <c r="J12" s="71"/>
      <c r="K12" s="70"/>
      <c r="L12" s="70"/>
      <c r="M12" s="71"/>
      <c r="N12" s="70"/>
    </row>
    <row r="13" spans="1:16" ht="15" customHeight="1" x14ac:dyDescent="0.45">
      <c r="A13" s="15"/>
      <c r="B13" t="s">
        <v>172</v>
      </c>
      <c r="H13" s="70"/>
      <c r="I13" s="70"/>
      <c r="J13" s="71"/>
      <c r="K13" s="70"/>
      <c r="L13" s="70"/>
      <c r="M13" s="71"/>
      <c r="N13" s="70"/>
    </row>
    <row r="14" spans="1:16" ht="15" customHeight="1" x14ac:dyDescent="0.45">
      <c r="A14" s="15"/>
      <c r="B14" s="4" t="s">
        <v>62</v>
      </c>
      <c r="C14" s="19"/>
      <c r="D14" s="19"/>
      <c r="E14" s="25"/>
      <c r="F14" s="19"/>
      <c r="H14" s="19"/>
      <c r="I14" s="19"/>
      <c r="J14" s="19"/>
      <c r="K14" s="19"/>
      <c r="L14" s="19"/>
      <c r="M14" s="19"/>
      <c r="O14" s="19"/>
      <c r="P14" s="19"/>
    </row>
    <row r="15" spans="1:16" ht="15" customHeight="1" x14ac:dyDescent="0.45">
      <c r="A15" s="15"/>
      <c r="B15" t="s">
        <v>173</v>
      </c>
      <c r="F15" s="27"/>
      <c r="H15" s="70"/>
      <c r="I15" s="70"/>
      <c r="J15" s="71"/>
      <c r="K15" s="70"/>
      <c r="L15" s="70"/>
      <c r="M15" s="71"/>
      <c r="N15" s="70"/>
    </row>
    <row r="16" spans="1:16" ht="15" customHeight="1" x14ac:dyDescent="0.45">
      <c r="A16" s="15"/>
      <c r="B16" t="s">
        <v>174</v>
      </c>
      <c r="F16" s="27"/>
      <c r="H16" s="70"/>
      <c r="I16" s="70"/>
      <c r="J16" s="71"/>
      <c r="K16" s="70"/>
      <c r="L16" s="70"/>
      <c r="M16" s="71"/>
      <c r="N16" s="70"/>
    </row>
    <row r="17" spans="1:16" ht="15" customHeight="1" x14ac:dyDescent="0.45">
      <c r="A17" s="15"/>
      <c r="B17" s="4" t="s">
        <v>75</v>
      </c>
      <c r="C17" s="19"/>
      <c r="D17" s="19"/>
      <c r="E17" s="19"/>
      <c r="F17" s="21">
        <v>6</v>
      </c>
      <c r="H17" s="70"/>
      <c r="I17" s="70"/>
      <c r="J17" s="71"/>
      <c r="K17" s="70"/>
      <c r="L17" s="70"/>
      <c r="M17" s="71"/>
      <c r="N17" s="70"/>
    </row>
    <row r="18" spans="1:16" ht="15" customHeight="1" x14ac:dyDescent="0.45">
      <c r="A18" s="15"/>
      <c r="B18" s="19"/>
      <c r="C18" s="19"/>
      <c r="D18" s="19"/>
      <c r="E18" s="19"/>
      <c r="F18" s="19"/>
      <c r="H18" s="19"/>
      <c r="I18" s="19"/>
      <c r="J18" s="19"/>
      <c r="K18" s="19"/>
      <c r="L18" s="19"/>
      <c r="M18" s="19"/>
      <c r="O18" s="19"/>
      <c r="P18" s="19"/>
    </row>
    <row r="19" spans="1:16" ht="15" customHeight="1" x14ac:dyDescent="0.45">
      <c r="A19" s="15"/>
      <c r="B19" s="4" t="s">
        <v>78</v>
      </c>
      <c r="C19" s="19"/>
      <c r="D19" s="19"/>
      <c r="F19" s="22">
        <v>3.5099999999999999E-2</v>
      </c>
      <c r="H19" s="19"/>
      <c r="I19" s="19"/>
      <c r="J19" s="19"/>
      <c r="K19" s="19"/>
      <c r="L19" s="19"/>
      <c r="M19" s="19"/>
      <c r="N19" s="19"/>
      <c r="O19" s="19"/>
      <c r="P19" s="19"/>
    </row>
    <row r="20" spans="1:16" ht="15" customHeight="1" x14ac:dyDescent="0.45">
      <c r="A20" s="15"/>
      <c r="B20" s="4" t="s">
        <v>66</v>
      </c>
      <c r="C20" s="19"/>
      <c r="D20" s="19"/>
      <c r="F20" s="22">
        <v>2.41E-2</v>
      </c>
      <c r="H20" s="19"/>
      <c r="I20" s="19"/>
      <c r="J20" s="19"/>
      <c r="K20" s="19"/>
      <c r="L20" s="19"/>
      <c r="M20" s="19"/>
      <c r="N20" s="19"/>
      <c r="O20" s="19"/>
      <c r="P20" s="19"/>
    </row>
    <row r="21" spans="1:16" ht="15" customHeight="1" x14ac:dyDescent="0.45">
      <c r="A21" s="15"/>
      <c r="B21" s="4" t="s">
        <v>79</v>
      </c>
      <c r="C21" s="19"/>
      <c r="D21" s="19"/>
      <c r="F21" s="57">
        <f>SUM(F19:F20)</f>
        <v>5.9200000000000003E-2</v>
      </c>
      <c r="H21" s="19"/>
      <c r="I21" s="19"/>
      <c r="J21" s="19"/>
      <c r="K21" s="19"/>
      <c r="L21" s="19"/>
      <c r="M21" s="19"/>
      <c r="N21" s="19"/>
      <c r="O21" s="19"/>
      <c r="P21" s="19"/>
    </row>
    <row r="22" spans="1:16" ht="15" customHeight="1" x14ac:dyDescent="0.45">
      <c r="A22" s="15"/>
      <c r="B22" s="19" t="s">
        <v>80</v>
      </c>
      <c r="C22" s="19"/>
      <c r="D22" s="19"/>
      <c r="F22" s="22">
        <v>8.2500000000000004E-2</v>
      </c>
      <c r="H22" s="19"/>
      <c r="I22" s="19"/>
      <c r="J22" s="19"/>
      <c r="K22" s="19"/>
      <c r="L22" s="19"/>
      <c r="M22" s="19"/>
      <c r="N22" s="19"/>
      <c r="O22" s="19"/>
      <c r="P22" s="19"/>
    </row>
    <row r="23" spans="1:16" ht="15" customHeight="1" x14ac:dyDescent="0.45">
      <c r="A23" s="15"/>
      <c r="B23" s="19" t="s">
        <v>26</v>
      </c>
      <c r="C23" s="19"/>
      <c r="D23" s="19"/>
      <c r="F23" s="22">
        <v>0.03</v>
      </c>
      <c r="H23" s="19"/>
      <c r="I23" s="19"/>
      <c r="J23" s="19"/>
      <c r="K23" s="19"/>
      <c r="L23" s="19"/>
      <c r="M23" s="19"/>
      <c r="N23" s="19"/>
      <c r="O23" s="19"/>
      <c r="P23" s="19"/>
    </row>
    <row r="24" spans="1:16" ht="15" customHeight="1" x14ac:dyDescent="0.45">
      <c r="A24" s="15"/>
      <c r="B24" s="4" t="s">
        <v>81</v>
      </c>
      <c r="C24" s="19"/>
      <c r="D24" s="19"/>
      <c r="F24" s="22">
        <v>0.02</v>
      </c>
      <c r="H24" s="19"/>
      <c r="I24" s="19"/>
      <c r="J24" s="19"/>
      <c r="K24" s="19"/>
      <c r="L24" s="19"/>
      <c r="M24" s="19"/>
      <c r="N24" s="19"/>
      <c r="O24" s="19"/>
      <c r="P24" s="19"/>
    </row>
    <row r="25" spans="1:16" ht="15" customHeight="1" x14ac:dyDescent="0.45">
      <c r="A25" s="15"/>
      <c r="B25" s="4" t="s">
        <v>82</v>
      </c>
      <c r="C25" s="19"/>
      <c r="D25" s="19"/>
      <c r="F25" s="18">
        <v>4</v>
      </c>
      <c r="H25" s="19"/>
      <c r="I25" s="19"/>
      <c r="J25" s="19"/>
      <c r="K25" s="19"/>
      <c r="L25" s="19"/>
      <c r="M25" s="19"/>
      <c r="N25" s="19"/>
      <c r="O25" s="19"/>
      <c r="P25" s="19"/>
    </row>
    <row r="26" spans="1:16" ht="15" customHeight="1" x14ac:dyDescent="0.45">
      <c r="A26" s="15"/>
      <c r="B26" s="19"/>
      <c r="C26" s="19"/>
      <c r="D26" s="19"/>
      <c r="E26" s="19"/>
      <c r="F26" s="19"/>
      <c r="G26" s="19"/>
      <c r="H26" s="19"/>
      <c r="I26" s="19"/>
      <c r="J26" s="19"/>
      <c r="K26" s="19"/>
      <c r="L26" s="19"/>
      <c r="M26" s="19"/>
      <c r="N26" s="19"/>
      <c r="O26" s="19"/>
      <c r="P26" s="19"/>
    </row>
    <row r="27" spans="1:16" ht="15" customHeight="1" x14ac:dyDescent="0.45">
      <c r="A27" s="15" t="s">
        <v>24</v>
      </c>
      <c r="B27" s="19"/>
      <c r="C27" s="19"/>
      <c r="D27" s="19"/>
      <c r="E27" s="19"/>
      <c r="F27" s="19"/>
      <c r="G27" s="19"/>
      <c r="H27" s="19"/>
      <c r="I27" s="19"/>
      <c r="J27" s="19"/>
      <c r="K27" s="19"/>
      <c r="L27" s="19"/>
      <c r="M27" s="19"/>
      <c r="N27" s="19"/>
      <c r="O27" s="19"/>
      <c r="P27" s="19"/>
    </row>
    <row r="28" spans="1:16" ht="15" customHeight="1" x14ac:dyDescent="0.45">
      <c r="A28" s="15"/>
      <c r="B28" s="4" t="s">
        <v>31</v>
      </c>
      <c r="C28" s="19"/>
      <c r="D28" s="19"/>
      <c r="E28">
        <f>E40</f>
        <v>1801</v>
      </c>
      <c r="F28">
        <f>F40</f>
        <v>2014</v>
      </c>
      <c r="G28" s="72">
        <v>2177</v>
      </c>
      <c r="H28" s="72">
        <v>2362</v>
      </c>
      <c r="I28" s="72">
        <v>2546</v>
      </c>
    </row>
    <row r="29" spans="1:16" ht="15" customHeight="1" x14ac:dyDescent="0.45">
      <c r="A29" s="15"/>
      <c r="B29" s="4" t="s">
        <v>161</v>
      </c>
      <c r="C29" s="19"/>
      <c r="D29" s="19"/>
      <c r="E29" s="23"/>
      <c r="F29" s="26">
        <f>F28/E28-1</f>
        <v>0.11826762909494715</v>
      </c>
      <c r="G29" s="26">
        <f t="shared" ref="G29:I29" si="1">G28/F28-1</f>
        <v>8.0933465739821298E-2</v>
      </c>
      <c r="H29" s="26">
        <f t="shared" si="1"/>
        <v>8.4979329352319777E-2</v>
      </c>
      <c r="I29" s="26">
        <f t="shared" si="1"/>
        <v>7.7900084674004999E-2</v>
      </c>
      <c r="J29" s="73">
        <v>0.08</v>
      </c>
      <c r="K29" s="73">
        <v>0.08</v>
      </c>
      <c r="L29" s="73">
        <v>7.0000000000000007E-2</v>
      </c>
      <c r="M29" s="73">
        <v>7.0000000000000007E-2</v>
      </c>
      <c r="N29" s="73">
        <v>0.06</v>
      </c>
      <c r="O29" s="73">
        <v>0.06</v>
      </c>
      <c r="P29" s="73">
        <v>0.05</v>
      </c>
    </row>
    <row r="30" spans="1:16" ht="15" customHeight="1" x14ac:dyDescent="0.45">
      <c r="A30" s="15"/>
      <c r="B30" s="4" t="s">
        <v>19</v>
      </c>
      <c r="C30" s="19"/>
      <c r="D30" s="19"/>
      <c r="E30" s="19">
        <f>E41</f>
        <v>172</v>
      </c>
      <c r="F30" s="19">
        <f>F41</f>
        <v>195</v>
      </c>
      <c r="G30" s="72">
        <v>198</v>
      </c>
      <c r="H30" s="72">
        <v>208</v>
      </c>
      <c r="I30" s="72">
        <v>217</v>
      </c>
    </row>
    <row r="31" spans="1:16" ht="15" customHeight="1" x14ac:dyDescent="0.45">
      <c r="A31" s="15"/>
      <c r="B31" s="4" t="s">
        <v>163</v>
      </c>
      <c r="C31" s="19"/>
      <c r="D31" s="19"/>
      <c r="E31" s="74">
        <f>E30/E28</f>
        <v>9.5502498611882286E-2</v>
      </c>
      <c r="F31" s="74">
        <f>F30/F28</f>
        <v>9.6822244289970202E-2</v>
      </c>
      <c r="G31" s="74">
        <f>G30/G28</f>
        <v>9.0950849793293528E-2</v>
      </c>
      <c r="H31" s="74">
        <f>H30/H28</f>
        <v>8.8060965283657922E-2</v>
      </c>
      <c r="I31" s="74">
        <f>I30/I28</f>
        <v>8.5231736056559315E-2</v>
      </c>
      <c r="J31" s="73">
        <v>8.5000000000000006E-2</v>
      </c>
      <c r="K31" s="73">
        <v>8.5000000000000006E-2</v>
      </c>
      <c r="L31" s="73">
        <v>8.5000000000000006E-2</v>
      </c>
      <c r="M31" s="73">
        <v>8.5000000000000006E-2</v>
      </c>
      <c r="N31" s="73">
        <v>8.5000000000000006E-2</v>
      </c>
      <c r="O31" s="73">
        <v>8.5000000000000006E-2</v>
      </c>
      <c r="P31" s="73">
        <v>8.5000000000000006E-2</v>
      </c>
    </row>
    <row r="32" spans="1:16" ht="15" customHeight="1" x14ac:dyDescent="0.45">
      <c r="A32" s="15"/>
      <c r="B32" s="19" t="s">
        <v>20</v>
      </c>
      <c r="C32" s="19"/>
      <c r="D32" s="19"/>
      <c r="E32" s="19">
        <f>E50</f>
        <v>297</v>
      </c>
      <c r="F32" s="19">
        <f>F50</f>
        <v>335</v>
      </c>
      <c r="G32" s="72">
        <v>365</v>
      </c>
      <c r="H32" s="72">
        <v>395</v>
      </c>
      <c r="I32" s="72">
        <v>423</v>
      </c>
    </row>
    <row r="33" spans="1:17" ht="15" customHeight="1" x14ac:dyDescent="0.45">
      <c r="A33" s="15"/>
      <c r="B33" s="19" t="s">
        <v>162</v>
      </c>
      <c r="C33" s="19"/>
      <c r="D33" s="19"/>
      <c r="E33" s="74">
        <f>E32/E28</f>
        <v>0.16490838423098278</v>
      </c>
      <c r="F33" s="74">
        <f>F32/F28</f>
        <v>0.1663356504468719</v>
      </c>
      <c r="G33" s="74">
        <f>G32/G28</f>
        <v>0.16766192007349565</v>
      </c>
      <c r="H33" s="74">
        <f>H32/H28</f>
        <v>0.16723116003386959</v>
      </c>
      <c r="I33" s="74">
        <f>I32/I28</f>
        <v>0.16614296936370779</v>
      </c>
      <c r="J33" s="73">
        <v>0.16500000000000001</v>
      </c>
      <c r="K33" s="73">
        <v>0.16500000000000001</v>
      </c>
      <c r="L33" s="73">
        <v>0.16500000000000001</v>
      </c>
      <c r="M33" s="73">
        <v>0.16500000000000001</v>
      </c>
      <c r="N33" s="73">
        <v>0.16500000000000001</v>
      </c>
      <c r="O33" s="73">
        <v>0.16500000000000001</v>
      </c>
      <c r="P33" s="73">
        <v>0.16500000000000001</v>
      </c>
    </row>
    <row r="34" spans="1:17" ht="15" customHeight="1" x14ac:dyDescent="0.45">
      <c r="A34" s="15"/>
      <c r="B34" s="19" t="s">
        <v>84</v>
      </c>
      <c r="C34" s="19"/>
      <c r="D34" s="19"/>
      <c r="E34" s="19"/>
      <c r="F34" s="19"/>
      <c r="G34" s="20">
        <v>0.03</v>
      </c>
      <c r="H34" s="20">
        <v>0.03</v>
      </c>
      <c r="I34" s="20">
        <v>0.03</v>
      </c>
      <c r="J34" s="20">
        <v>0.03</v>
      </c>
      <c r="K34" s="20">
        <v>0.03</v>
      </c>
      <c r="L34" s="20">
        <v>0.03</v>
      </c>
      <c r="M34" s="20">
        <v>0.03</v>
      </c>
      <c r="N34" s="20">
        <v>0.03</v>
      </c>
      <c r="O34" s="20">
        <v>0.03</v>
      </c>
      <c r="P34" s="20">
        <v>0.03</v>
      </c>
    </row>
    <row r="35" spans="1:17" ht="15" customHeight="1" x14ac:dyDescent="0.45">
      <c r="A35" s="15"/>
      <c r="B35" s="4" t="s">
        <v>63</v>
      </c>
      <c r="C35" s="19"/>
      <c r="D35" s="19"/>
      <c r="E35" s="74">
        <f>41/168</f>
        <v>0.24404761904761904</v>
      </c>
      <c r="F35" s="51">
        <f>49/190</f>
        <v>0.25789473684210529</v>
      </c>
      <c r="G35" s="73">
        <v>0.25800000000000001</v>
      </c>
      <c r="H35" s="73">
        <v>0.25800000000000001</v>
      </c>
      <c r="I35" s="73">
        <v>0.25800000000000001</v>
      </c>
      <c r="J35" s="73">
        <v>0.25800000000000001</v>
      </c>
      <c r="K35" s="73">
        <v>0.25800000000000001</v>
      </c>
      <c r="L35" s="73">
        <v>0.25800000000000001</v>
      </c>
      <c r="M35" s="73">
        <v>0.25800000000000001</v>
      </c>
      <c r="N35" s="73">
        <v>0.25800000000000001</v>
      </c>
      <c r="O35" s="73">
        <v>0.25800000000000001</v>
      </c>
      <c r="P35" s="73">
        <v>0.25800000000000001</v>
      </c>
    </row>
    <row r="36" spans="1:17" ht="15" customHeight="1" x14ac:dyDescent="0.45">
      <c r="A36" s="15"/>
      <c r="B36" s="4" t="s">
        <v>166</v>
      </c>
      <c r="C36" s="19"/>
      <c r="D36" s="19"/>
      <c r="E36" s="74">
        <f>E53/E40</f>
        <v>-6.518600777345919E-2</v>
      </c>
      <c r="F36" s="74">
        <f>F53/F40</f>
        <v>-6.7924528301886791E-2</v>
      </c>
      <c r="G36" s="73">
        <v>-6.7000000000000004E-2</v>
      </c>
      <c r="H36" s="73">
        <v>-6.7000000000000004E-2</v>
      </c>
      <c r="I36" s="73">
        <v>-6.7000000000000004E-2</v>
      </c>
      <c r="J36" s="73">
        <v>-6.7000000000000004E-2</v>
      </c>
      <c r="K36" s="73">
        <v>-6.7000000000000004E-2</v>
      </c>
      <c r="L36" s="73">
        <v>-6.7000000000000004E-2</v>
      </c>
      <c r="M36" s="73">
        <v>-6.7000000000000004E-2</v>
      </c>
      <c r="N36" s="73">
        <v>-6.7000000000000004E-2</v>
      </c>
      <c r="O36" s="73">
        <v>-6.7000000000000004E-2</v>
      </c>
      <c r="P36" s="73">
        <v>-6.7000000000000004E-2</v>
      </c>
    </row>
    <row r="37" spans="1:17" ht="15" customHeight="1" x14ac:dyDescent="0.45">
      <c r="A37" s="15"/>
      <c r="B37" s="4" t="s">
        <v>160</v>
      </c>
      <c r="C37" s="19"/>
      <c r="D37" s="19"/>
      <c r="E37" s="74">
        <f>E54/E28</f>
        <v>0.10999444752915047</v>
      </c>
      <c r="F37" s="74">
        <f>F54/F28</f>
        <v>0.11961271102284012</v>
      </c>
      <c r="G37" s="73">
        <v>0.12</v>
      </c>
      <c r="H37" s="73">
        <v>0.12</v>
      </c>
      <c r="I37" s="73">
        <v>0.12</v>
      </c>
      <c r="J37" s="73">
        <v>0.12</v>
      </c>
      <c r="K37" s="73">
        <v>0.12</v>
      </c>
      <c r="L37" s="73">
        <v>0.12</v>
      </c>
      <c r="M37" s="73">
        <v>0.12</v>
      </c>
      <c r="N37" s="73">
        <v>0.12</v>
      </c>
      <c r="O37" s="73">
        <v>0.12</v>
      </c>
      <c r="P37" s="73">
        <v>0.12</v>
      </c>
    </row>
    <row r="38" spans="1:17" ht="15" customHeight="1" x14ac:dyDescent="0.45">
      <c r="A38" s="15"/>
      <c r="B38" s="19"/>
      <c r="C38" s="19"/>
      <c r="D38" s="19"/>
      <c r="E38" s="19"/>
      <c r="F38" s="19"/>
      <c r="G38" s="19"/>
      <c r="H38" s="19"/>
      <c r="I38" s="19"/>
      <c r="J38" s="19"/>
      <c r="K38" s="19"/>
      <c r="L38" s="19"/>
      <c r="M38" s="19"/>
      <c r="N38" s="19"/>
      <c r="O38" s="19"/>
      <c r="P38" s="19"/>
    </row>
    <row r="39" spans="1:17" ht="15" customHeight="1" x14ac:dyDescent="0.45">
      <c r="A39" s="15" t="s">
        <v>30</v>
      </c>
      <c r="B39" s="19"/>
      <c r="C39" s="19"/>
      <c r="D39" s="19"/>
      <c r="E39" s="19"/>
      <c r="F39" s="19"/>
      <c r="G39" s="19"/>
      <c r="H39" s="19"/>
      <c r="I39" s="19"/>
      <c r="J39" s="19"/>
      <c r="K39" s="19"/>
      <c r="L39" s="19"/>
      <c r="M39" s="19"/>
      <c r="N39" s="19"/>
      <c r="O39" s="19"/>
      <c r="P39" s="19"/>
    </row>
    <row r="40" spans="1:17" ht="15" customHeight="1" x14ac:dyDescent="0.45">
      <c r="A40" s="15"/>
      <c r="B40" s="4" t="s">
        <v>31</v>
      </c>
      <c r="C40" s="19"/>
      <c r="D40" s="19"/>
      <c r="E40" s="23">
        <v>1801</v>
      </c>
      <c r="F40" s="23">
        <v>2014</v>
      </c>
    </row>
    <row r="41" spans="1:17" s="70" customFormat="1" ht="15" customHeight="1" x14ac:dyDescent="0.45">
      <c r="A41" s="15"/>
      <c r="B41" s="77" t="s">
        <v>19</v>
      </c>
      <c r="C41" s="71"/>
      <c r="D41" s="71"/>
      <c r="E41" s="78">
        <v>172</v>
      </c>
      <c r="F41" s="78">
        <v>195</v>
      </c>
      <c r="Q41"/>
    </row>
    <row r="42" spans="1:17" ht="15" customHeight="1" x14ac:dyDescent="0.45">
      <c r="A42" s="15"/>
      <c r="B42" s="19" t="s">
        <v>85</v>
      </c>
      <c r="C42" s="19"/>
      <c r="D42" s="19"/>
      <c r="E42" s="19"/>
      <c r="F42" s="19"/>
    </row>
    <row r="43" spans="1:17" ht="15" customHeight="1" x14ac:dyDescent="0.45">
      <c r="A43" s="15"/>
      <c r="B43" s="4" t="s">
        <v>33</v>
      </c>
      <c r="C43" s="19"/>
      <c r="D43" s="19"/>
      <c r="E43" s="19"/>
      <c r="F43" s="19"/>
    </row>
    <row r="44" spans="1:17" ht="15" customHeight="1" x14ac:dyDescent="0.45">
      <c r="A44" s="15"/>
      <c r="B44" s="4" t="s">
        <v>32</v>
      </c>
      <c r="C44" s="19"/>
      <c r="D44" s="19"/>
      <c r="E44" s="19"/>
      <c r="F44" s="19"/>
    </row>
    <row r="45" spans="1:17" s="70" customFormat="1" ht="15" customHeight="1" x14ac:dyDescent="0.45">
      <c r="A45" s="15"/>
      <c r="B45" s="77" t="s">
        <v>34</v>
      </c>
      <c r="C45" s="71"/>
      <c r="D45" s="71"/>
      <c r="E45" s="71"/>
      <c r="F45" s="77"/>
      <c r="Q45"/>
    </row>
    <row r="46" spans="1:17" ht="15" customHeight="1" x14ac:dyDescent="0.45">
      <c r="A46" s="15"/>
      <c r="B46" s="4" t="s">
        <v>35</v>
      </c>
      <c r="C46" s="19"/>
      <c r="D46" s="19"/>
      <c r="E46" s="19"/>
      <c r="F46" s="4"/>
    </row>
    <row r="47" spans="1:17" s="70" customFormat="1" ht="15" customHeight="1" x14ac:dyDescent="0.45">
      <c r="A47" s="15"/>
      <c r="B47" s="77" t="s">
        <v>29</v>
      </c>
      <c r="C47" s="71"/>
      <c r="D47" s="71"/>
      <c r="E47" s="71"/>
      <c r="F47" s="77"/>
      <c r="Q47"/>
    </row>
    <row r="48" spans="1:17" ht="15" customHeight="1" x14ac:dyDescent="0.45">
      <c r="A48" s="15"/>
      <c r="B48" s="19"/>
      <c r="C48" s="19"/>
      <c r="D48" s="19"/>
      <c r="E48" s="19"/>
      <c r="F48" s="19"/>
      <c r="G48" s="19"/>
      <c r="H48" s="19"/>
      <c r="I48" s="19"/>
      <c r="J48" s="19"/>
      <c r="K48" s="19"/>
      <c r="L48" s="19"/>
      <c r="M48" s="19"/>
      <c r="N48" s="19"/>
      <c r="O48" s="19"/>
      <c r="P48" s="19"/>
    </row>
    <row r="49" spans="1:17" ht="15" customHeight="1" x14ac:dyDescent="0.45">
      <c r="A49" s="15" t="s">
        <v>83</v>
      </c>
      <c r="B49" s="19"/>
      <c r="C49" s="19"/>
      <c r="D49" s="19"/>
      <c r="E49" s="19"/>
      <c r="F49" s="19"/>
      <c r="G49" s="19"/>
      <c r="H49" s="19"/>
      <c r="I49" s="19"/>
      <c r="J49" s="19"/>
      <c r="K49" s="19"/>
      <c r="L49" s="19"/>
      <c r="M49" s="19"/>
      <c r="N49" s="19"/>
      <c r="O49" s="19"/>
      <c r="P49" s="19"/>
    </row>
    <row r="50" spans="1:17" ht="15" customHeight="1" x14ac:dyDescent="0.45">
      <c r="A50" s="15"/>
      <c r="B50" s="4" t="s">
        <v>20</v>
      </c>
      <c r="C50" s="19"/>
      <c r="D50" s="19"/>
      <c r="E50" s="23">
        <v>297</v>
      </c>
      <c r="F50" s="23">
        <v>335</v>
      </c>
    </row>
    <row r="51" spans="1:17" ht="15" customHeight="1" x14ac:dyDescent="0.45">
      <c r="A51" s="15"/>
      <c r="B51" s="4" t="s">
        <v>157</v>
      </c>
      <c r="C51" s="19"/>
      <c r="D51" s="19"/>
    </row>
    <row r="52" spans="1:17" ht="15" customHeight="1" x14ac:dyDescent="0.45">
      <c r="A52" s="15"/>
      <c r="B52" s="4" t="s">
        <v>165</v>
      </c>
      <c r="C52" s="19"/>
      <c r="D52" s="19"/>
    </row>
    <row r="53" spans="1:17" ht="15" customHeight="1" x14ac:dyDescent="0.45">
      <c r="A53" s="15"/>
      <c r="B53" s="4" t="s">
        <v>164</v>
      </c>
      <c r="C53" s="19"/>
      <c r="D53" s="19"/>
      <c r="E53" s="23">
        <f>48.8+53.8-211.1-4.9-4</f>
        <v>-117.4</v>
      </c>
      <c r="F53" s="23">
        <f>55.2+64.4-243.9-9.1-3.4</f>
        <v>-136.80000000000001</v>
      </c>
    </row>
    <row r="54" spans="1:17" ht="15" customHeight="1" x14ac:dyDescent="0.45">
      <c r="A54" s="15"/>
      <c r="B54" s="4" t="s">
        <v>159</v>
      </c>
      <c r="C54" s="19"/>
      <c r="D54" s="19"/>
      <c r="E54" s="23">
        <v>198.1</v>
      </c>
      <c r="F54" s="23">
        <v>240.9</v>
      </c>
    </row>
    <row r="55" spans="1:17" ht="15" customHeight="1" x14ac:dyDescent="0.45">
      <c r="A55" s="15"/>
      <c r="B55" s="4"/>
      <c r="C55" s="19"/>
      <c r="D55" s="19"/>
      <c r="E55" s="23"/>
      <c r="F55" s="23"/>
    </row>
    <row r="56" spans="1:17" ht="15" customHeight="1" x14ac:dyDescent="0.45">
      <c r="A56" s="15" t="s">
        <v>86</v>
      </c>
      <c r="B56" s="19"/>
      <c r="C56" s="19"/>
      <c r="D56" s="19"/>
      <c r="E56" s="19"/>
      <c r="F56" s="19"/>
      <c r="G56" s="19"/>
      <c r="H56" s="19"/>
      <c r="I56" s="19"/>
      <c r="J56" s="19"/>
      <c r="K56" s="19"/>
      <c r="L56" s="19"/>
      <c r="M56" s="19"/>
      <c r="N56" s="19"/>
      <c r="O56" s="19"/>
      <c r="P56" s="19"/>
    </row>
    <row r="57" spans="1:17" ht="15" customHeight="1" x14ac:dyDescent="0.45">
      <c r="A57" s="76"/>
      <c r="B57" s="4" t="s">
        <v>29</v>
      </c>
      <c r="C57" s="19"/>
      <c r="D57" s="19"/>
      <c r="E57" s="19"/>
      <c r="F57" s="4"/>
    </row>
    <row r="58" spans="1:17" ht="15" customHeight="1" x14ac:dyDescent="0.45">
      <c r="A58" s="15"/>
      <c r="B58" s="4" t="s">
        <v>157</v>
      </c>
      <c r="C58" s="19"/>
      <c r="D58" s="19"/>
      <c r="E58" s="19"/>
      <c r="F58" s="4"/>
    </row>
    <row r="59" spans="1:17" ht="15" customHeight="1" x14ac:dyDescent="0.45">
      <c r="A59" s="15"/>
      <c r="B59" s="4" t="s">
        <v>64</v>
      </c>
      <c r="C59" s="19"/>
      <c r="D59" s="19"/>
      <c r="E59" s="19"/>
      <c r="F59" s="19"/>
    </row>
    <row r="60" spans="1:17" ht="15" customHeight="1" x14ac:dyDescent="0.45">
      <c r="A60" s="15"/>
      <c r="B60" s="4" t="s">
        <v>36</v>
      </c>
      <c r="C60" s="19"/>
      <c r="D60" s="19"/>
      <c r="E60" s="19"/>
      <c r="F60" s="4"/>
    </row>
    <row r="61" spans="1:17" s="70" customFormat="1" ht="15" customHeight="1" x14ac:dyDescent="0.45">
      <c r="A61" s="15"/>
      <c r="B61" s="71" t="s">
        <v>87</v>
      </c>
      <c r="C61" s="71"/>
      <c r="D61" s="71"/>
      <c r="E61" s="71"/>
      <c r="F61" s="77"/>
      <c r="Q61"/>
    </row>
    <row r="62" spans="1:17" ht="15" customHeight="1" x14ac:dyDescent="0.45">
      <c r="A62" s="15"/>
      <c r="B62" s="19"/>
      <c r="C62" s="19"/>
      <c r="D62" s="19"/>
      <c r="E62" s="19"/>
      <c r="F62" s="4"/>
    </row>
    <row r="63" spans="1:17" ht="15" customHeight="1" x14ac:dyDescent="0.45">
      <c r="A63" s="15" t="s">
        <v>88</v>
      </c>
      <c r="B63" s="19"/>
      <c r="C63" s="19"/>
      <c r="D63" s="19"/>
      <c r="E63" s="19"/>
      <c r="F63" s="19"/>
      <c r="G63" s="19"/>
      <c r="H63" s="19"/>
      <c r="I63" s="19"/>
      <c r="J63" s="19"/>
      <c r="K63" s="19"/>
      <c r="L63" s="19"/>
      <c r="M63" s="19"/>
      <c r="N63" s="19"/>
      <c r="O63" s="19"/>
      <c r="P63" s="19"/>
    </row>
    <row r="64" spans="1:17" ht="15" customHeight="1" x14ac:dyDescent="0.45">
      <c r="A64" s="15"/>
      <c r="B64" s="4" t="s">
        <v>89</v>
      </c>
      <c r="C64" s="19"/>
      <c r="D64" s="19"/>
      <c r="E64" s="19"/>
    </row>
    <row r="65" spans="1:17" ht="15" customHeight="1" x14ac:dyDescent="0.45">
      <c r="A65" s="15"/>
      <c r="B65" s="4" t="s">
        <v>90</v>
      </c>
      <c r="C65" s="19"/>
      <c r="D65" s="19"/>
      <c r="E65" s="19"/>
    </row>
    <row r="66" spans="1:17" s="70" customFormat="1" ht="15" customHeight="1" x14ac:dyDescent="0.45">
      <c r="A66" s="15"/>
      <c r="B66" s="77" t="s">
        <v>91</v>
      </c>
      <c r="C66" s="71"/>
      <c r="D66" s="71"/>
      <c r="E66" s="25"/>
      <c r="Q66"/>
    </row>
    <row r="67" spans="1:17" ht="15" customHeight="1" x14ac:dyDescent="0.45">
      <c r="A67" s="15"/>
      <c r="B67" s="4" t="s">
        <v>33</v>
      </c>
      <c r="C67" s="19"/>
      <c r="D67" s="19"/>
      <c r="E67" s="19"/>
    </row>
    <row r="68" spans="1:17" ht="15" customHeight="1" x14ac:dyDescent="0.45">
      <c r="A68" s="15"/>
      <c r="B68" s="19"/>
      <c r="C68" s="19"/>
      <c r="D68" s="19"/>
      <c r="E68" s="19"/>
    </row>
    <row r="69" spans="1:17" s="70" customFormat="1" ht="15" customHeight="1" x14ac:dyDescent="0.45">
      <c r="A69" s="15"/>
      <c r="B69" s="71" t="s">
        <v>92</v>
      </c>
      <c r="C69" s="71"/>
      <c r="D69" s="71"/>
      <c r="Q69"/>
    </row>
    <row r="70" spans="1:17" ht="15" customHeight="1" x14ac:dyDescent="0.45">
      <c r="A70" s="15"/>
      <c r="B70" s="19"/>
      <c r="C70" s="19"/>
      <c r="D70" s="19"/>
      <c r="E70" s="19"/>
    </row>
    <row r="71" spans="1:17" ht="15" customHeight="1" x14ac:dyDescent="0.45">
      <c r="A71" s="15"/>
      <c r="B71" s="19" t="s">
        <v>93</v>
      </c>
      <c r="C71" s="19"/>
      <c r="D71" s="19"/>
      <c r="E71" s="19"/>
    </row>
    <row r="72" spans="1:17" ht="15" customHeight="1" x14ac:dyDescent="0.45">
      <c r="A72" s="15"/>
      <c r="B72" s="19" t="s">
        <v>90</v>
      </c>
      <c r="C72" s="19"/>
      <c r="D72" s="19"/>
      <c r="E72" s="19"/>
    </row>
    <row r="73" spans="1:17" s="70" customFormat="1" ht="15" customHeight="1" x14ac:dyDescent="0.45">
      <c r="A73" s="15"/>
      <c r="B73" s="71" t="s">
        <v>94</v>
      </c>
      <c r="C73" s="71"/>
      <c r="D73" s="71"/>
      <c r="E73" s="25"/>
      <c r="Q73"/>
    </row>
    <row r="74" spans="1:17" ht="15" customHeight="1" x14ac:dyDescent="0.45">
      <c r="A74" s="15"/>
      <c r="B74" s="19" t="s">
        <v>33</v>
      </c>
      <c r="C74" s="19"/>
      <c r="D74" s="19"/>
      <c r="E74" s="19"/>
    </row>
    <row r="75" spans="1:17" ht="15" customHeight="1" x14ac:dyDescent="0.45">
      <c r="A75" s="15"/>
      <c r="B75" s="19"/>
      <c r="C75" s="19"/>
      <c r="D75" s="19"/>
      <c r="E75" s="19"/>
      <c r="F75" s="19"/>
      <c r="G75" s="19"/>
      <c r="H75" s="19"/>
      <c r="I75" s="19"/>
      <c r="J75" s="19"/>
      <c r="K75" s="19"/>
      <c r="L75" s="19"/>
      <c r="M75" s="19"/>
      <c r="N75" s="19"/>
      <c r="O75" s="19"/>
      <c r="P75" s="19"/>
    </row>
    <row r="76" spans="1:17" s="70" customFormat="1" ht="15" customHeight="1" x14ac:dyDescent="0.45">
      <c r="A76" s="15"/>
      <c r="B76" s="71" t="s">
        <v>95</v>
      </c>
      <c r="C76" s="71"/>
      <c r="D76" s="71"/>
      <c r="E76" s="79"/>
      <c r="F76" s="79">
        <v>0</v>
      </c>
      <c r="Q76"/>
    </row>
    <row r="77" spans="1:17" ht="15" customHeight="1" x14ac:dyDescent="0.45">
      <c r="A77" s="15"/>
      <c r="B77" s="19" t="s">
        <v>32</v>
      </c>
      <c r="C77" s="19"/>
      <c r="D77" s="19"/>
      <c r="E77" s="3"/>
      <c r="F77" s="19"/>
    </row>
    <row r="78" spans="1:17" ht="15" customHeight="1" x14ac:dyDescent="0.45">
      <c r="A78" s="15"/>
      <c r="B78" s="19"/>
      <c r="C78" s="19"/>
      <c r="D78" s="19"/>
      <c r="E78" s="3"/>
      <c r="F78" s="19"/>
    </row>
    <row r="79" spans="1:17" ht="15" customHeight="1" x14ac:dyDescent="0.45">
      <c r="A79" s="15"/>
      <c r="B79" s="19" t="s">
        <v>96</v>
      </c>
      <c r="C79" s="19"/>
      <c r="D79" s="19"/>
      <c r="E79" s="3"/>
      <c r="F79" s="19"/>
    </row>
    <row r="80" spans="1:17" ht="15" customHeight="1" x14ac:dyDescent="0.45">
      <c r="A80" s="15"/>
      <c r="B80" s="19" t="s">
        <v>97</v>
      </c>
      <c r="C80" s="19"/>
      <c r="D80" s="19"/>
      <c r="E80" s="3"/>
      <c r="F80" s="19"/>
    </row>
    <row r="81" spans="1:17" ht="15" customHeight="1" x14ac:dyDescent="0.45">
      <c r="A81" s="15"/>
      <c r="B81" s="19" t="s">
        <v>98</v>
      </c>
      <c r="C81" s="19"/>
      <c r="D81" s="19"/>
      <c r="E81" s="3"/>
      <c r="F81" s="19"/>
    </row>
    <row r="82" spans="1:17" s="70" customFormat="1" ht="15" customHeight="1" x14ac:dyDescent="0.45">
      <c r="A82" s="15"/>
      <c r="B82" s="71" t="s">
        <v>99</v>
      </c>
      <c r="C82" s="71"/>
      <c r="D82" s="71"/>
      <c r="E82" s="79"/>
      <c r="F82" s="78">
        <v>0</v>
      </c>
      <c r="Q82"/>
    </row>
    <row r="83" spans="1:17" ht="15" customHeight="1" x14ac:dyDescent="0.45">
      <c r="A83" s="15"/>
      <c r="B83" s="19"/>
      <c r="C83" s="19"/>
      <c r="D83" s="19"/>
      <c r="E83" s="3"/>
      <c r="F83" s="19"/>
      <c r="G83" s="19"/>
      <c r="H83" s="19"/>
      <c r="I83" s="19"/>
      <c r="J83" s="19"/>
      <c r="K83" s="19"/>
      <c r="L83" s="19"/>
      <c r="M83" s="19"/>
      <c r="N83" s="19"/>
      <c r="O83" s="19"/>
      <c r="P83" s="19"/>
    </row>
    <row r="84" spans="1:17" ht="15" customHeight="1" x14ac:dyDescent="0.45">
      <c r="A84" s="15"/>
      <c r="B84" s="19" t="s">
        <v>100</v>
      </c>
      <c r="C84" s="19"/>
      <c r="D84" s="19"/>
      <c r="E84" s="25"/>
      <c r="H84" s="19"/>
      <c r="I84" s="19"/>
      <c r="J84" s="19"/>
      <c r="K84" s="19"/>
      <c r="L84" s="19"/>
      <c r="M84" s="19"/>
      <c r="N84" s="19"/>
      <c r="O84" s="19"/>
      <c r="P84" s="19"/>
    </row>
    <row r="85" spans="1:17" ht="15" customHeight="1" x14ac:dyDescent="0.45">
      <c r="A85" s="76"/>
      <c r="B85" s="19" t="s">
        <v>101</v>
      </c>
      <c r="C85" s="19"/>
      <c r="D85" s="19"/>
      <c r="E85" s="3"/>
      <c r="F85" s="19"/>
      <c r="G85" s="80"/>
      <c r="H85" s="80"/>
      <c r="I85" s="80"/>
      <c r="J85" s="80"/>
      <c r="K85" s="80"/>
      <c r="L85" s="80"/>
      <c r="M85" s="80"/>
      <c r="N85" s="80"/>
      <c r="O85" s="80"/>
      <c r="P85" s="80"/>
    </row>
    <row r="86" spans="1:17" ht="15" customHeight="1" x14ac:dyDescent="0.45">
      <c r="A86" s="15"/>
      <c r="B86" s="19"/>
      <c r="C86" s="19"/>
      <c r="D86" s="19"/>
      <c r="E86" s="19"/>
      <c r="F86" s="19"/>
      <c r="G86" s="19"/>
      <c r="H86" s="19"/>
      <c r="I86" s="19"/>
      <c r="J86" s="19"/>
      <c r="K86" s="19"/>
      <c r="L86" s="19"/>
      <c r="M86" s="19"/>
      <c r="N86" s="19"/>
      <c r="O86" s="19"/>
      <c r="P86" s="19"/>
    </row>
    <row r="87" spans="1:17" ht="15" customHeight="1" x14ac:dyDescent="0.45">
      <c r="A87" s="15" t="s">
        <v>102</v>
      </c>
      <c r="B87" s="19"/>
      <c r="C87" s="19"/>
      <c r="D87" s="19"/>
      <c r="E87" s="19"/>
      <c r="F87" s="19"/>
      <c r="G87" s="19"/>
      <c r="H87" s="19"/>
      <c r="I87" s="19"/>
      <c r="J87" s="19"/>
      <c r="K87" s="19"/>
      <c r="L87" s="19"/>
      <c r="M87" s="19"/>
      <c r="N87" s="19"/>
      <c r="O87" s="19"/>
      <c r="P87" s="19"/>
    </row>
    <row r="88" spans="1:17" ht="15" customHeight="1" x14ac:dyDescent="0.45">
      <c r="A88" s="15"/>
      <c r="B88" s="4" t="s">
        <v>103</v>
      </c>
      <c r="C88" s="19"/>
      <c r="D88" s="19"/>
      <c r="E88" s="19"/>
    </row>
    <row r="89" spans="1:17" ht="15" customHeight="1" x14ac:dyDescent="0.45">
      <c r="A89" s="15"/>
      <c r="B89" s="4" t="s">
        <v>65</v>
      </c>
      <c r="C89" s="19"/>
      <c r="D89" s="19"/>
      <c r="E89" s="19"/>
      <c r="F89" s="4"/>
    </row>
    <row r="90" spans="1:17" ht="15" customHeight="1" x14ac:dyDescent="0.45">
      <c r="A90" s="15"/>
      <c r="B90" s="4" t="s">
        <v>22</v>
      </c>
      <c r="C90" s="19"/>
      <c r="D90" s="19"/>
      <c r="E90" s="19"/>
      <c r="F90" s="19"/>
    </row>
    <row r="91" spans="1:17" s="70" customFormat="1" ht="15" customHeight="1" x14ac:dyDescent="0.45">
      <c r="A91" s="15"/>
      <c r="B91" s="77" t="s">
        <v>104</v>
      </c>
      <c r="C91" s="71"/>
      <c r="D91" s="71"/>
      <c r="E91" s="71"/>
      <c r="F91" s="71"/>
      <c r="Q91"/>
    </row>
    <row r="92" spans="1:17" ht="15" customHeight="1" x14ac:dyDescent="0.45">
      <c r="A92" s="15"/>
      <c r="B92" s="19"/>
      <c r="C92" s="19"/>
      <c r="D92" s="19"/>
      <c r="E92" s="19"/>
      <c r="F92" s="19"/>
    </row>
    <row r="93" spans="1:17" ht="15" customHeight="1" x14ac:dyDescent="0.45">
      <c r="A93" s="15"/>
      <c r="B93" s="4" t="s">
        <v>105</v>
      </c>
      <c r="C93" s="19"/>
      <c r="D93" s="19"/>
      <c r="E93" s="25"/>
    </row>
    <row r="94" spans="1:17" s="70" customFormat="1" ht="15" customHeight="1" x14ac:dyDescent="0.45">
      <c r="A94" s="15"/>
      <c r="B94" s="77" t="s">
        <v>106</v>
      </c>
      <c r="C94" s="71"/>
      <c r="D94" s="71"/>
      <c r="E94" s="25"/>
      <c r="F94" s="81"/>
      <c r="H94" s="71"/>
      <c r="I94" s="71"/>
      <c r="J94" s="71"/>
      <c r="K94" s="71"/>
      <c r="L94" s="71"/>
      <c r="M94" s="71"/>
      <c r="N94" s="71"/>
      <c r="O94" s="71"/>
      <c r="P94" s="71"/>
    </row>
    <row r="95" spans="1:17" ht="15" customHeight="1" x14ac:dyDescent="0.45">
      <c r="A95" s="15"/>
      <c r="B95" s="19"/>
      <c r="C95" s="19"/>
      <c r="D95" s="19"/>
      <c r="E95" s="19"/>
      <c r="F95" s="19"/>
      <c r="G95" s="19"/>
      <c r="H95" s="19"/>
      <c r="I95" s="19"/>
      <c r="J95" s="19"/>
      <c r="K95" s="19"/>
      <c r="L95" s="19"/>
      <c r="M95" s="19"/>
      <c r="N95" s="19"/>
      <c r="O95" s="19"/>
      <c r="P95" s="19"/>
    </row>
    <row r="96" spans="1:17" ht="15" customHeight="1" x14ac:dyDescent="0.45">
      <c r="A96" s="15" t="s">
        <v>107</v>
      </c>
      <c r="B96" s="19"/>
      <c r="C96" s="19"/>
      <c r="D96" s="19"/>
      <c r="E96" s="19"/>
      <c r="F96" s="19"/>
      <c r="G96" s="19"/>
      <c r="H96" s="19"/>
      <c r="I96" s="19"/>
      <c r="J96" s="19"/>
      <c r="K96" s="19"/>
      <c r="L96" s="19"/>
      <c r="M96" s="19"/>
      <c r="N96" s="19"/>
      <c r="O96" s="19"/>
      <c r="P96" s="19"/>
    </row>
    <row r="97" spans="1:16" ht="15" customHeight="1" x14ac:dyDescent="0.45">
      <c r="A97" s="15"/>
      <c r="B97" s="4" t="s">
        <v>108</v>
      </c>
      <c r="C97" s="19"/>
      <c r="D97" s="19"/>
      <c r="E97" s="19"/>
      <c r="F97" s="19"/>
      <c r="G97" s="19"/>
      <c r="H97" s="19"/>
      <c r="I97" s="19"/>
      <c r="J97" s="19"/>
      <c r="K97" s="19"/>
      <c r="L97" s="19"/>
      <c r="M97" s="19"/>
      <c r="N97" s="19"/>
      <c r="O97" s="19"/>
      <c r="P97" s="19"/>
    </row>
    <row r="98" spans="1:16" ht="15" customHeight="1" x14ac:dyDescent="0.45">
      <c r="A98" s="15"/>
      <c r="B98" s="19"/>
      <c r="C98" s="25"/>
      <c r="E98" s="54" t="s">
        <v>82</v>
      </c>
      <c r="F98" s="19"/>
      <c r="G98" s="19"/>
      <c r="H98" s="19"/>
      <c r="I98" s="19"/>
      <c r="J98" s="19"/>
      <c r="K98" s="19"/>
      <c r="L98" s="19"/>
      <c r="M98" s="19"/>
      <c r="N98" s="19"/>
      <c r="O98" s="19"/>
      <c r="P98" s="19"/>
    </row>
    <row r="99" spans="1:16" ht="15" customHeight="1" x14ac:dyDescent="0.45">
      <c r="A99" s="15"/>
      <c r="B99" s="19"/>
      <c r="C99" s="26"/>
      <c r="D99" s="58">
        <v>3</v>
      </c>
      <c r="E99" s="58">
        <v>4</v>
      </c>
      <c r="F99" s="58">
        <v>5</v>
      </c>
      <c r="G99" s="19"/>
      <c r="H99" s="19"/>
      <c r="I99" s="19"/>
      <c r="J99" s="19"/>
      <c r="K99" s="19"/>
      <c r="L99" s="19"/>
      <c r="M99" s="19"/>
      <c r="N99" s="19"/>
      <c r="O99" s="19"/>
      <c r="P99" s="19"/>
    </row>
    <row r="100" spans="1:16" ht="15" customHeight="1" x14ac:dyDescent="0.45">
      <c r="A100" s="15"/>
      <c r="B100" s="19"/>
      <c r="C100" s="84">
        <v>0.2</v>
      </c>
      <c r="D100" s="26"/>
      <c r="E100" s="26"/>
      <c r="F100" s="26"/>
      <c r="H100" s="19"/>
      <c r="I100" s="19"/>
      <c r="J100" s="19"/>
      <c r="K100" s="19"/>
      <c r="L100" s="19"/>
      <c r="M100" s="19"/>
      <c r="N100" s="19"/>
      <c r="O100" s="19"/>
      <c r="P100" s="19"/>
    </row>
    <row r="101" spans="1:16" ht="15" customHeight="1" x14ac:dyDescent="0.45">
      <c r="A101" s="15"/>
      <c r="B101" s="19"/>
      <c r="C101" s="84">
        <f>C100+5%</f>
        <v>0.25</v>
      </c>
      <c r="D101" s="26"/>
      <c r="E101" s="26"/>
      <c r="F101" s="26"/>
      <c r="G101" s="19"/>
      <c r="H101" s="19"/>
      <c r="I101" s="19"/>
      <c r="J101" s="19"/>
      <c r="K101" s="19"/>
      <c r="L101" s="19"/>
      <c r="M101" s="19"/>
      <c r="N101" s="19"/>
      <c r="O101" s="19"/>
      <c r="P101" s="19"/>
    </row>
    <row r="102" spans="1:16" ht="15" customHeight="1" x14ac:dyDescent="0.45">
      <c r="A102" s="15"/>
      <c r="B102" s="4" t="s">
        <v>176</v>
      </c>
      <c r="C102" s="84">
        <f t="shared" ref="C102:C104" si="2">C101+5%</f>
        <v>0.3</v>
      </c>
      <c r="D102" s="26"/>
      <c r="E102" s="26"/>
      <c r="F102" s="26"/>
      <c r="G102" s="19"/>
      <c r="H102" s="19"/>
      <c r="I102" s="19"/>
      <c r="J102" s="19"/>
      <c r="K102" s="19"/>
      <c r="L102" s="19"/>
      <c r="M102" s="19"/>
      <c r="N102" s="19"/>
      <c r="O102" s="19"/>
      <c r="P102" s="19"/>
    </row>
    <row r="103" spans="1:16" ht="15" customHeight="1" x14ac:dyDescent="0.45">
      <c r="A103" s="15"/>
      <c r="B103" s="19"/>
      <c r="C103" s="84">
        <f t="shared" si="2"/>
        <v>0.35</v>
      </c>
      <c r="D103" s="26"/>
      <c r="E103" s="26"/>
      <c r="F103" s="26"/>
      <c r="G103" s="19"/>
      <c r="H103" s="19"/>
      <c r="I103" s="19"/>
      <c r="J103" s="19"/>
      <c r="K103" s="19"/>
      <c r="L103" s="19"/>
      <c r="M103" s="19"/>
      <c r="N103" s="19"/>
      <c r="O103" s="19"/>
      <c r="P103" s="19"/>
    </row>
    <row r="104" spans="1:16" ht="15" customHeight="1" x14ac:dyDescent="0.45">
      <c r="A104" s="15"/>
      <c r="B104" s="19"/>
      <c r="C104" s="84">
        <f t="shared" si="2"/>
        <v>0.39999999999999997</v>
      </c>
      <c r="D104" s="26"/>
      <c r="E104" s="26"/>
      <c r="F104" s="26"/>
      <c r="G104" s="19"/>
      <c r="H104" s="19"/>
      <c r="I104" s="19"/>
      <c r="J104" s="19"/>
      <c r="K104" s="19"/>
      <c r="L104" s="19"/>
      <c r="M104" s="19"/>
      <c r="N104" s="19"/>
      <c r="O104" s="19"/>
      <c r="P104" s="19"/>
    </row>
    <row r="105" spans="1:16" ht="15" customHeight="1" x14ac:dyDescent="0.45">
      <c r="A105" s="29"/>
    </row>
    <row r="106" spans="1:16" ht="15" customHeight="1" x14ac:dyDescent="0.45">
      <c r="A106" s="29" t="s">
        <v>23</v>
      </c>
    </row>
    <row r="107" spans="1:16" ht="15" customHeight="1" x14ac:dyDescent="0.45">
      <c r="A107" s="29"/>
    </row>
    <row r="108" spans="1:16" ht="15" customHeight="1" x14ac:dyDescent="0.45">
      <c r="A108" s="29"/>
    </row>
  </sheetData>
  <conditionalFormatting sqref="D100:F104">
    <cfRule type="cellIs" dxfId="0" priority="1" operator="equal">
      <formula>$F$94</formula>
    </cfRule>
  </conditionalFormatting>
  <printOptions headings="1" gridLines="1"/>
  <pageMargins left="0.31496062992125984" right="0.11811023622047245" top="0.74803149606299213" bottom="0.74803149606299213" header="0" footer="0"/>
  <pageSetup paperSize="9" scale="66" fitToHeight="0" orientation="landscape" r:id="rId1"/>
  <headerFooter>
    <oddHeader>&amp;R&amp;F  &amp;A</oddHeader>
    <oddFooter>&amp;L© 2016&amp;CPage &amp;P of</oddFooter>
  </headerFooter>
  <rowBreaks count="2" manualBreakCount="2">
    <brk id="62" max="15" man="1"/>
    <brk id="95" max="1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CCC9-A056-4BFE-A1E8-6C170BAD7EAE}">
  <sheetPr>
    <pageSetUpPr fitToPage="1"/>
  </sheetPr>
  <dimension ref="A1:V425"/>
  <sheetViews>
    <sheetView zoomScaleNormal="100" workbookViewId="0">
      <pane xSplit="2" ySplit="3" topLeftCell="C4" activePane="bottomRight" state="frozen"/>
      <selection pane="topRight"/>
      <selection pane="bottomLeft"/>
      <selection pane="bottomRight"/>
    </sheetView>
  </sheetViews>
  <sheetFormatPr defaultRowHeight="15.75" x14ac:dyDescent="0.45"/>
  <cols>
    <col min="1" max="1" width="1.59765625" style="29" customWidth="1"/>
    <col min="2" max="2" width="49.46484375" bestFit="1" customWidth="1"/>
    <col min="3" max="21" width="10.59765625" customWidth="1"/>
  </cols>
  <sheetData>
    <row r="1" spans="1:21" ht="45" customHeight="1" x14ac:dyDescent="0.85">
      <c r="A1" s="28" t="str">
        <f>"LBO valuation for Bakkavor"</f>
        <v>LBO valuation for Bakkavor</v>
      </c>
      <c r="B1" s="85"/>
      <c r="C1" s="86"/>
      <c r="D1" s="86"/>
      <c r="E1" s="86"/>
      <c r="F1" s="86"/>
      <c r="G1" s="86"/>
      <c r="H1" s="86"/>
      <c r="I1" s="86"/>
      <c r="J1" s="86"/>
      <c r="K1" s="86"/>
      <c r="L1" s="86"/>
      <c r="M1" s="86"/>
      <c r="N1" s="86"/>
      <c r="O1" s="86"/>
      <c r="P1" s="86"/>
      <c r="Q1" s="86"/>
      <c r="R1" s="86"/>
      <c r="S1" s="86"/>
      <c r="T1" s="86"/>
      <c r="U1" s="86"/>
    </row>
    <row r="2" spans="1:21" ht="15" customHeight="1" x14ac:dyDescent="0.55000000000000004">
      <c r="A2" s="87"/>
      <c r="B2" s="88"/>
      <c r="C2" s="30" t="s">
        <v>154</v>
      </c>
      <c r="D2" s="30" t="s">
        <v>154</v>
      </c>
      <c r="E2" s="30"/>
      <c r="F2" s="30"/>
      <c r="G2" s="30"/>
      <c r="H2" s="30"/>
      <c r="I2" s="30"/>
      <c r="J2" s="30"/>
      <c r="K2" s="30"/>
      <c r="L2" s="30" t="s">
        <v>154</v>
      </c>
      <c r="M2" s="30" t="s">
        <v>155</v>
      </c>
      <c r="N2" s="30" t="s">
        <v>155</v>
      </c>
      <c r="O2" s="30" t="s">
        <v>155</v>
      </c>
      <c r="P2" s="30" t="s">
        <v>155</v>
      </c>
      <c r="Q2" s="30" t="s">
        <v>155</v>
      </c>
      <c r="R2" s="30" t="s">
        <v>155</v>
      </c>
      <c r="S2" s="30" t="s">
        <v>155</v>
      </c>
      <c r="T2" s="30" t="s">
        <v>155</v>
      </c>
      <c r="U2" s="30" t="s">
        <v>155</v>
      </c>
    </row>
    <row r="3" spans="1:21" ht="15" customHeight="1" x14ac:dyDescent="0.55000000000000004">
      <c r="A3" s="87"/>
      <c r="B3" s="88"/>
      <c r="C3" s="52">
        <f>EDATE(D3,-12)</f>
        <v>45291</v>
      </c>
      <c r="D3" s="52">
        <v>45657</v>
      </c>
      <c r="E3" s="52" t="s">
        <v>177</v>
      </c>
      <c r="F3" s="52" t="s">
        <v>178</v>
      </c>
      <c r="G3" s="52" t="s">
        <v>300</v>
      </c>
      <c r="H3" s="52" t="s">
        <v>179</v>
      </c>
      <c r="I3" s="52" t="s">
        <v>180</v>
      </c>
      <c r="J3" s="52" t="s">
        <v>181</v>
      </c>
      <c r="K3" s="52" t="s">
        <v>70</v>
      </c>
      <c r="L3" s="52">
        <f>EDATE(D3,0)</f>
        <v>45657</v>
      </c>
      <c r="M3" s="52">
        <f>EDATE(L3,12)</f>
        <v>46022</v>
      </c>
      <c r="N3" s="52">
        <f t="shared" ref="N3:U3" si="0">EDATE(M3,12)</f>
        <v>46387</v>
      </c>
      <c r="O3" s="52">
        <f t="shared" si="0"/>
        <v>46752</v>
      </c>
      <c r="P3" s="52">
        <f t="shared" si="0"/>
        <v>47118</v>
      </c>
      <c r="Q3" s="52">
        <f t="shared" si="0"/>
        <v>47483</v>
      </c>
      <c r="R3" s="52">
        <f t="shared" si="0"/>
        <v>47848</v>
      </c>
      <c r="S3" s="52">
        <f t="shared" si="0"/>
        <v>48213</v>
      </c>
      <c r="T3" s="52">
        <f t="shared" si="0"/>
        <v>48579</v>
      </c>
      <c r="U3" s="52">
        <f t="shared" si="0"/>
        <v>48944</v>
      </c>
    </row>
    <row r="4" spans="1:21" x14ac:dyDescent="0.45">
      <c r="B4" s="89"/>
    </row>
    <row r="5" spans="1:21" x14ac:dyDescent="0.45">
      <c r="A5" s="29" t="s">
        <v>39</v>
      </c>
      <c r="B5" s="89"/>
    </row>
    <row r="6" spans="1:21" x14ac:dyDescent="0.45">
      <c r="B6" s="89" t="s">
        <v>182</v>
      </c>
      <c r="C6" s="73">
        <v>0.01</v>
      </c>
    </row>
    <row r="7" spans="1:21" x14ac:dyDescent="0.45">
      <c r="B7" s="89" t="s">
        <v>82</v>
      </c>
      <c r="C7" s="72">
        <v>4</v>
      </c>
    </row>
    <row r="8" spans="1:21" x14ac:dyDescent="0.45">
      <c r="B8" s="89" t="s">
        <v>183</v>
      </c>
      <c r="C8" s="73">
        <v>7.0000000000000001E-3</v>
      </c>
    </row>
    <row r="9" spans="1:21" x14ac:dyDescent="0.45">
      <c r="B9" s="89" t="s">
        <v>184</v>
      </c>
      <c r="C9" s="73">
        <v>0.01</v>
      </c>
    </row>
    <row r="10" spans="1:21" x14ac:dyDescent="0.45">
      <c r="B10" s="89" t="s">
        <v>185</v>
      </c>
      <c r="C10" s="73">
        <v>0.01</v>
      </c>
    </row>
    <row r="11" spans="1:21" x14ac:dyDescent="0.45">
      <c r="B11" s="89" t="str">
        <f>"Weighted average cost of "&amp;B41</f>
        <v>Weighted average cost of Senior debt (Term B)</v>
      </c>
      <c r="C11" s="111">
        <f>ROUND(C54/SUM($C$54:$C$57)*G41,3)</f>
        <v>3.4000000000000002E-2</v>
      </c>
    </row>
    <row r="12" spans="1:21" x14ac:dyDescent="0.45">
      <c r="B12" s="89" t="str">
        <f>"Weighted average cost of "&amp;B42</f>
        <v>Weighted average cost of Senior unsecured high yield notes</v>
      </c>
      <c r="C12" s="111">
        <f>ROUND(C55/SUM($C$54:$C$57)*G42,3)</f>
        <v>2.9000000000000001E-2</v>
      </c>
    </row>
    <row r="13" spans="1:21" x14ac:dyDescent="0.45">
      <c r="B13" s="89" t="str">
        <f>"Weighted average cost of "&amp;B44</f>
        <v>Weighted average cost of Mezzanine</v>
      </c>
      <c r="C13" s="111">
        <f>ROUND(C57/SUM($C$54:$C$57)*G44,3)</f>
        <v>1.2E-2</v>
      </c>
    </row>
    <row r="14" spans="1:21" x14ac:dyDescent="0.45">
      <c r="B14" s="89" t="str">
        <f>"Weighted average cost of all financing"</f>
        <v>Weighted average cost of all financing</v>
      </c>
      <c r="C14" s="111">
        <f>SUM(C13,C12,C11)</f>
        <v>7.5000000000000011E-2</v>
      </c>
    </row>
    <row r="15" spans="1:21" x14ac:dyDescent="0.45">
      <c r="B15" s="90"/>
      <c r="C15" s="90"/>
    </row>
    <row r="16" spans="1:21" x14ac:dyDescent="0.45">
      <c r="A16" s="29" t="s">
        <v>186</v>
      </c>
      <c r="B16" s="89"/>
    </row>
    <row r="17" spans="1:3" x14ac:dyDescent="0.45">
      <c r="B17" s="89" t="s">
        <v>62</v>
      </c>
    </row>
    <row r="18" spans="1:3" x14ac:dyDescent="0.45">
      <c r="B18" s="89" t="s">
        <v>187</v>
      </c>
      <c r="C18" s="112">
        <v>7</v>
      </c>
    </row>
    <row r="19" spans="1:3" x14ac:dyDescent="0.45">
      <c r="B19" s="89" t="s">
        <v>172</v>
      </c>
    </row>
    <row r="20" spans="1:3" x14ac:dyDescent="0.45">
      <c r="B20" s="89" t="s">
        <v>188</v>
      </c>
    </row>
    <row r="21" spans="1:3" x14ac:dyDescent="0.45">
      <c r="B21" s="89" t="s">
        <v>295</v>
      </c>
    </row>
    <row r="22" spans="1:3" x14ac:dyDescent="0.45">
      <c r="B22" s="89" t="s">
        <v>190</v>
      </c>
    </row>
    <row r="23" spans="1:3" x14ac:dyDescent="0.45">
      <c r="B23" s="89" t="s">
        <v>191</v>
      </c>
    </row>
    <row r="24" spans="1:3" x14ac:dyDescent="0.45">
      <c r="B24" s="89" t="s">
        <v>192</v>
      </c>
    </row>
    <row r="25" spans="1:3" x14ac:dyDescent="0.45">
      <c r="B25" s="89"/>
    </row>
    <row r="26" spans="1:3" x14ac:dyDescent="0.45">
      <c r="A26" s="29" t="s">
        <v>193</v>
      </c>
      <c r="B26" s="89"/>
    </row>
    <row r="27" spans="1:3" x14ac:dyDescent="0.45">
      <c r="B27" s="89" t="s">
        <v>192</v>
      </c>
    </row>
    <row r="28" spans="1:3" x14ac:dyDescent="0.45">
      <c r="B28" s="89" t="s">
        <v>298</v>
      </c>
    </row>
    <row r="29" spans="1:3" x14ac:dyDescent="0.45">
      <c r="B29" s="89" t="s">
        <v>297</v>
      </c>
    </row>
    <row r="30" spans="1:3" x14ac:dyDescent="0.45">
      <c r="B30" s="89" t="s">
        <v>299</v>
      </c>
    </row>
    <row r="31" spans="1:3" x14ac:dyDescent="0.45">
      <c r="B31" s="93" t="s">
        <v>194</v>
      </c>
      <c r="C31" s="70"/>
    </row>
    <row r="32" spans="1:3" x14ac:dyDescent="0.45">
      <c r="B32" s="89"/>
    </row>
    <row r="33" spans="1:15" s="70" customFormat="1" x14ac:dyDescent="0.45">
      <c r="A33" s="29" t="s">
        <v>195</v>
      </c>
      <c r="B33" s="89"/>
      <c r="D33"/>
    </row>
    <row r="34" spans="1:15" s="70" customFormat="1" x14ac:dyDescent="0.45">
      <c r="A34" s="29"/>
      <c r="B34" s="89" t="s">
        <v>192</v>
      </c>
      <c r="C34"/>
      <c r="D34"/>
    </row>
    <row r="35" spans="1:15" x14ac:dyDescent="0.45">
      <c r="B35" s="89" t="s">
        <v>196</v>
      </c>
    </row>
    <row r="36" spans="1:15" x14ac:dyDescent="0.45">
      <c r="B36" s="89" t="s">
        <v>70</v>
      </c>
    </row>
    <row r="37" spans="1:15" s="70" customFormat="1" x14ac:dyDescent="0.45">
      <c r="A37" s="29"/>
      <c r="B37" s="93" t="s">
        <v>304</v>
      </c>
      <c r="D37"/>
    </row>
    <row r="38" spans="1:15" s="70" customFormat="1" x14ac:dyDescent="0.45">
      <c r="A38" s="29"/>
      <c r="B38" s="89"/>
      <c r="G38" s="94"/>
      <c r="H38" s="94"/>
      <c r="I38" s="94"/>
      <c r="J38" s="81"/>
      <c r="K38" s="81"/>
    </row>
    <row r="39" spans="1:15" s="70" customFormat="1" x14ac:dyDescent="0.45">
      <c r="A39" s="29"/>
      <c r="B39" s="89"/>
      <c r="D39" s="95" t="s">
        <v>197</v>
      </c>
      <c r="E39" s="95" t="s">
        <v>198</v>
      </c>
      <c r="F39" s="70" t="s">
        <v>199</v>
      </c>
      <c r="G39" s="95" t="s">
        <v>200</v>
      </c>
      <c r="H39" s="81" t="s">
        <v>201</v>
      </c>
      <c r="I39" s="95"/>
    </row>
    <row r="40" spans="1:15" s="70" customFormat="1" x14ac:dyDescent="0.45">
      <c r="A40" s="29"/>
      <c r="B40" s="89" t="str">
        <f>B53</f>
        <v>Revolver</v>
      </c>
      <c r="C40"/>
      <c r="D40" s="27" t="e">
        <f>C40/$C$17</f>
        <v>#DIV/0!</v>
      </c>
      <c r="E40" s="26" t="e">
        <f t="shared" ref="E40:E45" si="1">C40/$C$46</f>
        <v>#DIV/0!</v>
      </c>
      <c r="F40" s="111">
        <v>0.05</v>
      </c>
      <c r="G40" s="96">
        <f>F40+$C$8</f>
        <v>5.7000000000000002E-2</v>
      </c>
      <c r="H40" s="81"/>
      <c r="I40"/>
      <c r="J40"/>
      <c r="M40"/>
      <c r="O40"/>
    </row>
    <row r="41" spans="1:15" s="70" customFormat="1" x14ac:dyDescent="0.45">
      <c r="A41" s="29"/>
      <c r="B41" s="89" t="str">
        <f>B54</f>
        <v>Senior debt (Term B)</v>
      </c>
      <c r="C41"/>
      <c r="D41" s="27" t="e">
        <f>C41/$C$17+D40</f>
        <v>#DIV/0!</v>
      </c>
      <c r="E41" s="26" t="e">
        <f t="shared" si="1"/>
        <v>#DIV/0!</v>
      </c>
      <c r="F41" s="111">
        <v>0.05</v>
      </c>
      <c r="G41" s="96">
        <f>F41+$C$8</f>
        <v>5.7000000000000002E-2</v>
      </c>
      <c r="H41" s="72">
        <v>7</v>
      </c>
      <c r="I41"/>
      <c r="J41"/>
      <c r="M41"/>
      <c r="O41"/>
    </row>
    <row r="42" spans="1:15" s="70" customFormat="1" x14ac:dyDescent="0.45">
      <c r="A42" s="29"/>
      <c r="B42" s="89" t="str">
        <f>B55</f>
        <v>Senior unsecured high yield notes</v>
      </c>
      <c r="C42"/>
      <c r="D42" s="27" t="e">
        <f>C42/$C$17+D41</f>
        <v>#DIV/0!</v>
      </c>
      <c r="E42" s="26" t="e">
        <f t="shared" si="1"/>
        <v>#DIV/0!</v>
      </c>
      <c r="F42" s="111">
        <v>0.09</v>
      </c>
      <c r="G42" s="96">
        <f>F42+$C$8</f>
        <v>9.7000000000000003E-2</v>
      </c>
      <c r="H42" s="72">
        <v>8</v>
      </c>
      <c r="I42"/>
      <c r="J42"/>
      <c r="M42"/>
      <c r="O42"/>
    </row>
    <row r="43" spans="1:15" s="70" customFormat="1" x14ac:dyDescent="0.45">
      <c r="A43" s="29"/>
      <c r="B43" s="89" t="str">
        <f>B56</f>
        <v>Unitranche</v>
      </c>
      <c r="C43"/>
      <c r="D43" s="27" t="e">
        <f>C43/$C$17+D42</f>
        <v>#DIV/0!</v>
      </c>
      <c r="E43" s="26" t="e">
        <f t="shared" si="1"/>
        <v>#DIV/0!</v>
      </c>
      <c r="F43" s="24" t="s">
        <v>21</v>
      </c>
      <c r="G43" s="111">
        <f>C14+0.5%</f>
        <v>8.0000000000000016E-2</v>
      </c>
      <c r="H43" s="72">
        <v>8</v>
      </c>
      <c r="I43"/>
      <c r="J43"/>
      <c r="M43"/>
      <c r="O43"/>
    </row>
    <row r="44" spans="1:15" s="70" customFormat="1" x14ac:dyDescent="0.45">
      <c r="A44" s="29"/>
      <c r="B44" s="89" t="str">
        <f>B57</f>
        <v>Mezzanine</v>
      </c>
      <c r="C44"/>
      <c r="D44" s="27" t="e">
        <f>C44/$C$17+D43</f>
        <v>#DIV/0!</v>
      </c>
      <c r="E44" s="26" t="e">
        <f t="shared" si="1"/>
        <v>#DIV/0!</v>
      </c>
      <c r="F44" s="24" t="s">
        <v>21</v>
      </c>
      <c r="G44" s="111">
        <v>0.12</v>
      </c>
      <c r="H44" s="81"/>
      <c r="I44"/>
      <c r="J44"/>
      <c r="M44"/>
      <c r="O44"/>
    </row>
    <row r="45" spans="1:15" s="70" customFormat="1" x14ac:dyDescent="0.45">
      <c r="A45" s="29"/>
      <c r="B45" s="89" t="s">
        <v>181</v>
      </c>
      <c r="C45"/>
      <c r="D45" s="24" t="s">
        <v>21</v>
      </c>
      <c r="E45" s="26" t="e">
        <f t="shared" si="1"/>
        <v>#DIV/0!</v>
      </c>
      <c r="F45" s="24" t="s">
        <v>21</v>
      </c>
      <c r="G45" s="111">
        <v>0.01</v>
      </c>
      <c r="H45" s="81"/>
      <c r="I45"/>
      <c r="J45"/>
      <c r="M45"/>
      <c r="O45"/>
    </row>
    <row r="46" spans="1:15" s="70" customFormat="1" x14ac:dyDescent="0.45">
      <c r="A46" s="29"/>
      <c r="B46" s="93" t="s">
        <v>202</v>
      </c>
      <c r="D46" s="94" t="e">
        <f>MAX(D40:D45)</f>
        <v>#DIV/0!</v>
      </c>
      <c r="E46" s="81" t="e">
        <f>SUM(E40:E45)</f>
        <v>#DIV/0!</v>
      </c>
      <c r="I46"/>
      <c r="J46"/>
      <c r="M46"/>
      <c r="O46"/>
    </row>
    <row r="47" spans="1:15" s="70" customFormat="1" x14ac:dyDescent="0.45">
      <c r="A47" s="29"/>
      <c r="B47" s="89"/>
      <c r="G47" s="94"/>
      <c r="H47" s="94"/>
      <c r="I47" s="94"/>
      <c r="J47" s="81"/>
      <c r="K47" s="81"/>
    </row>
    <row r="48" spans="1:15" x14ac:dyDescent="0.45">
      <c r="B48" s="89"/>
    </row>
    <row r="49" spans="1:21" x14ac:dyDescent="0.45">
      <c r="A49" s="29" t="s">
        <v>203</v>
      </c>
      <c r="B49" s="89"/>
    </row>
    <row r="50" spans="1:21" x14ac:dyDescent="0.45">
      <c r="B50" s="89" t="s">
        <v>204</v>
      </c>
      <c r="C50" s="113">
        <v>1</v>
      </c>
      <c r="D50" t="str">
        <f>CHOOSE(C50,C52,D52)</f>
        <v>Standard</v>
      </c>
    </row>
    <row r="51" spans="1:21" x14ac:dyDescent="0.45">
      <c r="B51" s="89"/>
    </row>
    <row r="52" spans="1:21" x14ac:dyDescent="0.45">
      <c r="B52" s="89"/>
      <c r="C52" t="s">
        <v>205</v>
      </c>
      <c r="D52" t="s">
        <v>206</v>
      </c>
    </row>
    <row r="53" spans="1:21" x14ac:dyDescent="0.45">
      <c r="B53" s="89" t="s">
        <v>189</v>
      </c>
      <c r="C53" s="72">
        <v>0</v>
      </c>
      <c r="D53" s="72">
        <v>0</v>
      </c>
    </row>
    <row r="54" spans="1:21" x14ac:dyDescent="0.45">
      <c r="B54" s="89" t="s">
        <v>207</v>
      </c>
      <c r="C54" s="72">
        <f>D113*3</f>
        <v>547.19999999999914</v>
      </c>
      <c r="D54" s="72">
        <v>0</v>
      </c>
      <c r="G54" s="97"/>
      <c r="H54" s="97"/>
      <c r="I54" s="97"/>
      <c r="J54" s="97"/>
      <c r="K54" s="97"/>
    </row>
    <row r="55" spans="1:21" x14ac:dyDescent="0.45">
      <c r="B55" s="89" t="s">
        <v>208</v>
      </c>
      <c r="C55" s="72">
        <f>D113*1.5</f>
        <v>273.59999999999957</v>
      </c>
      <c r="D55" s="72">
        <v>0</v>
      </c>
    </row>
    <row r="56" spans="1:21" x14ac:dyDescent="0.45">
      <c r="B56" s="89" t="s">
        <v>206</v>
      </c>
      <c r="C56" s="72">
        <v>0</v>
      </c>
      <c r="D56">
        <f>SUM(C53:C57)</f>
        <v>911.99999999999852</v>
      </c>
    </row>
    <row r="57" spans="1:21" x14ac:dyDescent="0.45">
      <c r="B57" s="89" t="s">
        <v>191</v>
      </c>
      <c r="C57" s="72">
        <f>D113*0.5</f>
        <v>91.199999999999847</v>
      </c>
      <c r="D57" s="72">
        <v>0</v>
      </c>
    </row>
    <row r="58" spans="1:21" x14ac:dyDescent="0.45">
      <c r="B58" s="89" t="s">
        <v>181</v>
      </c>
      <c r="C58">
        <f>$C$37-SUM(C53:C57)</f>
        <v>-911.99999999999852</v>
      </c>
      <c r="D58">
        <f>$C$37-SUM(D53:D57)</f>
        <v>-911.99999999999852</v>
      </c>
    </row>
    <row r="59" spans="1:21" x14ac:dyDescent="0.45">
      <c r="A59" s="91"/>
      <c r="B59" s="89"/>
    </row>
    <row r="60" spans="1:21" x14ac:dyDescent="0.45">
      <c r="A60" s="29" t="s">
        <v>209</v>
      </c>
      <c r="B60" s="89"/>
    </row>
    <row r="61" spans="1:21" x14ac:dyDescent="0.45">
      <c r="B61" s="89" t="s">
        <v>210</v>
      </c>
    </row>
    <row r="62" spans="1:21" x14ac:dyDescent="0.45">
      <c r="B62" s="114" t="s">
        <v>302</v>
      </c>
    </row>
    <row r="63" spans="1:21" x14ac:dyDescent="0.45">
      <c r="B63" s="89" t="s">
        <v>211</v>
      </c>
      <c r="M63" s="73">
        <f>D69</f>
        <v>-0.22754830549134211</v>
      </c>
      <c r="N63" s="73">
        <f>M63</f>
        <v>-0.22754830549134211</v>
      </c>
      <c r="O63" s="73">
        <f t="shared" ref="O63:U63" si="2">N63</f>
        <v>-0.22754830549134211</v>
      </c>
      <c r="P63" s="73">
        <f t="shared" si="2"/>
        <v>-0.22754830549134211</v>
      </c>
      <c r="Q63" s="73">
        <f t="shared" si="2"/>
        <v>-0.22754830549134211</v>
      </c>
      <c r="R63" s="73">
        <f t="shared" si="2"/>
        <v>-0.22754830549134211</v>
      </c>
      <c r="S63" s="73">
        <f t="shared" si="2"/>
        <v>-0.22754830549134211</v>
      </c>
      <c r="T63" s="73">
        <f t="shared" si="2"/>
        <v>-0.22754830549134211</v>
      </c>
      <c r="U63" s="73">
        <f t="shared" si="2"/>
        <v>-0.22754830549134211</v>
      </c>
    </row>
    <row r="64" spans="1:21" x14ac:dyDescent="0.45">
      <c r="B64" s="89" t="s">
        <v>212</v>
      </c>
      <c r="M64" s="73">
        <f>M63+3%</f>
        <v>-0.19754830549134211</v>
      </c>
      <c r="N64" s="73">
        <f t="shared" ref="N64:U64" si="3">N63+3%</f>
        <v>-0.19754830549134211</v>
      </c>
      <c r="O64" s="73">
        <f t="shared" si="3"/>
        <v>-0.19754830549134211</v>
      </c>
      <c r="P64" s="73">
        <f t="shared" si="3"/>
        <v>-0.19754830549134211</v>
      </c>
      <c r="Q64" s="73">
        <f t="shared" si="3"/>
        <v>-0.19754830549134211</v>
      </c>
      <c r="R64" s="73">
        <f t="shared" si="3"/>
        <v>-0.19754830549134211</v>
      </c>
      <c r="S64" s="73">
        <f t="shared" si="3"/>
        <v>-0.19754830549134211</v>
      </c>
      <c r="T64" s="73">
        <f t="shared" si="3"/>
        <v>-0.19754830549134211</v>
      </c>
      <c r="U64" s="73">
        <f t="shared" si="3"/>
        <v>-0.19754830549134211</v>
      </c>
    </row>
    <row r="65" spans="1:21" x14ac:dyDescent="0.45">
      <c r="B65" s="89"/>
      <c r="M65" s="75"/>
      <c r="N65" s="75"/>
      <c r="O65" s="75"/>
      <c r="P65" s="75"/>
      <c r="Q65" s="75"/>
      <c r="R65" s="75"/>
      <c r="S65" s="75"/>
      <c r="T65" s="75"/>
      <c r="U65" s="75"/>
    </row>
    <row r="66" spans="1:21" x14ac:dyDescent="0.45">
      <c r="A66" s="29" t="s">
        <v>213</v>
      </c>
      <c r="B66" s="89"/>
    </row>
    <row r="67" spans="1:21" x14ac:dyDescent="0.45">
      <c r="B67" s="89" t="s">
        <v>214</v>
      </c>
      <c r="C67" s="26"/>
      <c r="D67" s="26">
        <f>D106/C106-1</f>
        <v>4.0339413739903573E-2</v>
      </c>
      <c r="M67" s="73">
        <v>0.03</v>
      </c>
      <c r="N67" s="73">
        <v>0.03</v>
      </c>
      <c r="O67" s="73">
        <v>0.03</v>
      </c>
      <c r="P67" s="73">
        <v>0.03</v>
      </c>
      <c r="Q67" s="73">
        <v>0.03</v>
      </c>
      <c r="R67" s="73">
        <v>0.03</v>
      </c>
      <c r="S67" s="73">
        <v>0.03</v>
      </c>
      <c r="T67" s="73">
        <v>0.03</v>
      </c>
      <c r="U67" s="73">
        <v>0.03</v>
      </c>
    </row>
    <row r="68" spans="1:21" x14ac:dyDescent="0.45">
      <c r="B68" s="89" t="s">
        <v>215</v>
      </c>
      <c r="C68" s="26">
        <f>C107/C106</f>
        <v>-0.73255286323622837</v>
      </c>
      <c r="D68" s="26">
        <f>D107/D106</f>
        <v>-0.72290312731713713</v>
      </c>
      <c r="E68" s="26"/>
      <c r="F68" s="26"/>
      <c r="G68" s="26"/>
      <c r="H68" s="26"/>
      <c r="I68" s="26"/>
      <c r="J68" s="26"/>
      <c r="K68" s="26"/>
      <c r="L68" s="26"/>
      <c r="M68" s="73">
        <f>D68</f>
        <v>-0.72290312731713713</v>
      </c>
      <c r="N68" s="73">
        <f>M68</f>
        <v>-0.72290312731713713</v>
      </c>
      <c r="O68" s="73">
        <f t="shared" ref="O68:U68" si="4">N68</f>
        <v>-0.72290312731713713</v>
      </c>
      <c r="P68" s="73">
        <f t="shared" si="4"/>
        <v>-0.72290312731713713</v>
      </c>
      <c r="Q68" s="73">
        <f t="shared" si="4"/>
        <v>-0.72290312731713713</v>
      </c>
      <c r="R68" s="73">
        <f t="shared" si="4"/>
        <v>-0.72290312731713713</v>
      </c>
      <c r="S68" s="73">
        <f t="shared" si="4"/>
        <v>-0.72290312731713713</v>
      </c>
      <c r="T68" s="73">
        <f t="shared" si="4"/>
        <v>-0.72290312731713713</v>
      </c>
      <c r="U68" s="73">
        <f t="shared" si="4"/>
        <v>-0.72290312731713713</v>
      </c>
    </row>
    <row r="69" spans="1:21" x14ac:dyDescent="0.45">
      <c r="B69" s="89" t="s">
        <v>210</v>
      </c>
      <c r="C69" s="26">
        <f>C108/C106</f>
        <v>-0.22465740992830566</v>
      </c>
      <c r="D69" s="26">
        <f>D108/D106</f>
        <v>-0.22754830549134211</v>
      </c>
      <c r="E69" s="26"/>
      <c r="F69" s="26"/>
      <c r="G69" s="26"/>
      <c r="H69" s="26"/>
      <c r="I69" s="26"/>
      <c r="J69" s="26"/>
      <c r="K69" s="26"/>
      <c r="L69" s="26"/>
      <c r="M69" s="92"/>
      <c r="N69" s="92"/>
      <c r="O69" s="92"/>
      <c r="P69" s="92"/>
      <c r="Q69" s="92"/>
      <c r="R69" s="92"/>
      <c r="S69" s="92"/>
      <c r="T69" s="92"/>
      <c r="U69" s="92"/>
    </row>
    <row r="70" spans="1:21" x14ac:dyDescent="0.45">
      <c r="B70" s="89" t="s">
        <v>216</v>
      </c>
      <c r="C70" s="26">
        <f>C119/C118</f>
        <v>-0.24296296296296274</v>
      </c>
      <c r="D70" s="26">
        <f>D119/D118</f>
        <v>-0.20469798657718191</v>
      </c>
      <c r="E70" s="26"/>
      <c r="F70" s="26"/>
      <c r="G70" s="26"/>
      <c r="H70" s="26"/>
      <c r="I70" s="26"/>
      <c r="J70" s="26"/>
      <c r="K70" s="26"/>
      <c r="L70" s="26"/>
      <c r="M70" s="73">
        <v>-0.2</v>
      </c>
      <c r="N70" s="73">
        <v>-0.2</v>
      </c>
      <c r="O70" s="73">
        <v>-0.2</v>
      </c>
      <c r="P70" s="73">
        <v>-0.2</v>
      </c>
      <c r="Q70" s="73">
        <v>-0.2</v>
      </c>
      <c r="R70" s="73">
        <v>-0.2</v>
      </c>
      <c r="S70" s="73">
        <v>-0.2</v>
      </c>
      <c r="T70" s="73">
        <v>-0.2</v>
      </c>
      <c r="U70" s="73">
        <v>-0.2</v>
      </c>
    </row>
    <row r="71" spans="1:21" x14ac:dyDescent="0.45">
      <c r="B71" s="89" t="s">
        <v>158</v>
      </c>
      <c r="C71" s="26">
        <f>C85/C106</f>
        <v>1.8331972048280239E-2</v>
      </c>
      <c r="D71" s="26">
        <f>D85/D106</f>
        <v>2.1503031360404764E-2</v>
      </c>
      <c r="M71" s="73">
        <v>0.03</v>
      </c>
      <c r="N71" s="73">
        <v>0.03</v>
      </c>
      <c r="O71" s="73">
        <v>0.03</v>
      </c>
      <c r="P71" s="73">
        <v>0.03</v>
      </c>
      <c r="Q71" s="73">
        <v>0.03</v>
      </c>
      <c r="R71" s="73">
        <v>0.03</v>
      </c>
      <c r="S71" s="73">
        <v>0.03</v>
      </c>
      <c r="T71" s="73">
        <v>0.03</v>
      </c>
      <c r="U71" s="73">
        <v>0.03</v>
      </c>
    </row>
    <row r="72" spans="1:21" x14ac:dyDescent="0.45">
      <c r="B72" s="89" t="s">
        <v>217</v>
      </c>
      <c r="C72" s="26"/>
      <c r="D72" s="26">
        <f>D86/C87</f>
        <v>-0.12974995077771218</v>
      </c>
      <c r="E72" s="26"/>
      <c r="F72" s="26"/>
      <c r="G72" s="26"/>
      <c r="H72" s="26"/>
      <c r="I72" s="26"/>
      <c r="J72" s="26"/>
      <c r="K72" s="26"/>
      <c r="L72" s="26"/>
      <c r="M72" s="73">
        <f>D72</f>
        <v>-0.12974995077771218</v>
      </c>
      <c r="N72" s="73">
        <f>M72</f>
        <v>-0.12974995077771218</v>
      </c>
      <c r="O72" s="73">
        <f t="shared" ref="O72:U72" si="5">N72</f>
        <v>-0.12974995077771218</v>
      </c>
      <c r="P72" s="73">
        <f t="shared" si="5"/>
        <v>-0.12974995077771218</v>
      </c>
      <c r="Q72" s="73">
        <f t="shared" si="5"/>
        <v>-0.12974995077771218</v>
      </c>
      <c r="R72" s="73">
        <f t="shared" si="5"/>
        <v>-0.12974995077771218</v>
      </c>
      <c r="S72" s="73">
        <f t="shared" si="5"/>
        <v>-0.12974995077771218</v>
      </c>
      <c r="T72" s="73">
        <f t="shared" si="5"/>
        <v>-0.12974995077771218</v>
      </c>
      <c r="U72" s="73">
        <f t="shared" si="5"/>
        <v>-0.12974995077771218</v>
      </c>
    </row>
    <row r="73" spans="1:21" x14ac:dyDescent="0.45">
      <c r="B73" s="89" t="s">
        <v>218</v>
      </c>
      <c r="C73">
        <f>C112</f>
        <v>3</v>
      </c>
      <c r="D73">
        <f>D112</f>
        <v>2.9</v>
      </c>
      <c r="M73" s="72">
        <v>0</v>
      </c>
      <c r="N73" s="72">
        <v>0</v>
      </c>
      <c r="O73" s="72">
        <v>0</v>
      </c>
      <c r="P73" s="72">
        <v>0</v>
      </c>
      <c r="Q73" s="72">
        <v>0</v>
      </c>
      <c r="R73" s="72">
        <v>0</v>
      </c>
      <c r="S73" s="72">
        <v>0</v>
      </c>
      <c r="T73" s="72">
        <v>0</v>
      </c>
      <c r="U73" s="72">
        <v>0</v>
      </c>
    </row>
    <row r="74" spans="1:21" x14ac:dyDescent="0.45">
      <c r="B74" s="89" t="s">
        <v>219</v>
      </c>
      <c r="C74" s="26">
        <f>C124/C106</f>
        <v>7.7910881205191018E-2</v>
      </c>
      <c r="D74" s="26">
        <f>D124/D106</f>
        <v>8.5227024905133689E-2</v>
      </c>
      <c r="M74" s="73">
        <f t="shared" ref="M74:M80" si="6">D74</f>
        <v>8.5227024905133689E-2</v>
      </c>
      <c r="N74" s="73">
        <f t="shared" ref="N74:N80" si="7">M74</f>
        <v>8.5227024905133689E-2</v>
      </c>
      <c r="O74" s="73">
        <f t="shared" ref="O74:U74" si="8">N74</f>
        <v>8.5227024905133689E-2</v>
      </c>
      <c r="P74" s="73">
        <f t="shared" si="8"/>
        <v>8.5227024905133689E-2</v>
      </c>
      <c r="Q74" s="73">
        <f t="shared" si="8"/>
        <v>8.5227024905133689E-2</v>
      </c>
      <c r="R74" s="73">
        <f t="shared" si="8"/>
        <v>8.5227024905133689E-2</v>
      </c>
      <c r="S74" s="73">
        <f t="shared" si="8"/>
        <v>8.5227024905133689E-2</v>
      </c>
      <c r="T74" s="73">
        <f t="shared" si="8"/>
        <v>8.5227024905133689E-2</v>
      </c>
      <c r="U74" s="73">
        <f t="shared" si="8"/>
        <v>8.5227024905133689E-2</v>
      </c>
    </row>
    <row r="75" spans="1:21" x14ac:dyDescent="0.45">
      <c r="B75" s="89" t="s">
        <v>220</v>
      </c>
      <c r="C75" s="26">
        <f>C125/C107</f>
        <v>-4.4165014866204159E-2</v>
      </c>
      <c r="D75" s="26">
        <f>D125/D107</f>
        <v>-4.977675877881018E-2</v>
      </c>
      <c r="M75" s="73">
        <f t="shared" si="6"/>
        <v>-4.977675877881018E-2</v>
      </c>
      <c r="N75" s="73">
        <f t="shared" si="7"/>
        <v>-4.977675877881018E-2</v>
      </c>
      <c r="O75" s="73">
        <f t="shared" ref="O75:U75" si="9">N75</f>
        <v>-4.977675877881018E-2</v>
      </c>
      <c r="P75" s="73">
        <f t="shared" si="9"/>
        <v>-4.977675877881018E-2</v>
      </c>
      <c r="Q75" s="73">
        <f t="shared" si="9"/>
        <v>-4.977675877881018E-2</v>
      </c>
      <c r="R75" s="73">
        <f t="shared" si="9"/>
        <v>-4.977675877881018E-2</v>
      </c>
      <c r="S75" s="73">
        <f t="shared" si="9"/>
        <v>-4.977675877881018E-2</v>
      </c>
      <c r="T75" s="73">
        <f t="shared" si="9"/>
        <v>-4.977675877881018E-2</v>
      </c>
      <c r="U75" s="73">
        <f t="shared" si="9"/>
        <v>-4.977675877881018E-2</v>
      </c>
    </row>
    <row r="76" spans="1:21" x14ac:dyDescent="0.45">
      <c r="B76" s="89" t="s">
        <v>301</v>
      </c>
      <c r="C76">
        <f>C126</f>
        <v>2.1</v>
      </c>
      <c r="D76">
        <f>D126</f>
        <v>3.5</v>
      </c>
      <c r="M76" s="72">
        <f t="shared" si="6"/>
        <v>3.5</v>
      </c>
      <c r="N76" s="72">
        <f t="shared" si="7"/>
        <v>3.5</v>
      </c>
      <c r="O76" s="72">
        <f t="shared" ref="O76:U76" si="10">N76</f>
        <v>3.5</v>
      </c>
      <c r="P76" s="72">
        <f t="shared" si="10"/>
        <v>3.5</v>
      </c>
      <c r="Q76" s="72">
        <f t="shared" si="10"/>
        <v>3.5</v>
      </c>
      <c r="R76" s="72">
        <f t="shared" si="10"/>
        <v>3.5</v>
      </c>
      <c r="S76" s="72">
        <f t="shared" si="10"/>
        <v>3.5</v>
      </c>
      <c r="T76" s="72">
        <f t="shared" si="10"/>
        <v>3.5</v>
      </c>
      <c r="U76" s="72">
        <f t="shared" si="10"/>
        <v>3.5</v>
      </c>
    </row>
    <row r="77" spans="1:21" x14ac:dyDescent="0.45">
      <c r="B77" s="89" t="s">
        <v>221</v>
      </c>
      <c r="C77">
        <f>C129</f>
        <v>27.699999999999996</v>
      </c>
      <c r="D77">
        <f>D129</f>
        <v>35.1</v>
      </c>
      <c r="M77" s="72">
        <f t="shared" si="6"/>
        <v>35.1</v>
      </c>
      <c r="N77" s="72">
        <f t="shared" si="7"/>
        <v>35.1</v>
      </c>
      <c r="O77" s="72">
        <f t="shared" ref="O77:U77" si="11">N77</f>
        <v>35.1</v>
      </c>
      <c r="P77" s="72">
        <f t="shared" si="11"/>
        <v>35.1</v>
      </c>
      <c r="Q77" s="72">
        <f t="shared" si="11"/>
        <v>35.1</v>
      </c>
      <c r="R77" s="72">
        <f t="shared" si="11"/>
        <v>35.1</v>
      </c>
      <c r="S77" s="72">
        <f t="shared" si="11"/>
        <v>35.1</v>
      </c>
      <c r="T77" s="72">
        <f t="shared" si="11"/>
        <v>35.1</v>
      </c>
      <c r="U77" s="72">
        <f t="shared" si="11"/>
        <v>35.1</v>
      </c>
    </row>
    <row r="78" spans="1:21" x14ac:dyDescent="0.45">
      <c r="B78" s="89" t="s">
        <v>222</v>
      </c>
      <c r="C78" s="26">
        <f>C134/C107</f>
        <v>-0.27725470763131815</v>
      </c>
      <c r="D78" s="26">
        <f>D134/D107</f>
        <v>-0.29727283697357304</v>
      </c>
      <c r="M78" s="73">
        <f t="shared" si="6"/>
        <v>-0.29727283697357304</v>
      </c>
      <c r="N78" s="73">
        <f t="shared" si="7"/>
        <v>-0.29727283697357304</v>
      </c>
      <c r="O78" s="73">
        <f t="shared" ref="O78:U78" si="12">N78</f>
        <v>-0.29727283697357304</v>
      </c>
      <c r="P78" s="73">
        <f t="shared" si="12"/>
        <v>-0.29727283697357304</v>
      </c>
      <c r="Q78" s="73">
        <f t="shared" si="12"/>
        <v>-0.29727283697357304</v>
      </c>
      <c r="R78" s="73">
        <f t="shared" si="12"/>
        <v>-0.29727283697357304</v>
      </c>
      <c r="S78" s="73">
        <f t="shared" si="12"/>
        <v>-0.29727283697357304</v>
      </c>
      <c r="T78" s="73">
        <f t="shared" si="12"/>
        <v>-0.29727283697357304</v>
      </c>
      <c r="U78" s="73">
        <f t="shared" si="12"/>
        <v>-0.29727283697357304</v>
      </c>
    </row>
    <row r="79" spans="1:21" x14ac:dyDescent="0.45">
      <c r="B79" s="89" t="s">
        <v>303</v>
      </c>
      <c r="C79" s="26">
        <f>C135/C107</f>
        <v>-8.8577799801783947E-3</v>
      </c>
      <c r="D79" s="26">
        <f>D135/D107</f>
        <v>-1.3696150597321106E-2</v>
      </c>
      <c r="M79" s="73">
        <f t="shared" si="6"/>
        <v>-1.3696150597321106E-2</v>
      </c>
      <c r="N79" s="73">
        <f t="shared" si="7"/>
        <v>-1.3696150597321106E-2</v>
      </c>
      <c r="O79" s="73">
        <f t="shared" ref="O79:U79" si="13">N79</f>
        <v>-1.3696150597321106E-2</v>
      </c>
      <c r="P79" s="73">
        <f t="shared" si="13"/>
        <v>-1.3696150597321106E-2</v>
      </c>
      <c r="Q79" s="73">
        <f t="shared" si="13"/>
        <v>-1.3696150597321106E-2</v>
      </c>
      <c r="R79" s="73">
        <f t="shared" si="13"/>
        <v>-1.3696150597321106E-2</v>
      </c>
      <c r="S79" s="73">
        <f t="shared" si="13"/>
        <v>-1.3696150597321106E-2</v>
      </c>
      <c r="T79" s="73">
        <f t="shared" si="13"/>
        <v>-1.3696150597321106E-2</v>
      </c>
      <c r="U79" s="73">
        <f t="shared" si="13"/>
        <v>-1.3696150597321106E-2</v>
      </c>
    </row>
    <row r="80" spans="1:21" x14ac:dyDescent="0.45">
      <c r="B80" s="89" t="s">
        <v>223</v>
      </c>
      <c r="C80">
        <f>C136</f>
        <v>54.9</v>
      </c>
      <c r="D80">
        <f>D136</f>
        <v>60.5</v>
      </c>
      <c r="M80" s="72">
        <f t="shared" si="6"/>
        <v>60.5</v>
      </c>
      <c r="N80" s="72">
        <f t="shared" si="7"/>
        <v>60.5</v>
      </c>
      <c r="O80" s="72">
        <f t="shared" ref="O80:U80" si="14">N80</f>
        <v>60.5</v>
      </c>
      <c r="P80" s="72">
        <f t="shared" si="14"/>
        <v>60.5</v>
      </c>
      <c r="Q80" s="72">
        <f t="shared" si="14"/>
        <v>60.5</v>
      </c>
      <c r="R80" s="72">
        <f t="shared" si="14"/>
        <v>60.5</v>
      </c>
      <c r="S80" s="72">
        <f t="shared" si="14"/>
        <v>60.5</v>
      </c>
      <c r="T80" s="72">
        <f t="shared" si="14"/>
        <v>60.5</v>
      </c>
      <c r="U80" s="72">
        <f t="shared" si="14"/>
        <v>60.5</v>
      </c>
    </row>
    <row r="81" spans="1:21" x14ac:dyDescent="0.45">
      <c r="B81" s="89" t="s">
        <v>224</v>
      </c>
      <c r="M81" s="73">
        <v>0</v>
      </c>
      <c r="N81" s="73">
        <v>0</v>
      </c>
      <c r="O81" s="73">
        <v>0</v>
      </c>
      <c r="P81" s="73">
        <v>0</v>
      </c>
      <c r="Q81" s="73">
        <v>0</v>
      </c>
      <c r="R81" s="73">
        <v>0</v>
      </c>
      <c r="S81" s="73">
        <v>0</v>
      </c>
      <c r="T81" s="73">
        <v>0</v>
      </c>
      <c r="U81" s="73">
        <v>0</v>
      </c>
    </row>
    <row r="82" spans="1:21" x14ac:dyDescent="0.45">
      <c r="B82" s="89"/>
    </row>
    <row r="83" spans="1:21" x14ac:dyDescent="0.45">
      <c r="A83" s="29" t="s">
        <v>225</v>
      </c>
      <c r="B83" s="89"/>
    </row>
    <row r="84" spans="1:21" x14ac:dyDescent="0.45">
      <c r="B84" s="89" t="s">
        <v>226</v>
      </c>
    </row>
    <row r="85" spans="1:21" x14ac:dyDescent="0.45">
      <c r="B85" s="89" t="s">
        <v>227</v>
      </c>
      <c r="C85" s="23">
        <f>40.4</f>
        <v>40.4</v>
      </c>
      <c r="D85" s="23">
        <f>49.3</f>
        <v>49.3</v>
      </c>
    </row>
    <row r="86" spans="1:21" x14ac:dyDescent="0.45">
      <c r="B86" s="89" t="s">
        <v>228</v>
      </c>
      <c r="C86">
        <f>C111*-1</f>
        <v>-68.7</v>
      </c>
      <c r="D86">
        <f>D111*-1</f>
        <v>-65.900000000000006</v>
      </c>
    </row>
    <row r="87" spans="1:21" x14ac:dyDescent="0.45">
      <c r="B87" s="89" t="s">
        <v>229</v>
      </c>
      <c r="C87">
        <f>C127</f>
        <v>507.9</v>
      </c>
      <c r="D87">
        <f>D127</f>
        <v>483</v>
      </c>
    </row>
    <row r="88" spans="1:21" x14ac:dyDescent="0.45">
      <c r="B88" s="89"/>
    </row>
    <row r="89" spans="1:21" x14ac:dyDescent="0.45">
      <c r="B89" s="89" t="s">
        <v>230</v>
      </c>
    </row>
    <row r="90" spans="1:21" x14ac:dyDescent="0.45">
      <c r="B90" s="89" t="s">
        <v>231</v>
      </c>
      <c r="C90">
        <f>C112</f>
        <v>3</v>
      </c>
      <c r="D90">
        <f>D112</f>
        <v>2.9</v>
      </c>
    </row>
    <row r="91" spans="1:21" x14ac:dyDescent="0.45">
      <c r="B91" s="89" t="s">
        <v>232</v>
      </c>
      <c r="C91">
        <f>C128</f>
        <v>10.5</v>
      </c>
      <c r="D91">
        <f>D128</f>
        <v>16.100000000000001</v>
      </c>
    </row>
    <row r="92" spans="1:21" x14ac:dyDescent="0.45">
      <c r="B92" s="89"/>
    </row>
    <row r="93" spans="1:21" x14ac:dyDescent="0.45">
      <c r="B93" s="89" t="s">
        <v>233</v>
      </c>
    </row>
    <row r="94" spans="1:21" x14ac:dyDescent="0.45">
      <c r="B94" s="89" t="s">
        <v>234</v>
      </c>
    </row>
    <row r="95" spans="1:21" x14ac:dyDescent="0.45">
      <c r="B95" s="89" t="s">
        <v>235</v>
      </c>
    </row>
    <row r="96" spans="1:21" x14ac:dyDescent="0.45">
      <c r="B96" s="89" t="s">
        <v>236</v>
      </c>
    </row>
    <row r="97" spans="1:22" x14ac:dyDescent="0.45">
      <c r="B97" s="89"/>
    </row>
    <row r="98" spans="1:22" x14ac:dyDescent="0.45">
      <c r="B98" s="89" t="str">
        <f>B124</f>
        <v>Accounts receivable</v>
      </c>
    </row>
    <row r="99" spans="1:22" x14ac:dyDescent="0.45">
      <c r="B99" s="89" t="str">
        <f>B125</f>
        <v>Inventories</v>
      </c>
    </row>
    <row r="100" spans="1:22" x14ac:dyDescent="0.45">
      <c r="B100" s="89" t="str">
        <f>B126</f>
        <v>Other current assets</v>
      </c>
    </row>
    <row r="101" spans="1:22" x14ac:dyDescent="0.45">
      <c r="B101" s="89" t="str">
        <f>B134</f>
        <v>Accounts payable</v>
      </c>
    </row>
    <row r="102" spans="1:22" x14ac:dyDescent="0.45">
      <c r="B102" s="89" t="s">
        <v>296</v>
      </c>
    </row>
    <row r="103" spans="1:22" x14ac:dyDescent="0.45">
      <c r="B103" s="89" t="s">
        <v>164</v>
      </c>
    </row>
    <row r="105" spans="1:22" ht="15" customHeight="1" x14ac:dyDescent="0.45">
      <c r="A105" s="29" t="s">
        <v>30</v>
      </c>
      <c r="B105" s="89"/>
      <c r="C105" s="26"/>
      <c r="D105" s="26"/>
      <c r="E105" s="26"/>
      <c r="F105" s="26"/>
      <c r="G105" s="26"/>
      <c r="H105" s="26"/>
      <c r="I105" s="26"/>
      <c r="J105" s="26"/>
      <c r="K105" s="26"/>
      <c r="L105" s="26"/>
      <c r="M105" s="26"/>
      <c r="N105" s="26"/>
      <c r="O105" s="26"/>
      <c r="P105" s="26"/>
      <c r="Q105" s="26"/>
      <c r="R105" s="26"/>
      <c r="S105" s="26"/>
      <c r="T105" s="26"/>
      <c r="U105" s="26"/>
    </row>
    <row r="106" spans="1:22" ht="15" customHeight="1" x14ac:dyDescent="0.45">
      <c r="B106" s="89" t="s">
        <v>237</v>
      </c>
      <c r="C106" s="23">
        <f>2203.8</f>
        <v>2203.8000000000002</v>
      </c>
      <c r="D106" s="23">
        <f>2292.7</f>
        <v>2292.6999999999998</v>
      </c>
    </row>
    <row r="107" spans="1:22" x14ac:dyDescent="0.45">
      <c r="B107" s="89" t="s">
        <v>238</v>
      </c>
      <c r="C107" s="23">
        <f>-1614.4</f>
        <v>-1614.4</v>
      </c>
      <c r="D107" s="23">
        <f>-1657.4</f>
        <v>-1657.4</v>
      </c>
    </row>
    <row r="108" spans="1:22" x14ac:dyDescent="0.45">
      <c r="B108" s="89" t="s">
        <v>239</v>
      </c>
      <c r="C108" s="23">
        <f>-85.1-409.9-0.1</f>
        <v>-495.1</v>
      </c>
      <c r="D108" s="23">
        <f>-87.1-434.6</f>
        <v>-521.70000000000005</v>
      </c>
    </row>
    <row r="109" spans="1:22" s="70" customFormat="1" x14ac:dyDescent="0.45">
      <c r="A109" s="29"/>
      <c r="B109" s="93" t="s">
        <v>19</v>
      </c>
      <c r="C109" s="70">
        <f>SUM(C106:C108)</f>
        <v>94.300000000000068</v>
      </c>
      <c r="D109" s="70">
        <f>SUM(D106:D108)</f>
        <v>113.59999999999968</v>
      </c>
      <c r="K109"/>
      <c r="V109"/>
    </row>
    <row r="110" spans="1:22" x14ac:dyDescent="0.45">
      <c r="B110" s="89"/>
      <c r="M110" s="26"/>
      <c r="N110" s="26"/>
      <c r="O110" s="26"/>
      <c r="P110" s="26"/>
      <c r="Q110" s="26"/>
      <c r="R110" s="26"/>
      <c r="S110" s="26"/>
      <c r="T110" s="26"/>
      <c r="U110" s="26"/>
    </row>
    <row r="111" spans="1:22" x14ac:dyDescent="0.45">
      <c r="B111" s="89" t="s">
        <v>27</v>
      </c>
      <c r="C111" s="23">
        <f>68.7</f>
        <v>68.7</v>
      </c>
      <c r="D111" s="23">
        <f>65.9</f>
        <v>65.900000000000006</v>
      </c>
    </row>
    <row r="112" spans="1:22" x14ac:dyDescent="0.45">
      <c r="B112" s="89" t="s">
        <v>240</v>
      </c>
      <c r="C112" s="23">
        <v>3</v>
      </c>
      <c r="D112" s="23">
        <f>2.9</f>
        <v>2.9</v>
      </c>
    </row>
    <row r="113" spans="1:22" s="70" customFormat="1" x14ac:dyDescent="0.45">
      <c r="A113" s="29"/>
      <c r="B113" s="93" t="s">
        <v>20</v>
      </c>
      <c r="C113" s="70">
        <f>SUM(C109,C111:C112)</f>
        <v>166.00000000000006</v>
      </c>
      <c r="D113" s="70">
        <f>SUM(D109,D111:D112)</f>
        <v>182.39999999999969</v>
      </c>
      <c r="K113"/>
      <c r="V113"/>
    </row>
    <row r="114" spans="1:22" x14ac:dyDescent="0.45">
      <c r="B114" s="89"/>
    </row>
    <row r="115" spans="1:22" x14ac:dyDescent="0.45">
      <c r="B115" s="89" t="s">
        <v>32</v>
      </c>
      <c r="C115" s="23">
        <f>0.6</f>
        <v>0.6</v>
      </c>
      <c r="D115" s="23">
        <f>0.5+1.7</f>
        <v>2.2000000000000002</v>
      </c>
    </row>
    <row r="116" spans="1:22" x14ac:dyDescent="0.45">
      <c r="B116" s="89" t="s">
        <v>241</v>
      </c>
      <c r="C116" s="23">
        <f>-27.4</f>
        <v>-27.4</v>
      </c>
      <c r="D116" s="23">
        <f>-26.4</f>
        <v>-26.4</v>
      </c>
    </row>
    <row r="117" spans="1:22" x14ac:dyDescent="0.45">
      <c r="B117" s="89" t="s">
        <v>242</v>
      </c>
      <c r="C117" s="23">
        <v>0</v>
      </c>
      <c r="D117" s="23">
        <v>0</v>
      </c>
    </row>
    <row r="118" spans="1:22" s="70" customFormat="1" x14ac:dyDescent="0.45">
      <c r="A118" s="29"/>
      <c r="B118" s="93" t="s">
        <v>243</v>
      </c>
      <c r="C118" s="70">
        <f>SUM(C109,C115:C117)</f>
        <v>67.500000000000057</v>
      </c>
      <c r="D118" s="70">
        <f>SUM(D109,D115:D117)</f>
        <v>89.399999999999693</v>
      </c>
      <c r="K118"/>
      <c r="V118"/>
    </row>
    <row r="119" spans="1:22" x14ac:dyDescent="0.45">
      <c r="B119" s="89" t="s">
        <v>35</v>
      </c>
      <c r="C119" s="23">
        <f>-16.4</f>
        <v>-16.399999999999999</v>
      </c>
      <c r="D119" s="23">
        <v>-18.3</v>
      </c>
    </row>
    <row r="120" spans="1:22" s="70" customFormat="1" x14ac:dyDescent="0.45">
      <c r="A120" s="29"/>
      <c r="B120" s="93" t="s">
        <v>29</v>
      </c>
      <c r="C120" s="70">
        <f>C118+C119</f>
        <v>51.100000000000058</v>
      </c>
      <c r="D120" s="70">
        <f>D118+D119</f>
        <v>71.099999999999696</v>
      </c>
      <c r="K120"/>
      <c r="V120"/>
    </row>
    <row r="122" spans="1:22" x14ac:dyDescent="0.45">
      <c r="A122" s="29" t="s">
        <v>244</v>
      </c>
      <c r="B122" s="89"/>
    </row>
    <row r="123" spans="1:22" x14ac:dyDescent="0.45">
      <c r="B123" s="89" t="s">
        <v>188</v>
      </c>
      <c r="C123" s="23">
        <f>36.6</f>
        <v>36.6</v>
      </c>
      <c r="D123" s="23">
        <f>29.9</f>
        <v>29.9</v>
      </c>
    </row>
    <row r="124" spans="1:22" x14ac:dyDescent="0.45">
      <c r="B124" s="89" t="s">
        <v>245</v>
      </c>
      <c r="C124" s="23">
        <f>171.7</f>
        <v>171.7</v>
      </c>
      <c r="D124" s="23">
        <f>195.4</f>
        <v>195.4</v>
      </c>
    </row>
    <row r="125" spans="1:22" x14ac:dyDescent="0.45">
      <c r="B125" s="89" t="s">
        <v>246</v>
      </c>
      <c r="C125" s="23">
        <f>71.3</f>
        <v>71.3</v>
      </c>
      <c r="D125" s="23">
        <f>82.5</f>
        <v>82.5</v>
      </c>
    </row>
    <row r="126" spans="1:22" x14ac:dyDescent="0.45">
      <c r="B126" s="89" t="s">
        <v>247</v>
      </c>
      <c r="C126" s="23">
        <f>2.1</f>
        <v>2.1</v>
      </c>
      <c r="D126" s="23">
        <f>2.3+1.2</f>
        <v>3.5</v>
      </c>
    </row>
    <row r="127" spans="1:22" x14ac:dyDescent="0.45">
      <c r="B127" s="89" t="s">
        <v>248</v>
      </c>
      <c r="C127" s="23">
        <f>507.9</f>
        <v>507.9</v>
      </c>
      <c r="D127" s="23">
        <f>483</f>
        <v>483</v>
      </c>
    </row>
    <row r="128" spans="1:22" x14ac:dyDescent="0.45">
      <c r="B128" s="89" t="s">
        <v>249</v>
      </c>
      <c r="C128" s="23">
        <f>10.5</f>
        <v>10.5</v>
      </c>
      <c r="D128" s="23">
        <f>16.1</f>
        <v>16.100000000000001</v>
      </c>
    </row>
    <row r="129" spans="1:22" x14ac:dyDescent="0.45">
      <c r="B129" s="89" t="s">
        <v>250</v>
      </c>
      <c r="C129" s="23">
        <f>0.1 +14.7+12+0.9</f>
        <v>27.699999999999996</v>
      </c>
      <c r="D129" s="23">
        <f>0.1 +16.2 +18.8</f>
        <v>35.1</v>
      </c>
    </row>
    <row r="130" spans="1:22" x14ac:dyDescent="0.45">
      <c r="B130" s="89" t="s">
        <v>193</v>
      </c>
      <c r="C130" s="23">
        <f>652.5</f>
        <v>652.5</v>
      </c>
      <c r="D130" s="23">
        <f>653.1</f>
        <v>653.1</v>
      </c>
    </row>
    <row r="131" spans="1:22" s="70" customFormat="1" x14ac:dyDescent="0.45">
      <c r="A131" s="29"/>
      <c r="B131" s="93" t="s">
        <v>251</v>
      </c>
      <c r="C131" s="70">
        <f>SUM(C123:C130)</f>
        <v>1480.3</v>
      </c>
      <c r="D131" s="70">
        <f>SUM(D123:D130)</f>
        <v>1498.6</v>
      </c>
      <c r="G131"/>
      <c r="K131"/>
      <c r="V131"/>
    </row>
    <row r="132" spans="1:22" x14ac:dyDescent="0.45">
      <c r="B132" s="89"/>
    </row>
    <row r="133" spans="1:22" x14ac:dyDescent="0.45">
      <c r="B133" s="89" t="s">
        <v>295</v>
      </c>
      <c r="C133" s="23">
        <f>25.4+11.6</f>
        <v>37</v>
      </c>
      <c r="D133" s="23">
        <f>6.9+12.1</f>
        <v>19</v>
      </c>
    </row>
    <row r="134" spans="1:22" x14ac:dyDescent="0.45">
      <c r="B134" s="89" t="s">
        <v>252</v>
      </c>
      <c r="C134" s="23">
        <f>447.6</f>
        <v>447.6</v>
      </c>
      <c r="D134" s="23">
        <f>492.7</f>
        <v>492.7</v>
      </c>
    </row>
    <row r="135" spans="1:22" x14ac:dyDescent="0.45">
      <c r="B135" s="89" t="s">
        <v>296</v>
      </c>
      <c r="C135" s="23">
        <f>0+3.4+10.4+0.5</f>
        <v>14.3</v>
      </c>
      <c r="D135" s="23">
        <f>3+1.7+15.9+2.1</f>
        <v>22.700000000000003</v>
      </c>
    </row>
    <row r="136" spans="1:22" x14ac:dyDescent="0.45">
      <c r="B136" s="89" t="s">
        <v>253</v>
      </c>
      <c r="C136" s="23">
        <f>15.7+0.8+38.4</f>
        <v>54.9</v>
      </c>
      <c r="D136" s="23">
        <f>18.3+0+42.2</f>
        <v>60.5</v>
      </c>
    </row>
    <row r="137" spans="1:22" x14ac:dyDescent="0.45">
      <c r="B137" s="89" t="s">
        <v>190</v>
      </c>
      <c r="C137" s="23">
        <f>240+78.9</f>
        <v>318.89999999999998</v>
      </c>
      <c r="D137" s="23">
        <f>215.4+72.2</f>
        <v>287.60000000000002</v>
      </c>
    </row>
    <row r="138" spans="1:22" x14ac:dyDescent="0.45">
      <c r="B138" s="89" t="str">
        <f>B41</f>
        <v>Senior debt (Term B)</v>
      </c>
      <c r="C138" s="23">
        <v>0</v>
      </c>
      <c r="D138" s="23">
        <v>0</v>
      </c>
    </row>
    <row r="139" spans="1:22" x14ac:dyDescent="0.45">
      <c r="B139" s="89" t="str">
        <f>B42</f>
        <v>Senior unsecured high yield notes</v>
      </c>
      <c r="C139" s="23">
        <v>0</v>
      </c>
      <c r="D139" s="23">
        <v>0</v>
      </c>
    </row>
    <row r="140" spans="1:22" x14ac:dyDescent="0.45">
      <c r="B140" s="89" t="str">
        <f>B43</f>
        <v>Unitranche</v>
      </c>
      <c r="C140" s="23">
        <v>0</v>
      </c>
      <c r="D140" s="23">
        <v>0</v>
      </c>
    </row>
    <row r="141" spans="1:22" x14ac:dyDescent="0.45">
      <c r="B141" s="89" t="str">
        <f>B44</f>
        <v>Mezzanine</v>
      </c>
      <c r="C141" s="23">
        <v>0</v>
      </c>
      <c r="D141" s="23">
        <v>0</v>
      </c>
    </row>
    <row r="142" spans="1:22" x14ac:dyDescent="0.45">
      <c r="A142" s="91"/>
      <c r="B142" s="89" t="s">
        <v>254</v>
      </c>
      <c r="C142" s="23">
        <f>607.6</f>
        <v>607.6</v>
      </c>
      <c r="D142" s="23">
        <f>616.1</f>
        <v>616.1</v>
      </c>
    </row>
    <row r="143" spans="1:22" s="70" customFormat="1" x14ac:dyDescent="0.45">
      <c r="A143" s="29"/>
      <c r="B143" s="93" t="s">
        <v>255</v>
      </c>
      <c r="C143" s="70">
        <f>SUM(C133:C142)</f>
        <v>1480.3000000000002</v>
      </c>
      <c r="D143" s="70">
        <f>SUM(D133:D142)</f>
        <v>1498.6</v>
      </c>
      <c r="J143"/>
      <c r="K143"/>
      <c r="V143"/>
    </row>
    <row r="144" spans="1:22" x14ac:dyDescent="0.45">
      <c r="B144" s="89"/>
    </row>
    <row r="145" spans="1:22" x14ac:dyDescent="0.45">
      <c r="B145" s="89" t="s">
        <v>256</v>
      </c>
      <c r="C145" s="100">
        <f>C143-C131</f>
        <v>0</v>
      </c>
      <c r="D145" s="100">
        <f>D143-D131</f>
        <v>0</v>
      </c>
      <c r="E145" s="100"/>
      <c r="F145" s="100"/>
      <c r="G145" s="100"/>
      <c r="H145" s="100"/>
      <c r="I145" s="100"/>
      <c r="J145" s="100"/>
      <c r="K145" s="100"/>
      <c r="L145" s="100"/>
      <c r="M145" s="100"/>
      <c r="N145" s="100"/>
      <c r="O145" s="100"/>
      <c r="P145" s="100"/>
      <c r="Q145" s="100"/>
      <c r="R145" s="100"/>
      <c r="S145" s="100"/>
      <c r="T145" s="100"/>
      <c r="U145" s="100"/>
    </row>
    <row r="147" spans="1:22" x14ac:dyDescent="0.45">
      <c r="A147" s="29" t="s">
        <v>257</v>
      </c>
      <c r="B147" s="89"/>
    </row>
    <row r="148" spans="1:22" x14ac:dyDescent="0.45">
      <c r="B148" s="89" t="s">
        <v>20</v>
      </c>
    </row>
    <row r="149" spans="1:22" x14ac:dyDescent="0.45">
      <c r="B149" s="89" t="s">
        <v>32</v>
      </c>
    </row>
    <row r="150" spans="1:22" x14ac:dyDescent="0.45">
      <c r="B150" s="89" t="s">
        <v>241</v>
      </c>
    </row>
    <row r="151" spans="1:22" x14ac:dyDescent="0.45">
      <c r="B151" s="89" t="s">
        <v>35</v>
      </c>
    </row>
    <row r="152" spans="1:22" x14ac:dyDescent="0.45">
      <c r="B152" s="89" t="s">
        <v>258</v>
      </c>
    </row>
    <row r="153" spans="1:22" x14ac:dyDescent="0.45">
      <c r="B153" s="89" t="s">
        <v>259</v>
      </c>
    </row>
    <row r="154" spans="1:22" x14ac:dyDescent="0.45">
      <c r="B154" s="89" t="s">
        <v>260</v>
      </c>
    </row>
    <row r="155" spans="1:22" s="70" customFormat="1" x14ac:dyDescent="0.45">
      <c r="A155" s="29"/>
      <c r="B155" s="93" t="s">
        <v>261</v>
      </c>
      <c r="V155"/>
    </row>
    <row r="156" spans="1:22" x14ac:dyDescent="0.45">
      <c r="B156" s="89"/>
    </row>
    <row r="157" spans="1:22" x14ac:dyDescent="0.45">
      <c r="B157" s="89" t="s">
        <v>262</v>
      </c>
    </row>
    <row r="158" spans="1:22" s="70" customFormat="1" x14ac:dyDescent="0.45">
      <c r="A158" s="29"/>
      <c r="B158" s="93" t="s">
        <v>263</v>
      </c>
      <c r="V158"/>
    </row>
    <row r="159" spans="1:22" x14ac:dyDescent="0.45">
      <c r="B159" s="89"/>
    </row>
    <row r="160" spans="1:22" x14ac:dyDescent="0.45">
      <c r="B160" s="89" t="s">
        <v>264</v>
      </c>
    </row>
    <row r="161" spans="1:22" x14ac:dyDescent="0.45">
      <c r="B161" s="89" t="s">
        <v>265</v>
      </c>
    </row>
    <row r="162" spans="1:22" x14ac:dyDescent="0.45">
      <c r="B162" s="89" t="str">
        <f>"Inc (dec) in "&amp;B138</f>
        <v>Inc (dec) in Senior debt (Term B)</v>
      </c>
    </row>
    <row r="163" spans="1:22" x14ac:dyDescent="0.45">
      <c r="B163" s="89" t="str">
        <f>"Inc (dec) in "&amp;B139</f>
        <v>Inc (dec) in Senior unsecured high yield notes</v>
      </c>
    </row>
    <row r="164" spans="1:22" x14ac:dyDescent="0.45">
      <c r="B164" s="89" t="str">
        <f>"Inc (dec) in "&amp;B140</f>
        <v>Inc (dec) in Unitranche</v>
      </c>
    </row>
    <row r="165" spans="1:22" x14ac:dyDescent="0.45">
      <c r="B165" s="89" t="s">
        <v>266</v>
      </c>
    </row>
    <row r="166" spans="1:22" s="70" customFormat="1" x14ac:dyDescent="0.45">
      <c r="A166" s="29"/>
      <c r="B166" s="93" t="s">
        <v>267</v>
      </c>
      <c r="V166"/>
    </row>
    <row r="167" spans="1:22" x14ac:dyDescent="0.45">
      <c r="B167" s="89"/>
    </row>
    <row r="168" spans="1:22" x14ac:dyDescent="0.45">
      <c r="B168" s="89" t="s">
        <v>268</v>
      </c>
    </row>
    <row r="169" spans="1:22" x14ac:dyDescent="0.45">
      <c r="B169" s="89" t="s">
        <v>269</v>
      </c>
    </row>
    <row r="170" spans="1:22" s="70" customFormat="1" x14ac:dyDescent="0.45">
      <c r="A170" s="29"/>
      <c r="B170" s="93" t="s">
        <v>95</v>
      </c>
      <c r="V170"/>
    </row>
    <row r="172" spans="1:22" x14ac:dyDescent="0.45">
      <c r="A172" s="29" t="s">
        <v>270</v>
      </c>
      <c r="B172" s="89"/>
    </row>
    <row r="173" spans="1:22" x14ac:dyDescent="0.45">
      <c r="B173" s="89" t="str">
        <f>B54&amp;" mandatory repayment"</f>
        <v>Senior debt (Term B) mandatory repayment</v>
      </c>
      <c r="M173" s="72">
        <f t="shared" ref="M173:U173" si="15">$C$54*1%*-1</f>
        <v>-5.4719999999999915</v>
      </c>
      <c r="N173" s="72">
        <f t="shared" si="15"/>
        <v>-5.4719999999999915</v>
      </c>
      <c r="O173" s="72">
        <f t="shared" si="15"/>
        <v>-5.4719999999999915</v>
      </c>
      <c r="P173" s="72">
        <f t="shared" si="15"/>
        <v>-5.4719999999999915</v>
      </c>
      <c r="Q173" s="72">
        <f t="shared" si="15"/>
        <v>-5.4719999999999915</v>
      </c>
      <c r="R173" s="72">
        <f t="shared" si="15"/>
        <v>-5.4719999999999915</v>
      </c>
      <c r="S173" s="72">
        <f t="shared" si="15"/>
        <v>-5.4719999999999915</v>
      </c>
      <c r="T173" s="72">
        <f t="shared" si="15"/>
        <v>-5.4719999999999915</v>
      </c>
      <c r="U173" s="72">
        <f t="shared" si="15"/>
        <v>-5.4719999999999915</v>
      </c>
    </row>
    <row r="174" spans="1:22" x14ac:dyDescent="0.45">
      <c r="B174" s="89" t="str">
        <f>B55&amp;" mandatory repayment"</f>
        <v>Senior unsecured high yield notes mandatory repayment</v>
      </c>
      <c r="M174" s="72">
        <v>0</v>
      </c>
      <c r="N174" s="72">
        <v>0</v>
      </c>
      <c r="O174" s="72">
        <v>0</v>
      </c>
      <c r="P174" s="72">
        <v>0</v>
      </c>
      <c r="Q174" s="72">
        <v>0</v>
      </c>
      <c r="R174" s="72">
        <v>0</v>
      </c>
      <c r="S174" s="72">
        <v>0</v>
      </c>
      <c r="T174" s="72">
        <v>0</v>
      </c>
      <c r="U174" s="72">
        <v>0</v>
      </c>
    </row>
    <row r="175" spans="1:22" x14ac:dyDescent="0.45">
      <c r="B175" s="89" t="s">
        <v>271</v>
      </c>
      <c r="M175" s="72">
        <v>0</v>
      </c>
      <c r="N175" s="72">
        <v>0</v>
      </c>
      <c r="O175" s="72">
        <v>0</v>
      </c>
      <c r="P175" s="72">
        <v>0</v>
      </c>
      <c r="Q175" s="72">
        <v>0</v>
      </c>
      <c r="R175" s="72">
        <v>0</v>
      </c>
      <c r="S175" s="72">
        <v>0</v>
      </c>
      <c r="T175" s="72">
        <v>0</v>
      </c>
      <c r="U175" s="72">
        <v>0</v>
      </c>
    </row>
    <row r="176" spans="1:22" x14ac:dyDescent="0.45">
      <c r="B176" s="89"/>
    </row>
    <row r="177" spans="1:22" x14ac:dyDescent="0.45">
      <c r="B177" s="89" t="s">
        <v>268</v>
      </c>
    </row>
    <row r="178" spans="1:22" x14ac:dyDescent="0.45">
      <c r="B178" s="89" t="s">
        <v>261</v>
      </c>
    </row>
    <row r="179" spans="1:22" x14ac:dyDescent="0.45">
      <c r="B179" s="89" t="s">
        <v>263</v>
      </c>
    </row>
    <row r="180" spans="1:22" x14ac:dyDescent="0.45">
      <c r="B180" s="89" t="s">
        <v>266</v>
      </c>
    </row>
    <row r="181" spans="1:22" x14ac:dyDescent="0.45">
      <c r="B181" s="89" t="s">
        <v>272</v>
      </c>
    </row>
    <row r="182" spans="1:22" x14ac:dyDescent="0.45">
      <c r="B182" s="89"/>
    </row>
    <row r="183" spans="1:22" x14ac:dyDescent="0.45">
      <c r="B183" s="89" t="s">
        <v>273</v>
      </c>
    </row>
    <row r="184" spans="1:22" x14ac:dyDescent="0.45">
      <c r="B184" s="89"/>
    </row>
    <row r="185" spans="1:22" x14ac:dyDescent="0.45">
      <c r="B185" s="89" t="s">
        <v>274</v>
      </c>
    </row>
    <row r="186" spans="1:22" x14ac:dyDescent="0.45">
      <c r="B186" s="89"/>
    </row>
    <row r="187" spans="1:22" x14ac:dyDescent="0.45">
      <c r="B187" s="89" t="s">
        <v>275</v>
      </c>
    </row>
    <row r="188" spans="1:22" x14ac:dyDescent="0.45">
      <c r="B188" s="89" t="s">
        <v>276</v>
      </c>
    </row>
    <row r="189" spans="1:22" x14ac:dyDescent="0.45">
      <c r="B189" s="89"/>
    </row>
    <row r="190" spans="1:22" x14ac:dyDescent="0.45">
      <c r="B190" s="89" t="s">
        <v>277</v>
      </c>
    </row>
    <row r="191" spans="1:22" x14ac:dyDescent="0.45">
      <c r="B191" s="89" t="s">
        <v>278</v>
      </c>
    </row>
    <row r="192" spans="1:22" s="70" customFormat="1" x14ac:dyDescent="0.45">
      <c r="A192" s="29"/>
      <c r="B192" s="93" t="s">
        <v>279</v>
      </c>
      <c r="K192"/>
      <c r="V192"/>
    </row>
    <row r="193" spans="1:22" x14ac:dyDescent="0.45">
      <c r="B193" s="89" t="s">
        <v>33</v>
      </c>
    </row>
    <row r="194" spans="1:22" x14ac:dyDescent="0.45">
      <c r="B194" s="89"/>
    </row>
    <row r="195" spans="1:22" x14ac:dyDescent="0.45">
      <c r="B195" s="89" t="s">
        <v>280</v>
      </c>
    </row>
    <row r="196" spans="1:22" x14ac:dyDescent="0.45">
      <c r="B196" s="89"/>
    </row>
    <row r="197" spans="1:22" x14ac:dyDescent="0.45">
      <c r="B197" s="89" t="str">
        <f>"Beginning "&amp;B41</f>
        <v>Beginning Senior debt (Term B)</v>
      </c>
    </row>
    <row r="198" spans="1:22" x14ac:dyDescent="0.45">
      <c r="B198" s="89" t="s">
        <v>281</v>
      </c>
    </row>
    <row r="199" spans="1:22" x14ac:dyDescent="0.45">
      <c r="B199" s="89" t="s">
        <v>282</v>
      </c>
      <c r="C199" t="s">
        <v>283</v>
      </c>
      <c r="D199" s="113">
        <v>1</v>
      </c>
    </row>
    <row r="200" spans="1:22" s="70" customFormat="1" x14ac:dyDescent="0.45">
      <c r="A200" s="29"/>
      <c r="B200" s="93" t="str">
        <f>"Ending "&amp;B41</f>
        <v>Ending Senior debt (Term B)</v>
      </c>
      <c r="K200"/>
      <c r="V200"/>
    </row>
    <row r="201" spans="1:22" x14ac:dyDescent="0.45">
      <c r="B201" s="89"/>
    </row>
    <row r="202" spans="1:22" x14ac:dyDescent="0.45">
      <c r="B202" s="89" t="s">
        <v>20</v>
      </c>
    </row>
    <row r="203" spans="1:22" x14ac:dyDescent="0.45">
      <c r="B203" s="89" t="str">
        <f>B41&amp;" / EBITDA"</f>
        <v>Senior debt (Term B) / EBITDA</v>
      </c>
      <c r="M203" s="27"/>
      <c r="N203" s="27"/>
      <c r="O203" s="27"/>
      <c r="P203" s="27"/>
      <c r="Q203" s="27"/>
      <c r="R203" s="27"/>
      <c r="S203" s="27"/>
      <c r="T203" s="27"/>
      <c r="U203" s="27"/>
    </row>
    <row r="204" spans="1:22" x14ac:dyDescent="0.45">
      <c r="B204" s="89" t="str">
        <f>B203&amp;" margin ratchet covenant"</f>
        <v>Senior debt (Term B) / EBITDA margin ratchet covenant</v>
      </c>
      <c r="M204" s="112">
        <v>1</v>
      </c>
      <c r="N204" s="112">
        <v>1</v>
      </c>
      <c r="O204" s="112">
        <v>1</v>
      </c>
      <c r="P204" s="112">
        <v>1</v>
      </c>
      <c r="Q204" s="112">
        <v>1</v>
      </c>
      <c r="R204" s="112">
        <v>1</v>
      </c>
      <c r="S204" s="112">
        <v>1</v>
      </c>
      <c r="T204" s="112">
        <v>1</v>
      </c>
      <c r="U204" s="112">
        <v>1</v>
      </c>
    </row>
    <row r="205" spans="1:22" x14ac:dyDescent="0.45">
      <c r="B205" s="89" t="s">
        <v>284</v>
      </c>
      <c r="M205" s="73">
        <v>2.5000000000000001E-3</v>
      </c>
      <c r="N205" s="73">
        <v>2.5000000000000001E-3</v>
      </c>
      <c r="O205" s="73">
        <v>2.5000000000000001E-3</v>
      </c>
      <c r="P205" s="73">
        <v>2.5000000000000001E-3</v>
      </c>
      <c r="Q205" s="73">
        <v>2.5000000000000001E-3</v>
      </c>
      <c r="R205" s="73">
        <v>2.5000000000000001E-3</v>
      </c>
      <c r="S205" s="73">
        <v>2.5000000000000001E-3</v>
      </c>
      <c r="T205" s="73">
        <v>2.5000000000000001E-3</v>
      </c>
      <c r="U205" s="73">
        <v>2.5000000000000001E-3</v>
      </c>
    </row>
    <row r="206" spans="1:22" x14ac:dyDescent="0.45">
      <c r="B206" s="89" t="s">
        <v>200</v>
      </c>
      <c r="M206" s="92"/>
      <c r="N206" s="92"/>
      <c r="O206" s="92"/>
      <c r="P206" s="92"/>
      <c r="Q206" s="92"/>
      <c r="R206" s="92"/>
      <c r="S206" s="92"/>
      <c r="T206" s="92"/>
      <c r="U206" s="92"/>
    </row>
    <row r="207" spans="1:22" x14ac:dyDescent="0.45">
      <c r="B207" s="89" t="s">
        <v>33</v>
      </c>
    </row>
    <row r="208" spans="1:22" x14ac:dyDescent="0.45">
      <c r="B208" s="89"/>
    </row>
    <row r="209" spans="1:22" x14ac:dyDescent="0.45">
      <c r="B209" s="89" t="s">
        <v>280</v>
      </c>
    </row>
    <row r="210" spans="1:22" x14ac:dyDescent="0.45">
      <c r="B210" s="89"/>
    </row>
    <row r="211" spans="1:22" x14ac:dyDescent="0.45">
      <c r="A211" s="91" t="s">
        <v>285</v>
      </c>
      <c r="B211" s="89" t="str">
        <f>"Beginning "&amp;B42</f>
        <v>Beginning Senior unsecured high yield notes</v>
      </c>
    </row>
    <row r="212" spans="1:22" x14ac:dyDescent="0.45">
      <c r="A212" s="91"/>
      <c r="B212" s="89" t="s">
        <v>281</v>
      </c>
    </row>
    <row r="213" spans="1:22" x14ac:dyDescent="0.45">
      <c r="A213" s="91"/>
      <c r="B213" s="89" t="s">
        <v>282</v>
      </c>
      <c r="C213" t="s">
        <v>283</v>
      </c>
      <c r="D213" s="113">
        <v>0</v>
      </c>
    </row>
    <row r="214" spans="1:22" s="70" customFormat="1" x14ac:dyDescent="0.45">
      <c r="A214" s="91"/>
      <c r="B214" s="93" t="str">
        <f>"Ending "&amp;B42</f>
        <v>Ending Senior unsecured high yield notes</v>
      </c>
      <c r="K214"/>
      <c r="V214"/>
    </row>
    <row r="215" spans="1:22" x14ac:dyDescent="0.45">
      <c r="B215" s="89" t="s">
        <v>33</v>
      </c>
    </row>
    <row r="216" spans="1:22" x14ac:dyDescent="0.45">
      <c r="B216" s="89"/>
    </row>
    <row r="217" spans="1:22" x14ac:dyDescent="0.45">
      <c r="B217" s="89" t="s">
        <v>280</v>
      </c>
    </row>
    <row r="218" spans="1:22" x14ac:dyDescent="0.45">
      <c r="B218" s="89"/>
    </row>
    <row r="219" spans="1:22" x14ac:dyDescent="0.45">
      <c r="B219" s="89" t="str">
        <f>"Beginning "&amp;B43</f>
        <v>Beginning Unitranche</v>
      </c>
    </row>
    <row r="220" spans="1:22" x14ac:dyDescent="0.45">
      <c r="B220" s="89" t="s">
        <v>281</v>
      </c>
    </row>
    <row r="221" spans="1:22" x14ac:dyDescent="0.45">
      <c r="B221" s="89" t="s">
        <v>282</v>
      </c>
      <c r="C221" t="s">
        <v>283</v>
      </c>
      <c r="D221" s="113">
        <v>1</v>
      </c>
    </row>
    <row r="222" spans="1:22" s="70" customFormat="1" x14ac:dyDescent="0.45">
      <c r="A222" s="29"/>
      <c r="B222" s="93" t="str">
        <f>"Ending "&amp;B43</f>
        <v>Ending Unitranche</v>
      </c>
      <c r="K222"/>
      <c r="V222"/>
    </row>
    <row r="223" spans="1:22" x14ac:dyDescent="0.45">
      <c r="B223" s="89" t="s">
        <v>33</v>
      </c>
      <c r="M223" s="100"/>
      <c r="N223" s="100"/>
      <c r="O223" s="100"/>
      <c r="P223" s="100"/>
      <c r="Q223" s="100"/>
      <c r="R223" s="100"/>
      <c r="S223" s="100"/>
      <c r="T223" s="100"/>
      <c r="U223" s="100"/>
    </row>
    <row r="224" spans="1:22" x14ac:dyDescent="0.45">
      <c r="B224" s="89"/>
    </row>
    <row r="225" spans="1:22" x14ac:dyDescent="0.45">
      <c r="B225" s="89" t="s">
        <v>286</v>
      </c>
    </row>
    <row r="226" spans="1:22" x14ac:dyDescent="0.45">
      <c r="B226" s="89" t="s">
        <v>287</v>
      </c>
      <c r="C226" t="s">
        <v>288</v>
      </c>
      <c r="D226" s="113">
        <v>0</v>
      </c>
    </row>
    <row r="227" spans="1:22" s="70" customFormat="1" x14ac:dyDescent="0.45">
      <c r="A227" s="29"/>
      <c r="B227" s="93" t="s">
        <v>289</v>
      </c>
      <c r="K227"/>
      <c r="V227"/>
    </row>
    <row r="228" spans="1:22" x14ac:dyDescent="0.45">
      <c r="B228" s="89" t="s">
        <v>290</v>
      </c>
      <c r="M228" s="73">
        <v>-5.0000000000000001E-3</v>
      </c>
      <c r="N228" s="73">
        <v>-5.0000000000000001E-3</v>
      </c>
      <c r="O228" s="73">
        <v>-5.0000000000000001E-3</v>
      </c>
      <c r="P228" s="73">
        <v>-5.0000000000000001E-3</v>
      </c>
      <c r="Q228" s="73">
        <v>-5.0000000000000001E-3</v>
      </c>
      <c r="R228" s="73">
        <v>-5.0000000000000001E-3</v>
      </c>
      <c r="S228" s="73">
        <v>-5.0000000000000001E-3</v>
      </c>
      <c r="T228" s="73">
        <v>-5.0000000000000001E-3</v>
      </c>
      <c r="U228" s="73">
        <v>-5.0000000000000001E-3</v>
      </c>
    </row>
    <row r="229" spans="1:22" x14ac:dyDescent="0.45">
      <c r="B229" s="89" t="s">
        <v>291</v>
      </c>
    </row>
    <row r="230" spans="1:22" x14ac:dyDescent="0.45">
      <c r="B230" s="89"/>
    </row>
    <row r="231" spans="1:22" s="70" customFormat="1" ht="15" customHeight="1" x14ac:dyDescent="0.45">
      <c r="A231" s="99"/>
      <c r="B231" s="93" t="s">
        <v>95</v>
      </c>
      <c r="K231"/>
      <c r="V231"/>
    </row>
    <row r="232" spans="1:22" ht="15" customHeight="1" x14ac:dyDescent="0.45">
      <c r="A232" s="99"/>
      <c r="B232" s="89" t="s">
        <v>32</v>
      </c>
    </row>
    <row r="233" spans="1:22" ht="15" customHeight="1" x14ac:dyDescent="0.45">
      <c r="A233" s="99"/>
      <c r="B233" s="89"/>
      <c r="C233" s="101"/>
      <c r="D233" s="101"/>
      <c r="E233" s="101"/>
      <c r="F233" s="101"/>
      <c r="G233" s="101"/>
      <c r="H233" s="101"/>
      <c r="I233" s="101"/>
      <c r="J233" s="101"/>
      <c r="K233" s="101"/>
    </row>
    <row r="234" spans="1:22" x14ac:dyDescent="0.45">
      <c r="B234" s="89" t="s">
        <v>241</v>
      </c>
    </row>
    <row r="235" spans="1:22" x14ac:dyDescent="0.45">
      <c r="B235" s="89" t="s">
        <v>292</v>
      </c>
    </row>
    <row r="237" spans="1:22" x14ac:dyDescent="0.45">
      <c r="A237" s="29" t="s">
        <v>106</v>
      </c>
      <c r="M237" s="26"/>
      <c r="N237" s="26"/>
      <c r="O237" s="26"/>
      <c r="P237" s="26"/>
      <c r="Q237" s="26"/>
      <c r="R237" s="26"/>
      <c r="S237" s="26"/>
      <c r="T237" s="26"/>
      <c r="U237" s="26"/>
    </row>
    <row r="238" spans="1:22" x14ac:dyDescent="0.45">
      <c r="B238" s="89" t="s">
        <v>103</v>
      </c>
    </row>
    <row r="239" spans="1:22" x14ac:dyDescent="0.45">
      <c r="B239" s="89" t="s">
        <v>20</v>
      </c>
    </row>
    <row r="240" spans="1:22" x14ac:dyDescent="0.45">
      <c r="B240" s="89" t="s">
        <v>293</v>
      </c>
    </row>
    <row r="241" spans="1:22" x14ac:dyDescent="0.45">
      <c r="B241" s="89" t="str">
        <f>B123</f>
        <v>Cash</v>
      </c>
    </row>
    <row r="242" spans="1:22" x14ac:dyDescent="0.45">
      <c r="B242" s="89" t="str">
        <f>B133</f>
        <v>Short term debt</v>
      </c>
    </row>
    <row r="243" spans="1:22" x14ac:dyDescent="0.45">
      <c r="B243" s="89" t="str">
        <f>B137</f>
        <v>Long term debt</v>
      </c>
    </row>
    <row r="244" spans="1:22" x14ac:dyDescent="0.45">
      <c r="B244" s="89" t="str">
        <f>B138</f>
        <v>Senior debt (Term B)</v>
      </c>
    </row>
    <row r="245" spans="1:22" x14ac:dyDescent="0.45">
      <c r="B245" s="89" t="str">
        <f>B139</f>
        <v>Senior unsecured high yield notes</v>
      </c>
    </row>
    <row r="246" spans="1:22" x14ac:dyDescent="0.45">
      <c r="B246" s="89" t="str">
        <f>B140</f>
        <v>Unitranche</v>
      </c>
    </row>
    <row r="247" spans="1:22" x14ac:dyDescent="0.45">
      <c r="B247" s="89" t="str">
        <f>B141</f>
        <v>Mezzanine</v>
      </c>
    </row>
    <row r="248" spans="1:22" s="70" customFormat="1" x14ac:dyDescent="0.45">
      <c r="A248" s="29"/>
      <c r="B248" s="93" t="s">
        <v>28</v>
      </c>
      <c r="V248"/>
    </row>
    <row r="249" spans="1:22" x14ac:dyDescent="0.45">
      <c r="B249" s="89"/>
    </row>
    <row r="250" spans="1:22" x14ac:dyDescent="0.45">
      <c r="B250" s="89" t="s">
        <v>294</v>
      </c>
    </row>
    <row r="251" spans="1:22" s="70" customFormat="1" x14ac:dyDescent="0.45">
      <c r="A251" s="29"/>
      <c r="B251" s="93" t="s">
        <v>106</v>
      </c>
      <c r="J251"/>
      <c r="L251" s="81"/>
    </row>
    <row r="252" spans="1:22" x14ac:dyDescent="0.45">
      <c r="B252" s="89"/>
    </row>
    <row r="253" spans="1:22" x14ac:dyDescent="0.45">
      <c r="A253" s="29" t="s">
        <v>23</v>
      </c>
    </row>
    <row r="254" spans="1:22" x14ac:dyDescent="0.45">
      <c r="B254" s="89"/>
    </row>
    <row r="420" spans="2:2" x14ac:dyDescent="0.45">
      <c r="B420" s="89"/>
    </row>
    <row r="421" spans="2:2" x14ac:dyDescent="0.45">
      <c r="B421" s="89"/>
    </row>
    <row r="422" spans="2:2" x14ac:dyDescent="0.45">
      <c r="B422" s="89"/>
    </row>
    <row r="423" spans="2:2" x14ac:dyDescent="0.45">
      <c r="B423" s="89"/>
    </row>
    <row r="424" spans="2:2" x14ac:dyDescent="0.45">
      <c r="B424" s="89"/>
    </row>
    <row r="425" spans="2:2" x14ac:dyDescent="0.45">
      <c r="B425" s="89"/>
    </row>
  </sheetData>
  <dataValidations disablePrompts="1" count="4">
    <dataValidation type="list" allowBlank="1" showInputMessage="1" showErrorMessage="1" errorTitle="Financial Edge" error="0 = PIK off_x000a_1 = PIK on" promptTitle="Financial Edge" prompt="0 = PIK off_x000a_1 = PIK on" sqref="D226" xr:uid="{4DD253C4-4BF2-4597-B59E-0537508BDF28}">
      <formula1>"0,1"</formula1>
    </dataValidation>
    <dataValidation type="list" allowBlank="1" showInputMessage="1" showErrorMessage="1" errorTitle="Financial Edge" error="0 = Acceleration off_x000a_1 = Acceleration on" promptTitle="Financial Edge" prompt="0 = Acceleration off_x000a_1 = Acceleration on" sqref="D199 D213 D221" xr:uid="{61FCAAFF-4AE2-406F-84B8-BEB0078450AE}">
      <formula1>"0,1"</formula1>
    </dataValidation>
    <dataValidation type="list" allowBlank="1" showInputMessage="1" showErrorMessage="1" sqref="C50" xr:uid="{BFA51BC9-1680-4F1C-BB45-E920AA1901DC}">
      <formula1>"1,2"</formula1>
    </dataValidation>
    <dataValidation type="list" allowBlank="1" showInputMessage="1" showErrorMessage="1" sqref="B62" xr:uid="{388599D2-80BC-4304-AF18-045E895339EC}">
      <formula1>"Bank Case, Management Case"</formula1>
    </dataValidation>
  </dataValidations>
  <printOptions headings="1" gridLines="1"/>
  <pageMargins left="0.31496062992125984" right="0.11811023622047245" top="0.74803149606299213" bottom="0.74803149606299213" header="0" footer="0"/>
  <pageSetup paperSize="9" scale="55" fitToHeight="0" orientation="landscape" r:id="rId1"/>
  <headerFooter>
    <oddHeader>&amp;R&amp;F  &amp;A</oddHeader>
    <oddFooter>&amp;L© 2016&amp;CPage &amp;P of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14A3C-6ECD-4030-980F-5A983748DC8C}">
  <sheetPr>
    <pageSetUpPr fitToPage="1"/>
  </sheetPr>
  <dimension ref="A1:V447"/>
  <sheetViews>
    <sheetView zoomScaleNormal="100" workbookViewId="0">
      <pane xSplit="2" ySplit="3" topLeftCell="C4" activePane="bottomRight" state="frozen"/>
      <selection pane="topRight"/>
      <selection pane="bottomLeft"/>
      <selection pane="bottomRight"/>
    </sheetView>
  </sheetViews>
  <sheetFormatPr defaultRowHeight="15.75" x14ac:dyDescent="0.45"/>
  <cols>
    <col min="1" max="1" width="1.59765625" style="29" customWidth="1"/>
    <col min="2" max="2" width="49.46484375" bestFit="1" customWidth="1"/>
    <col min="3" max="21" width="10.59765625" customWidth="1"/>
  </cols>
  <sheetData>
    <row r="1" spans="1:21" ht="45" customHeight="1" x14ac:dyDescent="0.85">
      <c r="A1" s="28" t="str">
        <f>"LBO valuation for Wincanton"</f>
        <v>LBO valuation for Wincanton</v>
      </c>
      <c r="B1" s="85"/>
      <c r="C1" s="86"/>
      <c r="D1" s="86"/>
      <c r="E1" s="86"/>
      <c r="F1" s="86"/>
      <c r="G1" s="86"/>
      <c r="H1" s="86"/>
      <c r="I1" s="86"/>
      <c r="J1" s="86"/>
      <c r="K1" s="86"/>
      <c r="L1" s="86"/>
      <c r="M1" s="86"/>
      <c r="N1" s="86"/>
      <c r="O1" s="86"/>
      <c r="P1" s="86"/>
      <c r="Q1" s="86"/>
      <c r="R1" s="86"/>
      <c r="S1" s="86"/>
      <c r="T1" s="86"/>
      <c r="U1" s="86"/>
    </row>
    <row r="2" spans="1:21" ht="15" customHeight="1" x14ac:dyDescent="0.55000000000000004">
      <c r="A2" s="87"/>
      <c r="B2" s="88"/>
      <c r="C2" s="30" t="s">
        <v>154</v>
      </c>
      <c r="D2" s="30" t="s">
        <v>154</v>
      </c>
      <c r="E2" s="30"/>
      <c r="F2" s="30"/>
      <c r="G2" s="30"/>
      <c r="H2" s="30"/>
      <c r="I2" s="30"/>
      <c r="J2" s="30"/>
      <c r="K2" s="30"/>
      <c r="L2" s="30" t="s">
        <v>154</v>
      </c>
      <c r="M2" s="30" t="s">
        <v>155</v>
      </c>
      <c r="N2" s="30" t="s">
        <v>155</v>
      </c>
      <c r="O2" s="30" t="s">
        <v>155</v>
      </c>
      <c r="P2" s="30" t="s">
        <v>155</v>
      </c>
      <c r="Q2" s="30" t="s">
        <v>155</v>
      </c>
      <c r="R2" s="30" t="s">
        <v>155</v>
      </c>
      <c r="S2" s="30" t="s">
        <v>155</v>
      </c>
      <c r="T2" s="30" t="s">
        <v>155</v>
      </c>
      <c r="U2" s="30" t="s">
        <v>155</v>
      </c>
    </row>
    <row r="3" spans="1:21" ht="15" customHeight="1" x14ac:dyDescent="0.55000000000000004">
      <c r="A3" s="87"/>
      <c r="B3" s="88"/>
      <c r="C3" s="52">
        <f>EDATE(D3,-12)</f>
        <v>44957</v>
      </c>
      <c r="D3" s="52">
        <v>45322</v>
      </c>
      <c r="E3" s="52" t="s">
        <v>177</v>
      </c>
      <c r="F3" s="52" t="s">
        <v>178</v>
      </c>
      <c r="G3" s="52" t="s">
        <v>308</v>
      </c>
      <c r="H3" s="52" t="s">
        <v>179</v>
      </c>
      <c r="I3" s="52" t="s">
        <v>180</v>
      </c>
      <c r="J3" s="52" t="s">
        <v>181</v>
      </c>
      <c r="K3" s="52" t="s">
        <v>70</v>
      </c>
      <c r="L3" s="52">
        <f>EDATE(D3,0)</f>
        <v>45322</v>
      </c>
      <c r="M3" s="52">
        <f>EDATE(L3,12)</f>
        <v>45688</v>
      </c>
      <c r="N3" s="52">
        <f t="shared" ref="N3:U3" si="0">EDATE(M3,12)</f>
        <v>46053</v>
      </c>
      <c r="O3" s="52">
        <f t="shared" si="0"/>
        <v>46418</v>
      </c>
      <c r="P3" s="52">
        <f t="shared" si="0"/>
        <v>46783</v>
      </c>
      <c r="Q3" s="52">
        <f t="shared" si="0"/>
        <v>47149</v>
      </c>
      <c r="R3" s="52">
        <f t="shared" si="0"/>
        <v>47514</v>
      </c>
      <c r="S3" s="52">
        <f t="shared" si="0"/>
        <v>47879</v>
      </c>
      <c r="T3" s="52">
        <f t="shared" si="0"/>
        <v>48244</v>
      </c>
      <c r="U3" s="52">
        <f t="shared" si="0"/>
        <v>48610</v>
      </c>
    </row>
    <row r="4" spans="1:21" x14ac:dyDescent="0.45">
      <c r="B4" s="89"/>
    </row>
    <row r="5" spans="1:21" x14ac:dyDescent="0.45">
      <c r="A5" s="29" t="s">
        <v>39</v>
      </c>
      <c r="B5" s="89"/>
    </row>
    <row r="6" spans="1:21" x14ac:dyDescent="0.45">
      <c r="B6" s="89" t="s">
        <v>182</v>
      </c>
      <c r="C6" s="73">
        <v>0.01</v>
      </c>
    </row>
    <row r="7" spans="1:21" x14ac:dyDescent="0.45">
      <c r="B7" s="89" t="s">
        <v>82</v>
      </c>
      <c r="C7" s="72">
        <v>4</v>
      </c>
    </row>
    <row r="8" spans="1:21" x14ac:dyDescent="0.45">
      <c r="B8" s="89" t="s">
        <v>183</v>
      </c>
      <c r="C8" s="73">
        <v>7.0000000000000001E-3</v>
      </c>
    </row>
    <row r="9" spans="1:21" x14ac:dyDescent="0.45">
      <c r="B9" s="89" t="s">
        <v>184</v>
      </c>
      <c r="C9" s="73">
        <v>0.01</v>
      </c>
    </row>
    <row r="10" spans="1:21" x14ac:dyDescent="0.45">
      <c r="B10" s="89" t="s">
        <v>185</v>
      </c>
      <c r="C10" s="73">
        <v>0.01</v>
      </c>
    </row>
    <row r="11" spans="1:21" x14ac:dyDescent="0.45">
      <c r="B11" s="89" t="str">
        <f>"Weighted average cost of "&amp;B41</f>
        <v>Weighted average cost of Senior debt (Term B)</v>
      </c>
      <c r="C11" s="111">
        <f>ROUND(C54/SUM($C$54:$C$57)*G41,3)</f>
        <v>3.4000000000000002E-2</v>
      </c>
    </row>
    <row r="12" spans="1:21" x14ac:dyDescent="0.45">
      <c r="B12" s="89" t="str">
        <f>"Weighted average cost of "&amp;B42</f>
        <v>Weighted average cost of Senior unsecured high yield notes</v>
      </c>
      <c r="C12" s="111">
        <f>ROUND(C55/SUM($C$54:$C$57)*G42,3)</f>
        <v>2.9000000000000001E-2</v>
      </c>
    </row>
    <row r="13" spans="1:21" x14ac:dyDescent="0.45">
      <c r="B13" s="89" t="str">
        <f>"Weighted average cost of "&amp;B44</f>
        <v>Weighted average cost of Mezzanine</v>
      </c>
      <c r="C13" s="111">
        <f>ROUND(C57/SUM($C$54:$C$57)*G44,3)</f>
        <v>1.2E-2</v>
      </c>
    </row>
    <row r="14" spans="1:21" x14ac:dyDescent="0.45">
      <c r="B14" s="89" t="str">
        <f>"Weighted average cost of all financing"</f>
        <v>Weighted average cost of all financing</v>
      </c>
      <c r="C14" s="111">
        <f>SUM(C13,C12,C11)</f>
        <v>7.5000000000000011E-2</v>
      </c>
    </row>
    <row r="15" spans="1:21" x14ac:dyDescent="0.45">
      <c r="B15" s="90"/>
      <c r="C15" s="90"/>
    </row>
    <row r="16" spans="1:21" x14ac:dyDescent="0.45">
      <c r="A16" s="29" t="s">
        <v>186</v>
      </c>
      <c r="B16" s="89"/>
    </row>
    <row r="17" spans="1:3" x14ac:dyDescent="0.45">
      <c r="B17" s="89" t="s">
        <v>62</v>
      </c>
    </row>
    <row r="18" spans="1:3" x14ac:dyDescent="0.45">
      <c r="B18" s="89" t="s">
        <v>187</v>
      </c>
      <c r="C18" s="112">
        <v>7</v>
      </c>
    </row>
    <row r="19" spans="1:3" x14ac:dyDescent="0.45">
      <c r="B19" s="89" t="s">
        <v>172</v>
      </c>
    </row>
    <row r="20" spans="1:3" x14ac:dyDescent="0.45">
      <c r="B20" s="89" t="s">
        <v>188</v>
      </c>
    </row>
    <row r="21" spans="1:3" x14ac:dyDescent="0.45">
      <c r="B21" s="89" t="s">
        <v>295</v>
      </c>
    </row>
    <row r="22" spans="1:3" x14ac:dyDescent="0.45">
      <c r="B22" s="89" t="s">
        <v>190</v>
      </c>
    </row>
    <row r="23" spans="1:3" x14ac:dyDescent="0.45">
      <c r="B23" s="89" t="s">
        <v>191</v>
      </c>
    </row>
    <row r="24" spans="1:3" x14ac:dyDescent="0.45">
      <c r="B24" s="89" t="s">
        <v>192</v>
      </c>
    </row>
    <row r="25" spans="1:3" x14ac:dyDescent="0.45">
      <c r="B25" s="89"/>
    </row>
    <row r="26" spans="1:3" x14ac:dyDescent="0.45">
      <c r="A26" s="29" t="s">
        <v>193</v>
      </c>
      <c r="B26" s="89"/>
    </row>
    <row r="27" spans="1:3" x14ac:dyDescent="0.45">
      <c r="B27" s="89" t="s">
        <v>192</v>
      </c>
    </row>
    <row r="28" spans="1:3" x14ac:dyDescent="0.45">
      <c r="B28" s="89" t="s">
        <v>298</v>
      </c>
    </row>
    <row r="29" spans="1:3" x14ac:dyDescent="0.45">
      <c r="B29" s="89" t="s">
        <v>307</v>
      </c>
      <c r="C29" s="72">
        <f>D135*10%</f>
        <v>17.430000000000003</v>
      </c>
    </row>
    <row r="30" spans="1:3" x14ac:dyDescent="0.45">
      <c r="B30" s="89" t="s">
        <v>299</v>
      </c>
    </row>
    <row r="31" spans="1:3" x14ac:dyDescent="0.45">
      <c r="B31" s="93" t="s">
        <v>194</v>
      </c>
      <c r="C31" s="70"/>
    </row>
    <row r="32" spans="1:3" x14ac:dyDescent="0.45">
      <c r="B32" s="89"/>
    </row>
    <row r="33" spans="1:15" s="70" customFormat="1" x14ac:dyDescent="0.45">
      <c r="A33" s="29" t="s">
        <v>195</v>
      </c>
      <c r="B33" s="89"/>
      <c r="D33"/>
    </row>
    <row r="34" spans="1:15" s="70" customFormat="1" x14ac:dyDescent="0.45">
      <c r="A34" s="29"/>
      <c r="B34" s="89" t="s">
        <v>192</v>
      </c>
      <c r="C34"/>
      <c r="D34"/>
    </row>
    <row r="35" spans="1:15" x14ac:dyDescent="0.45">
      <c r="B35" s="89" t="s">
        <v>196</v>
      </c>
    </row>
    <row r="36" spans="1:15" x14ac:dyDescent="0.45">
      <c r="B36" s="89" t="s">
        <v>70</v>
      </c>
    </row>
    <row r="37" spans="1:15" s="70" customFormat="1" x14ac:dyDescent="0.45">
      <c r="A37" s="29"/>
      <c r="B37" s="93" t="s">
        <v>304</v>
      </c>
      <c r="D37"/>
    </row>
    <row r="38" spans="1:15" s="70" customFormat="1" x14ac:dyDescent="0.45">
      <c r="A38" s="29"/>
      <c r="B38" s="89"/>
      <c r="G38" s="94"/>
      <c r="H38" s="94"/>
      <c r="I38" s="94"/>
      <c r="J38" s="81"/>
      <c r="K38" s="81"/>
    </row>
    <row r="39" spans="1:15" s="70" customFormat="1" x14ac:dyDescent="0.45">
      <c r="A39" s="29"/>
      <c r="B39" s="89"/>
      <c r="D39" s="95" t="s">
        <v>197</v>
      </c>
      <c r="E39" s="95" t="s">
        <v>198</v>
      </c>
      <c r="F39" s="70" t="s">
        <v>199</v>
      </c>
      <c r="G39" s="95" t="s">
        <v>200</v>
      </c>
      <c r="H39" s="81" t="s">
        <v>201</v>
      </c>
      <c r="I39" s="95"/>
      <c r="J39"/>
    </row>
    <row r="40" spans="1:15" s="70" customFormat="1" x14ac:dyDescent="0.45">
      <c r="A40" s="29"/>
      <c r="B40" s="89" t="str">
        <f>B53</f>
        <v>Revolver</v>
      </c>
      <c r="C40"/>
      <c r="D40" s="27" t="e">
        <f>C40/$C$17</f>
        <v>#DIV/0!</v>
      </c>
      <c r="E40" s="26" t="e">
        <f t="shared" ref="E40:E45" si="1">C40/$C$46</f>
        <v>#DIV/0!</v>
      </c>
      <c r="F40" s="111">
        <v>0.05</v>
      </c>
      <c r="G40" s="96">
        <f>F40+$C$8</f>
        <v>5.7000000000000002E-2</v>
      </c>
      <c r="H40" s="81"/>
      <c r="I40"/>
      <c r="J40"/>
      <c r="M40"/>
      <c r="O40"/>
    </row>
    <row r="41" spans="1:15" s="70" customFormat="1" x14ac:dyDescent="0.45">
      <c r="A41" s="29"/>
      <c r="B41" s="89" t="str">
        <f>B54</f>
        <v>Senior debt (Term B)</v>
      </c>
      <c r="C41"/>
      <c r="D41" s="27" t="e">
        <f>C41/$C$17+D40</f>
        <v>#DIV/0!</v>
      </c>
      <c r="E41" s="26" t="e">
        <f t="shared" si="1"/>
        <v>#DIV/0!</v>
      </c>
      <c r="F41" s="111">
        <v>0.05</v>
      </c>
      <c r="G41" s="96">
        <f>F41+$C$8</f>
        <v>5.7000000000000002E-2</v>
      </c>
      <c r="H41" s="72">
        <v>7</v>
      </c>
      <c r="I41"/>
      <c r="J41"/>
      <c r="M41"/>
      <c r="O41"/>
    </row>
    <row r="42" spans="1:15" s="70" customFormat="1" x14ac:dyDescent="0.45">
      <c r="A42" s="29"/>
      <c r="B42" s="89" t="str">
        <f>B55</f>
        <v>Senior unsecured high yield notes</v>
      </c>
      <c r="C42"/>
      <c r="D42" s="27" t="e">
        <f>C42/$C$17+D41</f>
        <v>#DIV/0!</v>
      </c>
      <c r="E42" s="26" t="e">
        <f t="shared" si="1"/>
        <v>#DIV/0!</v>
      </c>
      <c r="F42" s="111">
        <v>0.09</v>
      </c>
      <c r="G42" s="96">
        <f>F42+$C$8</f>
        <v>9.7000000000000003E-2</v>
      </c>
      <c r="H42" s="72">
        <v>8</v>
      </c>
      <c r="I42"/>
      <c r="J42"/>
      <c r="M42"/>
      <c r="O42"/>
    </row>
    <row r="43" spans="1:15" s="70" customFormat="1" x14ac:dyDescent="0.45">
      <c r="A43" s="29"/>
      <c r="B43" s="89" t="str">
        <f>B56</f>
        <v>Unitranche</v>
      </c>
      <c r="C43"/>
      <c r="D43" s="27" t="e">
        <f>C43/$C$17+D42</f>
        <v>#DIV/0!</v>
      </c>
      <c r="E43" s="26" t="e">
        <f t="shared" si="1"/>
        <v>#DIV/0!</v>
      </c>
      <c r="F43" s="24" t="s">
        <v>21</v>
      </c>
      <c r="G43" s="111">
        <f>C14+0.5%</f>
        <v>8.0000000000000016E-2</v>
      </c>
      <c r="H43" s="72">
        <v>8</v>
      </c>
      <c r="I43"/>
      <c r="J43"/>
      <c r="M43"/>
      <c r="O43"/>
    </row>
    <row r="44" spans="1:15" s="70" customFormat="1" x14ac:dyDescent="0.45">
      <c r="A44" s="29"/>
      <c r="B44" s="89" t="str">
        <f>B57</f>
        <v>Mezzanine</v>
      </c>
      <c r="C44"/>
      <c r="D44" s="27" t="e">
        <f>C44/$C$17+D43</f>
        <v>#DIV/0!</v>
      </c>
      <c r="E44" s="26" t="e">
        <f t="shared" si="1"/>
        <v>#DIV/0!</v>
      </c>
      <c r="F44" s="24" t="s">
        <v>21</v>
      </c>
      <c r="G44" s="111">
        <v>0.12</v>
      </c>
      <c r="H44" s="81"/>
      <c r="I44"/>
      <c r="J44"/>
      <c r="M44"/>
      <c r="O44"/>
    </row>
    <row r="45" spans="1:15" s="70" customFormat="1" x14ac:dyDescent="0.45">
      <c r="A45" s="29"/>
      <c r="B45" s="89" t="s">
        <v>181</v>
      </c>
      <c r="C45"/>
      <c r="D45" s="24" t="s">
        <v>21</v>
      </c>
      <c r="E45" s="26" t="e">
        <f t="shared" si="1"/>
        <v>#DIV/0!</v>
      </c>
      <c r="F45" s="24" t="s">
        <v>21</v>
      </c>
      <c r="G45" s="111">
        <v>0.01</v>
      </c>
      <c r="H45" s="81"/>
      <c r="I45"/>
      <c r="J45"/>
      <c r="M45"/>
      <c r="O45"/>
    </row>
    <row r="46" spans="1:15" s="70" customFormat="1" x14ac:dyDescent="0.45">
      <c r="A46" s="29"/>
      <c r="B46" s="93" t="s">
        <v>202</v>
      </c>
      <c r="D46" s="94" t="e">
        <f>MAX(D40:D45)</f>
        <v>#DIV/0!</v>
      </c>
      <c r="E46" s="81" t="e">
        <f>SUM(E40:E45)</f>
        <v>#DIV/0!</v>
      </c>
      <c r="I46"/>
      <c r="J46"/>
      <c r="M46"/>
      <c r="O46"/>
    </row>
    <row r="47" spans="1:15" s="70" customFormat="1" x14ac:dyDescent="0.45">
      <c r="A47" s="29"/>
      <c r="B47" s="89"/>
      <c r="G47" s="94"/>
      <c r="H47" s="94"/>
      <c r="I47" s="94"/>
      <c r="J47" s="81"/>
      <c r="K47" s="81"/>
    </row>
    <row r="48" spans="1:15" x14ac:dyDescent="0.45">
      <c r="B48" s="89"/>
    </row>
    <row r="49" spans="1:11" x14ac:dyDescent="0.45">
      <c r="A49" s="29" t="s">
        <v>203</v>
      </c>
      <c r="B49" s="89"/>
    </row>
    <row r="50" spans="1:11" x14ac:dyDescent="0.45">
      <c r="B50" s="89" t="s">
        <v>204</v>
      </c>
      <c r="C50" s="113">
        <v>1</v>
      </c>
      <c r="D50" t="str">
        <f>CHOOSE(C50,C52,D52)</f>
        <v>Standard</v>
      </c>
    </row>
    <row r="51" spans="1:11" x14ac:dyDescent="0.45">
      <c r="B51" s="89"/>
    </row>
    <row r="52" spans="1:11" x14ac:dyDescent="0.45">
      <c r="B52" s="89"/>
      <c r="C52" t="s">
        <v>205</v>
      </c>
      <c r="D52" t="s">
        <v>206</v>
      </c>
    </row>
    <row r="53" spans="1:11" x14ac:dyDescent="0.45">
      <c r="B53" s="89" t="s">
        <v>189</v>
      </c>
      <c r="C53" s="72">
        <v>0</v>
      </c>
      <c r="D53" s="72">
        <v>0</v>
      </c>
    </row>
    <row r="54" spans="1:11" x14ac:dyDescent="0.45">
      <c r="B54" s="89" t="s">
        <v>207</v>
      </c>
      <c r="C54" s="72">
        <f>D120*3</f>
        <v>321.59999999999974</v>
      </c>
      <c r="D54" s="72">
        <v>0</v>
      </c>
      <c r="G54" s="97"/>
      <c r="H54" s="97"/>
      <c r="I54" s="97"/>
      <c r="J54" s="97"/>
      <c r="K54" s="97"/>
    </row>
    <row r="55" spans="1:11" x14ac:dyDescent="0.45">
      <c r="B55" s="89" t="s">
        <v>208</v>
      </c>
      <c r="C55" s="72">
        <f>D120*1.5</f>
        <v>160.79999999999987</v>
      </c>
      <c r="D55" s="72">
        <v>0</v>
      </c>
    </row>
    <row r="56" spans="1:11" x14ac:dyDescent="0.45">
      <c r="B56" s="89" t="s">
        <v>206</v>
      </c>
      <c r="C56" s="72">
        <v>0</v>
      </c>
      <c r="D56">
        <f>SUM(C53:C57)</f>
        <v>535.99999999999955</v>
      </c>
    </row>
    <row r="57" spans="1:11" x14ac:dyDescent="0.45">
      <c r="B57" s="89" t="s">
        <v>191</v>
      </c>
      <c r="C57" s="72">
        <f>D120*0.5</f>
        <v>53.599999999999959</v>
      </c>
      <c r="D57" s="72">
        <v>0</v>
      </c>
    </row>
    <row r="58" spans="1:11" x14ac:dyDescent="0.45">
      <c r="B58" s="89" t="s">
        <v>181</v>
      </c>
      <c r="C58">
        <f>$C$37-SUM(C53:C57)</f>
        <v>-535.99999999999955</v>
      </c>
      <c r="D58">
        <f>$C$37-SUM(D53:D57)</f>
        <v>-535.99999999999955</v>
      </c>
    </row>
    <row r="59" spans="1:11" x14ac:dyDescent="0.45">
      <c r="A59" s="91"/>
      <c r="B59" s="89"/>
    </row>
    <row r="60" spans="1:11" x14ac:dyDescent="0.45">
      <c r="A60" s="91" t="s">
        <v>313</v>
      </c>
      <c r="B60" s="89"/>
      <c r="C60" t="s">
        <v>309</v>
      </c>
      <c r="D60" t="s">
        <v>310</v>
      </c>
    </row>
    <row r="61" spans="1:11" x14ac:dyDescent="0.45">
      <c r="A61" s="91"/>
      <c r="B61" s="89" t="s">
        <v>311</v>
      </c>
      <c r="C61" s="102"/>
      <c r="D61" s="102"/>
    </row>
    <row r="62" spans="1:11" x14ac:dyDescent="0.45">
      <c r="A62" s="91"/>
      <c r="B62" s="89" t="s">
        <v>191</v>
      </c>
      <c r="C62" s="73">
        <v>0</v>
      </c>
      <c r="D62" s="73">
        <v>0.05</v>
      </c>
    </row>
    <row r="63" spans="1:11" x14ac:dyDescent="0.45">
      <c r="A63" s="91"/>
      <c r="B63" s="89" t="s">
        <v>312</v>
      </c>
      <c r="C63" s="73">
        <v>0.1</v>
      </c>
      <c r="D63" s="102"/>
    </row>
    <row r="64" spans="1:11" s="70" customFormat="1" x14ac:dyDescent="0.45">
      <c r="A64" s="91"/>
      <c r="B64" s="93" t="s">
        <v>55</v>
      </c>
      <c r="C64" s="81"/>
      <c r="D64" s="81"/>
      <c r="E64"/>
    </row>
    <row r="65" spans="1:22" x14ac:dyDescent="0.45">
      <c r="A65" s="91"/>
      <c r="B65" s="89"/>
    </row>
    <row r="66" spans="1:22" x14ac:dyDescent="0.45">
      <c r="A66" s="29" t="s">
        <v>209</v>
      </c>
      <c r="B66" s="89"/>
    </row>
    <row r="67" spans="1:22" x14ac:dyDescent="0.45">
      <c r="B67" s="89" t="s">
        <v>215</v>
      </c>
    </row>
    <row r="68" spans="1:22" x14ac:dyDescent="0.45">
      <c r="B68" s="98" t="s">
        <v>302</v>
      </c>
    </row>
    <row r="69" spans="1:22" x14ac:dyDescent="0.45">
      <c r="B69" s="89" t="s">
        <v>211</v>
      </c>
      <c r="M69" s="73">
        <f>D74</f>
        <v>-0.94838617943978398</v>
      </c>
      <c r="N69" s="73">
        <f>M69</f>
        <v>-0.94838617943978398</v>
      </c>
      <c r="O69" s="73">
        <f t="shared" ref="O69:U69" si="2">N69</f>
        <v>-0.94838617943978398</v>
      </c>
      <c r="P69" s="73">
        <f t="shared" si="2"/>
        <v>-0.94838617943978398</v>
      </c>
      <c r="Q69" s="73">
        <f t="shared" si="2"/>
        <v>-0.94838617943978398</v>
      </c>
      <c r="R69" s="73">
        <f t="shared" si="2"/>
        <v>-0.94838617943978398</v>
      </c>
      <c r="S69" s="73">
        <f t="shared" si="2"/>
        <v>-0.94838617943978398</v>
      </c>
      <c r="T69" s="73">
        <f t="shared" si="2"/>
        <v>-0.94838617943978398</v>
      </c>
      <c r="U69" s="73">
        <f t="shared" si="2"/>
        <v>-0.94838617943978398</v>
      </c>
    </row>
    <row r="70" spans="1:22" x14ac:dyDescent="0.45">
      <c r="B70" s="89" t="s">
        <v>212</v>
      </c>
      <c r="M70" s="73">
        <f>M69+3%</f>
        <v>-0.91838617943978396</v>
      </c>
      <c r="N70" s="73">
        <f t="shared" ref="N70:U70" si="3">N69+3%</f>
        <v>-0.91838617943978396</v>
      </c>
      <c r="O70" s="73">
        <f t="shared" si="3"/>
        <v>-0.91838617943978396</v>
      </c>
      <c r="P70" s="73">
        <f t="shared" si="3"/>
        <v>-0.91838617943978396</v>
      </c>
      <c r="Q70" s="73">
        <f t="shared" si="3"/>
        <v>-0.91838617943978396</v>
      </c>
      <c r="R70" s="73">
        <f t="shared" si="3"/>
        <v>-0.91838617943978396</v>
      </c>
      <c r="S70" s="73">
        <f t="shared" si="3"/>
        <v>-0.91838617943978396</v>
      </c>
      <c r="T70" s="73">
        <f t="shared" si="3"/>
        <v>-0.91838617943978396</v>
      </c>
      <c r="U70" s="73">
        <f t="shared" si="3"/>
        <v>-0.91838617943978396</v>
      </c>
    </row>
    <row r="71" spans="1:22" x14ac:dyDescent="0.45">
      <c r="B71" s="89"/>
      <c r="M71" s="75"/>
      <c r="N71" s="75"/>
      <c r="O71" s="75"/>
      <c r="P71" s="75"/>
      <c r="Q71" s="75"/>
      <c r="R71" s="75"/>
      <c r="S71" s="75"/>
      <c r="T71" s="75"/>
      <c r="U71" s="75"/>
    </row>
    <row r="72" spans="1:22" x14ac:dyDescent="0.45">
      <c r="A72" s="29" t="s">
        <v>213</v>
      </c>
      <c r="B72" s="89"/>
    </row>
    <row r="73" spans="1:22" x14ac:dyDescent="0.45">
      <c r="B73" s="89" t="s">
        <v>214</v>
      </c>
      <c r="C73" s="26"/>
      <c r="D73" s="26">
        <f>D113/C113-1</f>
        <v>-3.7893296853625191E-2</v>
      </c>
      <c r="M73" s="73">
        <v>0.03</v>
      </c>
      <c r="N73" s="73">
        <v>0.03</v>
      </c>
      <c r="O73" s="73">
        <v>0.03</v>
      </c>
      <c r="P73" s="73">
        <v>0.03</v>
      </c>
      <c r="Q73" s="73">
        <v>0.03</v>
      </c>
      <c r="R73" s="73">
        <v>0.03</v>
      </c>
      <c r="S73" s="73">
        <v>0.03</v>
      </c>
      <c r="T73" s="73">
        <v>0.03</v>
      </c>
      <c r="U73" s="73">
        <v>0.03</v>
      </c>
    </row>
    <row r="74" spans="1:22" x14ac:dyDescent="0.45">
      <c r="B74" s="89" t="s">
        <v>215</v>
      </c>
      <c r="C74" s="26">
        <f>C114/C113</f>
        <v>-0.93707250341997261</v>
      </c>
      <c r="D74" s="26">
        <f>D114/D113</f>
        <v>-0.94838617943978398</v>
      </c>
      <c r="E74" s="26"/>
      <c r="F74" s="26"/>
      <c r="G74" s="26"/>
      <c r="H74" s="26"/>
      <c r="I74" s="26"/>
      <c r="J74" s="26"/>
      <c r="K74" s="26"/>
      <c r="L74" s="26"/>
      <c r="M74" s="26"/>
      <c r="N74" s="26"/>
      <c r="O74" s="26"/>
      <c r="P74" s="26"/>
      <c r="Q74" s="26"/>
      <c r="R74" s="26"/>
      <c r="S74" s="26"/>
      <c r="T74" s="26"/>
      <c r="U74" s="26"/>
      <c r="V74" s="26"/>
    </row>
    <row r="75" spans="1:22" x14ac:dyDescent="0.45">
      <c r="B75" s="89" t="s">
        <v>210</v>
      </c>
      <c r="C75" s="26">
        <f>C115/C113</f>
        <v>-6.429548563611491E-3</v>
      </c>
      <c r="D75" s="26">
        <f>D115/D113</f>
        <v>-8.7444902602019058E-3</v>
      </c>
      <c r="E75" s="26"/>
      <c r="F75" s="26"/>
      <c r="G75" s="26"/>
      <c r="H75" s="26"/>
      <c r="I75" s="26"/>
      <c r="J75" s="26"/>
      <c r="K75" s="26"/>
      <c r="L75" s="26"/>
      <c r="M75" s="73">
        <f>D75</f>
        <v>-8.7444902602019058E-3</v>
      </c>
      <c r="N75" s="73">
        <f>M75</f>
        <v>-8.7444902602019058E-3</v>
      </c>
      <c r="O75" s="73">
        <f t="shared" ref="O75:U75" si="4">N75</f>
        <v>-8.7444902602019058E-3</v>
      </c>
      <c r="P75" s="73">
        <f t="shared" si="4"/>
        <v>-8.7444902602019058E-3</v>
      </c>
      <c r="Q75" s="73">
        <f t="shared" si="4"/>
        <v>-8.7444902602019058E-3</v>
      </c>
      <c r="R75" s="73">
        <f t="shared" si="4"/>
        <v>-8.7444902602019058E-3</v>
      </c>
      <c r="S75" s="73">
        <f t="shared" si="4"/>
        <v>-8.7444902602019058E-3</v>
      </c>
      <c r="T75" s="73">
        <f t="shared" si="4"/>
        <v>-8.7444902602019058E-3</v>
      </c>
      <c r="U75" s="73">
        <f t="shared" si="4"/>
        <v>-8.7444902602019058E-3</v>
      </c>
    </row>
    <row r="76" spans="1:22" x14ac:dyDescent="0.45">
      <c r="B76" s="89" t="s">
        <v>306</v>
      </c>
      <c r="C76">
        <f>C122</f>
        <v>-32.699999999999996</v>
      </c>
      <c r="D76">
        <f>D122</f>
        <v>-90.899999999999991</v>
      </c>
      <c r="E76" s="26"/>
      <c r="F76" s="26"/>
      <c r="G76" s="26"/>
      <c r="H76" s="26"/>
      <c r="I76" s="26"/>
      <c r="J76" s="26"/>
      <c r="K76" s="26"/>
      <c r="L76" s="26"/>
      <c r="M76" s="72">
        <v>0</v>
      </c>
      <c r="N76" s="72">
        <v>0</v>
      </c>
      <c r="O76" s="72">
        <v>0</v>
      </c>
      <c r="P76" s="72">
        <v>0</v>
      </c>
      <c r="Q76" s="72">
        <v>0</v>
      </c>
      <c r="R76" s="72">
        <v>0</v>
      </c>
      <c r="S76" s="72">
        <v>0</v>
      </c>
      <c r="T76" s="72">
        <v>0</v>
      </c>
      <c r="U76" s="72">
        <v>0</v>
      </c>
    </row>
    <row r="77" spans="1:22" x14ac:dyDescent="0.45">
      <c r="B77" s="89" t="s">
        <v>216</v>
      </c>
      <c r="C77" s="26">
        <f>C127/C126</f>
        <v>-0.13089005235602094</v>
      </c>
      <c r="D77" s="26">
        <f>D127/D126</f>
        <v>-0.11804008908685948</v>
      </c>
      <c r="E77" s="26"/>
      <c r="F77" s="26"/>
      <c r="G77" s="26"/>
      <c r="H77" s="26"/>
      <c r="I77" s="26"/>
      <c r="J77" s="26"/>
      <c r="K77" s="26"/>
      <c r="L77" s="26"/>
      <c r="M77" s="73">
        <f>AVERAGE(C77:D77)</f>
        <v>-0.12446507072144021</v>
      </c>
      <c r="N77" s="73">
        <f t="shared" ref="N77:N87" si="5">M77</f>
        <v>-0.12446507072144021</v>
      </c>
      <c r="O77" s="73">
        <f t="shared" ref="O77:U77" si="6">N77</f>
        <v>-0.12446507072144021</v>
      </c>
      <c r="P77" s="73">
        <f t="shared" si="6"/>
        <v>-0.12446507072144021</v>
      </c>
      <c r="Q77" s="73">
        <f t="shared" si="6"/>
        <v>-0.12446507072144021</v>
      </c>
      <c r="R77" s="73">
        <f t="shared" si="6"/>
        <v>-0.12446507072144021</v>
      </c>
      <c r="S77" s="73">
        <f t="shared" si="6"/>
        <v>-0.12446507072144021</v>
      </c>
      <c r="T77" s="73">
        <f t="shared" si="6"/>
        <v>-0.12446507072144021</v>
      </c>
      <c r="U77" s="73">
        <f t="shared" si="6"/>
        <v>-0.12446507072144021</v>
      </c>
    </row>
    <row r="78" spans="1:22" x14ac:dyDescent="0.45">
      <c r="B78" s="89" t="s">
        <v>158</v>
      </c>
      <c r="C78" s="26">
        <f>C92/C113</f>
        <v>1.1285909712722298E-2</v>
      </c>
      <c r="D78" s="26">
        <f>D92/D113</f>
        <v>1.4716337267169061E-2</v>
      </c>
      <c r="M78" s="73">
        <v>0.03</v>
      </c>
      <c r="N78" s="73">
        <f t="shared" si="5"/>
        <v>0.03</v>
      </c>
      <c r="O78" s="73">
        <f t="shared" ref="O78:U78" si="7">N78</f>
        <v>0.03</v>
      </c>
      <c r="P78" s="73">
        <f t="shared" si="7"/>
        <v>0.03</v>
      </c>
      <c r="Q78" s="73">
        <f t="shared" si="7"/>
        <v>0.03</v>
      </c>
      <c r="R78" s="73">
        <f t="shared" si="7"/>
        <v>0.03</v>
      </c>
      <c r="S78" s="73">
        <f t="shared" si="7"/>
        <v>0.03</v>
      </c>
      <c r="T78" s="73">
        <f t="shared" si="7"/>
        <v>0.03</v>
      </c>
      <c r="U78" s="73">
        <f t="shared" si="7"/>
        <v>0.03</v>
      </c>
    </row>
    <row r="79" spans="1:22" x14ac:dyDescent="0.45">
      <c r="B79" s="89" t="s">
        <v>217</v>
      </c>
      <c r="C79" s="26"/>
      <c r="D79" s="26">
        <f>D93/C94</f>
        <v>-0.21414634146341466</v>
      </c>
      <c r="E79" s="26"/>
      <c r="F79" s="26"/>
      <c r="G79" s="26"/>
      <c r="H79" s="26"/>
      <c r="I79" s="26"/>
      <c r="J79" s="26"/>
      <c r="K79" s="26"/>
      <c r="L79" s="26"/>
      <c r="M79" s="73">
        <f t="shared" ref="M79:M87" si="8">D79</f>
        <v>-0.21414634146341466</v>
      </c>
      <c r="N79" s="73">
        <f t="shared" si="5"/>
        <v>-0.21414634146341466</v>
      </c>
      <c r="O79" s="73">
        <f t="shared" ref="O79:U79" si="9">N79</f>
        <v>-0.21414634146341466</v>
      </c>
      <c r="P79" s="73">
        <f t="shared" si="9"/>
        <v>-0.21414634146341466</v>
      </c>
      <c r="Q79" s="73">
        <f t="shared" si="9"/>
        <v>-0.21414634146341466</v>
      </c>
      <c r="R79" s="73">
        <f t="shared" si="9"/>
        <v>-0.21414634146341466</v>
      </c>
      <c r="S79" s="73">
        <f t="shared" si="9"/>
        <v>-0.21414634146341466</v>
      </c>
      <c r="T79" s="73">
        <f t="shared" si="9"/>
        <v>-0.21414634146341466</v>
      </c>
      <c r="U79" s="73">
        <f t="shared" si="9"/>
        <v>-0.21414634146341466</v>
      </c>
    </row>
    <row r="80" spans="1:22" x14ac:dyDescent="0.45">
      <c r="B80" s="89" t="s">
        <v>218</v>
      </c>
      <c r="C80">
        <f>C119</f>
        <v>3.6</v>
      </c>
      <c r="D80">
        <f>D119</f>
        <v>3</v>
      </c>
      <c r="M80" s="72">
        <f t="shared" si="8"/>
        <v>3</v>
      </c>
      <c r="N80" s="72">
        <f t="shared" si="5"/>
        <v>3</v>
      </c>
      <c r="O80" s="72">
        <f t="shared" ref="O80:U80" si="10">N80</f>
        <v>3</v>
      </c>
      <c r="P80" s="72">
        <f t="shared" si="10"/>
        <v>3</v>
      </c>
      <c r="Q80" s="72">
        <f t="shared" si="10"/>
        <v>3</v>
      </c>
      <c r="R80" s="72">
        <f t="shared" si="10"/>
        <v>3</v>
      </c>
      <c r="S80" s="72">
        <f t="shared" si="10"/>
        <v>3</v>
      </c>
      <c r="T80" s="72">
        <f t="shared" si="10"/>
        <v>3</v>
      </c>
      <c r="U80" s="72">
        <f t="shared" si="10"/>
        <v>3</v>
      </c>
    </row>
    <row r="81" spans="1:21" x14ac:dyDescent="0.45">
      <c r="B81" s="89" t="s">
        <v>219</v>
      </c>
      <c r="C81" s="26">
        <f>C132/C113</f>
        <v>8.99452804377565E-2</v>
      </c>
      <c r="D81" s="26">
        <f>D132/D113</f>
        <v>0.12050334139058724</v>
      </c>
      <c r="M81" s="73">
        <f t="shared" si="8"/>
        <v>0.12050334139058724</v>
      </c>
      <c r="N81" s="73">
        <f t="shared" si="5"/>
        <v>0.12050334139058724</v>
      </c>
      <c r="O81" s="73">
        <f t="shared" ref="O81:U87" si="11">N81</f>
        <v>0.12050334139058724</v>
      </c>
      <c r="P81" s="73">
        <f t="shared" si="11"/>
        <v>0.12050334139058724</v>
      </c>
      <c r="Q81" s="73">
        <f t="shared" si="11"/>
        <v>0.12050334139058724</v>
      </c>
      <c r="R81" s="73">
        <f t="shared" si="11"/>
        <v>0.12050334139058724</v>
      </c>
      <c r="S81" s="73">
        <f t="shared" si="11"/>
        <v>0.12050334139058724</v>
      </c>
      <c r="T81" s="73">
        <f t="shared" si="11"/>
        <v>0.12050334139058724</v>
      </c>
      <c r="U81" s="73">
        <f t="shared" si="11"/>
        <v>0.12050334139058724</v>
      </c>
    </row>
    <row r="82" spans="1:21" x14ac:dyDescent="0.45">
      <c r="B82" s="89" t="s">
        <v>220</v>
      </c>
      <c r="C82" s="26">
        <f>C133/C114</f>
        <v>-1.3138686131386862E-3</v>
      </c>
      <c r="D82" s="26">
        <f>D133/D114</f>
        <v>-1.4992503748125937E-3</v>
      </c>
      <c r="M82" s="73">
        <f t="shared" si="8"/>
        <v>-1.4992503748125937E-3</v>
      </c>
      <c r="N82" s="73">
        <f t="shared" si="5"/>
        <v>-1.4992503748125937E-3</v>
      </c>
      <c r="O82" s="73">
        <f t="shared" si="11"/>
        <v>-1.4992503748125937E-3</v>
      </c>
      <c r="P82" s="73">
        <f t="shared" si="11"/>
        <v>-1.4992503748125937E-3</v>
      </c>
      <c r="Q82" s="73">
        <f t="shared" si="11"/>
        <v>-1.4992503748125937E-3</v>
      </c>
      <c r="R82" s="73">
        <f t="shared" si="11"/>
        <v>-1.4992503748125937E-3</v>
      </c>
      <c r="S82" s="73">
        <f t="shared" si="11"/>
        <v>-1.4992503748125937E-3</v>
      </c>
      <c r="T82" s="73">
        <f t="shared" si="11"/>
        <v>-1.4992503748125937E-3</v>
      </c>
      <c r="U82" s="73">
        <f t="shared" si="11"/>
        <v>-1.4992503748125937E-3</v>
      </c>
    </row>
    <row r="83" spans="1:21" x14ac:dyDescent="0.45">
      <c r="B83" s="89" t="s">
        <v>301</v>
      </c>
      <c r="C83">
        <f>C134</f>
        <v>43.7</v>
      </c>
      <c r="D83">
        <f>D134</f>
        <v>44.9</v>
      </c>
      <c r="M83" s="72">
        <f t="shared" si="8"/>
        <v>44.9</v>
      </c>
      <c r="N83" s="72">
        <f t="shared" si="5"/>
        <v>44.9</v>
      </c>
      <c r="O83" s="72">
        <f t="shared" si="11"/>
        <v>44.9</v>
      </c>
      <c r="P83" s="72">
        <f t="shared" si="11"/>
        <v>44.9</v>
      </c>
      <c r="Q83" s="72">
        <f t="shared" si="11"/>
        <v>44.9</v>
      </c>
      <c r="R83" s="72">
        <f t="shared" si="11"/>
        <v>44.9</v>
      </c>
      <c r="S83" s="72">
        <f t="shared" si="11"/>
        <v>44.9</v>
      </c>
      <c r="T83" s="72">
        <f t="shared" si="11"/>
        <v>44.9</v>
      </c>
      <c r="U83" s="72">
        <f t="shared" si="11"/>
        <v>44.9</v>
      </c>
    </row>
    <row r="84" spans="1:21" x14ac:dyDescent="0.45">
      <c r="B84" s="89" t="s">
        <v>221</v>
      </c>
      <c r="C84">
        <f>C137</f>
        <v>134</v>
      </c>
      <c r="D84">
        <f>D137</f>
        <v>121.19999999999999</v>
      </c>
      <c r="M84" s="72">
        <f t="shared" si="8"/>
        <v>121.19999999999999</v>
      </c>
      <c r="N84" s="72">
        <f t="shared" si="5"/>
        <v>121.19999999999999</v>
      </c>
      <c r="O84" s="72">
        <f t="shared" si="11"/>
        <v>121.19999999999999</v>
      </c>
      <c r="P84" s="72">
        <f t="shared" si="11"/>
        <v>121.19999999999999</v>
      </c>
      <c r="Q84" s="72">
        <f t="shared" si="11"/>
        <v>121.19999999999999</v>
      </c>
      <c r="R84" s="72">
        <f t="shared" si="11"/>
        <v>121.19999999999999</v>
      </c>
      <c r="S84" s="72">
        <f t="shared" si="11"/>
        <v>121.19999999999999</v>
      </c>
      <c r="T84" s="72">
        <f t="shared" si="11"/>
        <v>121.19999999999999</v>
      </c>
      <c r="U84" s="72">
        <f t="shared" si="11"/>
        <v>121.19999999999999</v>
      </c>
    </row>
    <row r="85" spans="1:21" x14ac:dyDescent="0.45">
      <c r="B85" s="89" t="s">
        <v>222</v>
      </c>
      <c r="C85" s="26">
        <f>C142/C114</f>
        <v>-4.0802919708029198E-2</v>
      </c>
      <c r="D85" s="26">
        <f>D142/D114</f>
        <v>-4.6776611694152925E-2</v>
      </c>
      <c r="M85" s="73">
        <f t="shared" si="8"/>
        <v>-4.6776611694152925E-2</v>
      </c>
      <c r="N85" s="73">
        <f t="shared" si="5"/>
        <v>-4.6776611694152925E-2</v>
      </c>
      <c r="O85" s="73">
        <f t="shared" si="11"/>
        <v>-4.6776611694152925E-2</v>
      </c>
      <c r="P85" s="73">
        <f t="shared" si="11"/>
        <v>-4.6776611694152925E-2</v>
      </c>
      <c r="Q85" s="73">
        <f t="shared" si="11"/>
        <v>-4.6776611694152925E-2</v>
      </c>
      <c r="R85" s="73">
        <f t="shared" si="11"/>
        <v>-4.6776611694152925E-2</v>
      </c>
      <c r="S85" s="73">
        <f t="shared" si="11"/>
        <v>-4.6776611694152925E-2</v>
      </c>
      <c r="T85" s="73">
        <f t="shared" si="11"/>
        <v>-4.6776611694152925E-2</v>
      </c>
      <c r="U85" s="73">
        <f t="shared" si="11"/>
        <v>-4.6776611694152925E-2</v>
      </c>
    </row>
    <row r="86" spans="1:21" x14ac:dyDescent="0.45">
      <c r="B86" s="89" t="s">
        <v>303</v>
      </c>
      <c r="C86" s="26">
        <f>C143/C114</f>
        <v>-0.17883211678832117</v>
      </c>
      <c r="D86" s="26">
        <f>D143/D114</f>
        <v>-0.26251874062968517</v>
      </c>
      <c r="M86" s="73">
        <f t="shared" si="8"/>
        <v>-0.26251874062968517</v>
      </c>
      <c r="N86" s="73">
        <f t="shared" si="5"/>
        <v>-0.26251874062968517</v>
      </c>
      <c r="O86" s="73">
        <f t="shared" si="11"/>
        <v>-0.26251874062968517</v>
      </c>
      <c r="P86" s="73">
        <f t="shared" si="11"/>
        <v>-0.26251874062968517</v>
      </c>
      <c r="Q86" s="73">
        <f t="shared" si="11"/>
        <v>-0.26251874062968517</v>
      </c>
      <c r="R86" s="73">
        <f t="shared" si="11"/>
        <v>-0.26251874062968517</v>
      </c>
      <c r="S86" s="73">
        <f t="shared" si="11"/>
        <v>-0.26251874062968517</v>
      </c>
      <c r="T86" s="73">
        <f t="shared" si="11"/>
        <v>-0.26251874062968517</v>
      </c>
      <c r="U86" s="73">
        <f t="shared" si="11"/>
        <v>-0.26251874062968517</v>
      </c>
    </row>
    <row r="87" spans="1:21" x14ac:dyDescent="0.45">
      <c r="B87" s="89" t="s">
        <v>223</v>
      </c>
      <c r="C87">
        <f>C144</f>
        <v>68.199999999999989</v>
      </c>
      <c r="D87">
        <f>D144</f>
        <v>73.599999999999994</v>
      </c>
      <c r="M87" s="72">
        <f t="shared" si="8"/>
        <v>73.599999999999994</v>
      </c>
      <c r="N87" s="72">
        <f t="shared" si="5"/>
        <v>73.599999999999994</v>
      </c>
      <c r="O87" s="72">
        <f t="shared" si="11"/>
        <v>73.599999999999994</v>
      </c>
      <c r="P87" s="72">
        <f t="shared" si="11"/>
        <v>73.599999999999994</v>
      </c>
      <c r="Q87" s="72">
        <f t="shared" si="11"/>
        <v>73.599999999999994</v>
      </c>
      <c r="R87" s="72">
        <f t="shared" si="11"/>
        <v>73.599999999999994</v>
      </c>
      <c r="S87" s="72">
        <f t="shared" si="11"/>
        <v>73.599999999999994</v>
      </c>
      <c r="T87" s="72">
        <f t="shared" si="11"/>
        <v>73.599999999999994</v>
      </c>
      <c r="U87" s="72">
        <f t="shared" si="11"/>
        <v>73.599999999999994</v>
      </c>
    </row>
    <row r="88" spans="1:21" x14ac:dyDescent="0.45">
      <c r="B88" s="89" t="s">
        <v>224</v>
      </c>
      <c r="M88" s="73">
        <v>0</v>
      </c>
      <c r="N88" s="73">
        <v>0</v>
      </c>
      <c r="O88" s="73">
        <v>0</v>
      </c>
      <c r="P88" s="73">
        <v>0</v>
      </c>
      <c r="Q88" s="73">
        <v>0</v>
      </c>
      <c r="R88" s="73">
        <v>0</v>
      </c>
      <c r="S88" s="73">
        <v>0</v>
      </c>
      <c r="T88" s="73">
        <v>0</v>
      </c>
      <c r="U88" s="73">
        <v>0</v>
      </c>
    </row>
    <row r="89" spans="1:21" x14ac:dyDescent="0.45">
      <c r="B89" s="89"/>
    </row>
    <row r="90" spans="1:21" x14ac:dyDescent="0.45">
      <c r="A90" s="29" t="s">
        <v>225</v>
      </c>
      <c r="B90" s="89"/>
    </row>
    <row r="91" spans="1:21" x14ac:dyDescent="0.45">
      <c r="B91" s="89" t="s">
        <v>226</v>
      </c>
    </row>
    <row r="92" spans="1:21" x14ac:dyDescent="0.45">
      <c r="B92" s="89" t="s">
        <v>227</v>
      </c>
      <c r="C92" s="23">
        <v>16.5</v>
      </c>
      <c r="D92" s="23">
        <v>20.7</v>
      </c>
    </row>
    <row r="93" spans="1:21" x14ac:dyDescent="0.45">
      <c r="B93" s="89" t="s">
        <v>228</v>
      </c>
      <c r="C93">
        <f>C118*-1</f>
        <v>-49.5</v>
      </c>
      <c r="D93">
        <f>D118*-1</f>
        <v>-43.900000000000006</v>
      </c>
    </row>
    <row r="94" spans="1:21" x14ac:dyDescent="0.45">
      <c r="B94" s="89" t="s">
        <v>229</v>
      </c>
      <c r="C94">
        <f>C135</f>
        <v>205</v>
      </c>
      <c r="D94">
        <f>D135</f>
        <v>174.3</v>
      </c>
    </row>
    <row r="95" spans="1:21" x14ac:dyDescent="0.45">
      <c r="B95" s="89"/>
    </row>
    <row r="96" spans="1:21" x14ac:dyDescent="0.45">
      <c r="B96" s="89" t="s">
        <v>230</v>
      </c>
    </row>
    <row r="97" spans="1:21" x14ac:dyDescent="0.45">
      <c r="B97" s="89" t="s">
        <v>231</v>
      </c>
      <c r="C97">
        <f>C119</f>
        <v>3.6</v>
      </c>
      <c r="D97">
        <f>D119</f>
        <v>3</v>
      </c>
    </row>
    <row r="98" spans="1:21" x14ac:dyDescent="0.45">
      <c r="B98" s="89" t="s">
        <v>232</v>
      </c>
      <c r="C98">
        <f>C136</f>
        <v>105.4</v>
      </c>
      <c r="D98">
        <f>D136</f>
        <v>127.5</v>
      </c>
    </row>
    <row r="99" spans="1:21" x14ac:dyDescent="0.45">
      <c r="B99" s="89"/>
    </row>
    <row r="100" spans="1:21" x14ac:dyDescent="0.45">
      <c r="B100" s="89" t="s">
        <v>233</v>
      </c>
    </row>
    <row r="101" spans="1:21" x14ac:dyDescent="0.45">
      <c r="B101" s="89" t="s">
        <v>234</v>
      </c>
    </row>
    <row r="102" spans="1:21" x14ac:dyDescent="0.45">
      <c r="B102" s="89" t="s">
        <v>235</v>
      </c>
    </row>
    <row r="103" spans="1:21" x14ac:dyDescent="0.45">
      <c r="B103" s="89" t="s">
        <v>236</v>
      </c>
    </row>
    <row r="104" spans="1:21" x14ac:dyDescent="0.45">
      <c r="B104" s="89"/>
    </row>
    <row r="105" spans="1:21" x14ac:dyDescent="0.45">
      <c r="B105" s="89" t="str">
        <f>B132</f>
        <v>Accounts receivable</v>
      </c>
    </row>
    <row r="106" spans="1:21" x14ac:dyDescent="0.45">
      <c r="B106" s="89" t="str">
        <f>B133</f>
        <v>Inventories</v>
      </c>
    </row>
    <row r="107" spans="1:21" x14ac:dyDescent="0.45">
      <c r="B107" s="89" t="str">
        <f>B134</f>
        <v>Other current assets</v>
      </c>
    </row>
    <row r="108" spans="1:21" x14ac:dyDescent="0.45">
      <c r="B108" s="89" t="str">
        <f>B142</f>
        <v>Accounts payable</v>
      </c>
    </row>
    <row r="109" spans="1:21" x14ac:dyDescent="0.45">
      <c r="B109" s="89" t="s">
        <v>296</v>
      </c>
    </row>
    <row r="110" spans="1:21" x14ac:dyDescent="0.45">
      <c r="B110" s="89" t="s">
        <v>164</v>
      </c>
    </row>
    <row r="112" spans="1:21" ht="15" customHeight="1" x14ac:dyDescent="0.45">
      <c r="A112" s="29" t="s">
        <v>30</v>
      </c>
      <c r="B112" s="89"/>
      <c r="C112" s="26"/>
      <c r="D112" s="26"/>
      <c r="E112" s="26"/>
      <c r="F112" s="26"/>
      <c r="G112" s="26"/>
      <c r="H112" s="26"/>
      <c r="I112" s="26"/>
      <c r="J112" s="26"/>
      <c r="K112" s="26"/>
      <c r="L112" s="26"/>
      <c r="M112" s="26"/>
      <c r="N112" s="26"/>
      <c r="O112" s="26"/>
      <c r="P112" s="26"/>
      <c r="Q112" s="26"/>
      <c r="R112" s="26"/>
      <c r="S112" s="26"/>
      <c r="T112" s="26"/>
      <c r="U112" s="26"/>
    </row>
    <row r="113" spans="1:22" ht="15" customHeight="1" x14ac:dyDescent="0.45">
      <c r="B113" s="89" t="s">
        <v>237</v>
      </c>
      <c r="C113" s="23">
        <f>1462</f>
        <v>1462</v>
      </c>
      <c r="D113" s="23">
        <f>1406.6</f>
        <v>1406.6</v>
      </c>
    </row>
    <row r="114" spans="1:22" x14ac:dyDescent="0.45">
      <c r="B114" s="89" t="s">
        <v>238</v>
      </c>
      <c r="C114" s="23">
        <f>-1370</f>
        <v>-1370</v>
      </c>
      <c r="D114" s="23">
        <f>-1334</f>
        <v>-1334</v>
      </c>
    </row>
    <row r="115" spans="1:22" x14ac:dyDescent="0.45">
      <c r="B115" s="89" t="s">
        <v>239</v>
      </c>
      <c r="C115" s="23">
        <f>-9.4</f>
        <v>-9.4</v>
      </c>
      <c r="D115" s="23">
        <f>-12.3</f>
        <v>-12.3</v>
      </c>
    </row>
    <row r="116" spans="1:22" s="70" customFormat="1" x14ac:dyDescent="0.45">
      <c r="A116" s="29"/>
      <c r="B116" s="93" t="s">
        <v>19</v>
      </c>
      <c r="C116" s="70">
        <f>SUM(C113:C115)</f>
        <v>82.6</v>
      </c>
      <c r="D116" s="70">
        <f>SUM(D113:D115)</f>
        <v>60.299999999999912</v>
      </c>
      <c r="V116"/>
    </row>
    <row r="117" spans="1:22" x14ac:dyDescent="0.45">
      <c r="B117" s="89"/>
      <c r="M117" s="26"/>
      <c r="N117" s="26"/>
      <c r="O117" s="26"/>
      <c r="P117" s="26"/>
      <c r="Q117" s="26"/>
      <c r="R117" s="26"/>
      <c r="S117" s="26"/>
      <c r="T117" s="26"/>
      <c r="U117" s="26"/>
    </row>
    <row r="118" spans="1:22" x14ac:dyDescent="0.45">
      <c r="B118" s="89" t="s">
        <v>27</v>
      </c>
      <c r="C118" s="23">
        <f>8.4+41.1</f>
        <v>49.5</v>
      </c>
      <c r="D118" s="23">
        <f>7.2+36.7</f>
        <v>43.900000000000006</v>
      </c>
    </row>
    <row r="119" spans="1:22" x14ac:dyDescent="0.45">
      <c r="B119" s="89" t="s">
        <v>240</v>
      </c>
      <c r="C119" s="23">
        <f>1+1+1.6</f>
        <v>3.6</v>
      </c>
      <c r="D119" s="23">
        <f>1.9+1.1</f>
        <v>3</v>
      </c>
    </row>
    <row r="120" spans="1:22" s="70" customFormat="1" x14ac:dyDescent="0.45">
      <c r="A120" s="29"/>
      <c r="B120" s="93" t="s">
        <v>20</v>
      </c>
      <c r="C120" s="70">
        <f>SUM(C116,C118:C119)</f>
        <v>135.69999999999999</v>
      </c>
      <c r="D120" s="70">
        <f>SUM(D116,D118:D119)</f>
        <v>107.19999999999992</v>
      </c>
      <c r="V120"/>
    </row>
    <row r="121" spans="1:22" x14ac:dyDescent="0.45">
      <c r="B121" s="89"/>
    </row>
    <row r="122" spans="1:22" x14ac:dyDescent="0.45">
      <c r="B122" s="89" t="s">
        <v>305</v>
      </c>
      <c r="C122" s="23">
        <f>9.6-42.3</f>
        <v>-32.699999999999996</v>
      </c>
      <c r="D122" s="23">
        <f>11.4-102.3</f>
        <v>-90.899999999999991</v>
      </c>
    </row>
    <row r="123" spans="1:22" x14ac:dyDescent="0.45">
      <c r="B123" s="89" t="s">
        <v>32</v>
      </c>
      <c r="C123" s="23">
        <v>0</v>
      </c>
      <c r="D123" s="23">
        <v>0</v>
      </c>
    </row>
    <row r="124" spans="1:22" x14ac:dyDescent="0.45">
      <c r="B124" s="89" t="s">
        <v>241</v>
      </c>
      <c r="C124" s="23">
        <f>-11.7</f>
        <v>-11.7</v>
      </c>
      <c r="D124" s="23">
        <f>-14.3</f>
        <v>-14.3</v>
      </c>
    </row>
    <row r="125" spans="1:22" x14ac:dyDescent="0.45">
      <c r="B125" s="89" t="s">
        <v>242</v>
      </c>
      <c r="C125" s="23">
        <v>0</v>
      </c>
      <c r="D125" s="23">
        <v>0</v>
      </c>
    </row>
    <row r="126" spans="1:22" s="70" customFormat="1" x14ac:dyDescent="0.45">
      <c r="A126" s="29"/>
      <c r="B126" s="93" t="s">
        <v>243</v>
      </c>
      <c r="C126" s="70">
        <f>SUM(C116,C122:C125)</f>
        <v>38.200000000000003</v>
      </c>
      <c r="D126" s="70">
        <f>SUM(D116,D122:D125)</f>
        <v>-44.900000000000077</v>
      </c>
      <c r="V126"/>
    </row>
    <row r="127" spans="1:22" x14ac:dyDescent="0.45">
      <c r="B127" s="89" t="s">
        <v>35</v>
      </c>
      <c r="C127" s="23">
        <v>-5</v>
      </c>
      <c r="D127" s="23">
        <v>5.3</v>
      </c>
    </row>
    <row r="128" spans="1:22" s="70" customFormat="1" x14ac:dyDescent="0.45">
      <c r="A128" s="29"/>
      <c r="B128" s="93" t="s">
        <v>29</v>
      </c>
      <c r="C128" s="70">
        <f>C126+C127</f>
        <v>33.200000000000003</v>
      </c>
      <c r="D128" s="70">
        <f>D126+D127</f>
        <v>-39.60000000000008</v>
      </c>
      <c r="V128"/>
    </row>
    <row r="130" spans="1:22" x14ac:dyDescent="0.45">
      <c r="A130" s="29" t="s">
        <v>244</v>
      </c>
      <c r="B130" s="89"/>
    </row>
    <row r="131" spans="1:22" x14ac:dyDescent="0.45">
      <c r="B131" s="89" t="s">
        <v>188</v>
      </c>
      <c r="C131" s="23">
        <v>13.2</v>
      </c>
      <c r="D131" s="23">
        <v>28.7</v>
      </c>
    </row>
    <row r="132" spans="1:22" x14ac:dyDescent="0.45">
      <c r="B132" s="89" t="s">
        <v>245</v>
      </c>
      <c r="C132" s="23">
        <v>131.5</v>
      </c>
      <c r="D132" s="23">
        <v>169.5</v>
      </c>
    </row>
    <row r="133" spans="1:22" x14ac:dyDescent="0.45">
      <c r="B133" s="89" t="s">
        <v>246</v>
      </c>
      <c r="C133" s="23">
        <v>1.8</v>
      </c>
      <c r="D133" s="23">
        <v>2</v>
      </c>
    </row>
    <row r="134" spans="1:22" x14ac:dyDescent="0.45">
      <c r="B134" s="89" t="s">
        <v>247</v>
      </c>
      <c r="C134" s="23">
        <v>43.7</v>
      </c>
      <c r="D134" s="23">
        <v>44.9</v>
      </c>
    </row>
    <row r="135" spans="1:22" x14ac:dyDescent="0.45">
      <c r="B135" s="89" t="s">
        <v>248</v>
      </c>
      <c r="C135" s="23">
        <v>205</v>
      </c>
      <c r="D135" s="23">
        <v>174.3</v>
      </c>
    </row>
    <row r="136" spans="1:22" x14ac:dyDescent="0.45">
      <c r="B136" s="89" t="s">
        <v>249</v>
      </c>
      <c r="C136" s="23">
        <v>105.4</v>
      </c>
      <c r="D136" s="23">
        <v>127.5</v>
      </c>
    </row>
    <row r="137" spans="1:22" x14ac:dyDescent="0.45">
      <c r="B137" s="89" t="s">
        <v>250</v>
      </c>
      <c r="C137" s="23">
        <f>17.4+116.6</f>
        <v>134</v>
      </c>
      <c r="D137" s="23">
        <f>11.2+29.4+80.6</f>
        <v>121.19999999999999</v>
      </c>
    </row>
    <row r="138" spans="1:22" x14ac:dyDescent="0.45">
      <c r="B138" s="89" t="s">
        <v>193</v>
      </c>
      <c r="C138" s="23">
        <v>0</v>
      </c>
      <c r="D138" s="23">
        <v>0</v>
      </c>
    </row>
    <row r="139" spans="1:22" s="70" customFormat="1" x14ac:dyDescent="0.45">
      <c r="A139" s="29"/>
      <c r="B139" s="93" t="s">
        <v>251</v>
      </c>
      <c r="C139" s="70">
        <f>SUM(C131:C138)</f>
        <v>634.6</v>
      </c>
      <c r="D139" s="70">
        <f>SUM(D131:D138)</f>
        <v>668.09999999999991</v>
      </c>
      <c r="K139"/>
      <c r="V139"/>
    </row>
    <row r="140" spans="1:22" x14ac:dyDescent="0.45">
      <c r="B140" s="89"/>
    </row>
    <row r="141" spans="1:22" x14ac:dyDescent="0.45">
      <c r="B141" s="89" t="s">
        <v>295</v>
      </c>
      <c r="C141" s="23">
        <v>37.5</v>
      </c>
      <c r="D141" s="23">
        <v>41.4</v>
      </c>
    </row>
    <row r="142" spans="1:22" x14ac:dyDescent="0.45">
      <c r="B142" s="89" t="s">
        <v>252</v>
      </c>
      <c r="C142" s="23">
        <v>55.9</v>
      </c>
      <c r="D142" s="23">
        <v>62.4</v>
      </c>
    </row>
    <row r="143" spans="1:22" x14ac:dyDescent="0.45">
      <c r="B143" s="89" t="s">
        <v>296</v>
      </c>
      <c r="C143" s="23">
        <f>0+245</f>
        <v>245</v>
      </c>
      <c r="D143" s="23">
        <f>1.1+349.1</f>
        <v>350.20000000000005</v>
      </c>
    </row>
    <row r="144" spans="1:22" x14ac:dyDescent="0.45">
      <c r="B144" s="89" t="s">
        <v>253</v>
      </c>
      <c r="C144" s="23">
        <f>33.9+34.3+0</f>
        <v>68.199999999999989</v>
      </c>
      <c r="D144" s="23">
        <f>48.9+24.7+0</f>
        <v>73.599999999999994</v>
      </c>
    </row>
    <row r="145" spans="1:22" x14ac:dyDescent="0.45">
      <c r="B145" s="89" t="s">
        <v>190</v>
      </c>
      <c r="C145" s="23">
        <f>168.9</f>
        <v>168.9</v>
      </c>
      <c r="D145" s="23">
        <f>174.5</f>
        <v>174.5</v>
      </c>
    </row>
    <row r="146" spans="1:22" x14ac:dyDescent="0.45">
      <c r="B146" s="89" t="str">
        <f>B41</f>
        <v>Senior debt (Term B)</v>
      </c>
      <c r="C146" s="23">
        <v>0</v>
      </c>
      <c r="D146" s="23">
        <v>0</v>
      </c>
    </row>
    <row r="147" spans="1:22" x14ac:dyDescent="0.45">
      <c r="B147" s="89" t="str">
        <f>B42</f>
        <v>Senior unsecured high yield notes</v>
      </c>
      <c r="C147" s="23">
        <v>0</v>
      </c>
      <c r="D147" s="23">
        <v>0</v>
      </c>
    </row>
    <row r="148" spans="1:22" x14ac:dyDescent="0.45">
      <c r="B148" s="89" t="str">
        <f>B43</f>
        <v>Unitranche</v>
      </c>
      <c r="C148" s="23">
        <v>0</v>
      </c>
      <c r="D148" s="23">
        <v>0</v>
      </c>
    </row>
    <row r="149" spans="1:22" x14ac:dyDescent="0.45">
      <c r="B149" s="89" t="str">
        <f>B44</f>
        <v>Mezzanine</v>
      </c>
      <c r="C149" s="23">
        <v>0</v>
      </c>
      <c r="D149" s="23">
        <v>0</v>
      </c>
    </row>
    <row r="150" spans="1:22" x14ac:dyDescent="0.45">
      <c r="A150" s="91"/>
      <c r="B150" s="89" t="s">
        <v>254</v>
      </c>
      <c r="C150" s="23">
        <f>59.1</f>
        <v>59.1</v>
      </c>
      <c r="D150" s="23">
        <f>-34</f>
        <v>-34</v>
      </c>
    </row>
    <row r="151" spans="1:22" s="70" customFormat="1" x14ac:dyDescent="0.45">
      <c r="A151" s="29"/>
      <c r="B151" s="93" t="s">
        <v>255</v>
      </c>
      <c r="C151" s="70">
        <f>SUM(C141:C150)</f>
        <v>634.6</v>
      </c>
      <c r="D151" s="70">
        <f>SUM(D141:D150)</f>
        <v>668.1</v>
      </c>
      <c r="J151"/>
      <c r="K151"/>
      <c r="V151"/>
    </row>
    <row r="152" spans="1:22" x14ac:dyDescent="0.45">
      <c r="B152" s="89"/>
    </row>
    <row r="153" spans="1:22" x14ac:dyDescent="0.45">
      <c r="B153" s="89" t="s">
        <v>256</v>
      </c>
      <c r="C153" s="100">
        <f>C151-C139</f>
        <v>0</v>
      </c>
      <c r="D153" s="100">
        <f>D151-D139</f>
        <v>0</v>
      </c>
      <c r="E153" s="100"/>
      <c r="F153" s="100"/>
      <c r="G153" s="100"/>
      <c r="H153" s="100"/>
      <c r="I153" s="100"/>
      <c r="J153" s="100"/>
      <c r="K153" s="100"/>
      <c r="L153" s="100"/>
      <c r="M153" s="100"/>
      <c r="N153" s="100"/>
      <c r="O153" s="100"/>
      <c r="P153" s="100"/>
      <c r="Q153" s="100"/>
      <c r="R153" s="100"/>
      <c r="S153" s="100"/>
      <c r="T153" s="100"/>
      <c r="U153" s="100"/>
    </row>
    <row r="155" spans="1:22" x14ac:dyDescent="0.45">
      <c r="A155" s="29" t="s">
        <v>257</v>
      </c>
      <c r="B155" s="89"/>
    </row>
    <row r="156" spans="1:22" x14ac:dyDescent="0.45">
      <c r="B156" s="89" t="s">
        <v>20</v>
      </c>
    </row>
    <row r="157" spans="1:22" x14ac:dyDescent="0.45">
      <c r="B157" s="89" t="s">
        <v>32</v>
      </c>
    </row>
    <row r="158" spans="1:22" x14ac:dyDescent="0.45">
      <c r="B158" s="89" t="s">
        <v>241</v>
      </c>
    </row>
    <row r="159" spans="1:22" x14ac:dyDescent="0.45">
      <c r="B159" s="89" t="s">
        <v>35</v>
      </c>
    </row>
    <row r="160" spans="1:22" x14ac:dyDescent="0.45">
      <c r="B160" s="89" t="s">
        <v>258</v>
      </c>
    </row>
    <row r="161" spans="1:22" x14ac:dyDescent="0.45">
      <c r="B161" s="89" t="s">
        <v>259</v>
      </c>
    </row>
    <row r="162" spans="1:22" x14ac:dyDescent="0.45">
      <c r="B162" s="89" t="s">
        <v>260</v>
      </c>
    </row>
    <row r="163" spans="1:22" s="70" customFormat="1" x14ac:dyDescent="0.45">
      <c r="A163" s="29"/>
      <c r="B163" s="93" t="s">
        <v>261</v>
      </c>
      <c r="V163"/>
    </row>
    <row r="164" spans="1:22" x14ac:dyDescent="0.45">
      <c r="B164" s="89"/>
    </row>
    <row r="165" spans="1:22" x14ac:dyDescent="0.45">
      <c r="B165" s="89" t="s">
        <v>262</v>
      </c>
    </row>
    <row r="166" spans="1:22" s="70" customFormat="1" x14ac:dyDescent="0.45">
      <c r="A166" s="29"/>
      <c r="B166" s="93" t="s">
        <v>263</v>
      </c>
      <c r="V166"/>
    </row>
    <row r="167" spans="1:22" x14ac:dyDescent="0.45">
      <c r="B167" s="89"/>
    </row>
    <row r="168" spans="1:22" x14ac:dyDescent="0.45">
      <c r="B168" s="89" t="s">
        <v>264</v>
      </c>
    </row>
    <row r="169" spans="1:22" x14ac:dyDescent="0.45">
      <c r="B169" s="89" t="s">
        <v>265</v>
      </c>
    </row>
    <row r="170" spans="1:22" x14ac:dyDescent="0.45">
      <c r="B170" s="89" t="str">
        <f>"Inc (dec) in "&amp;B146</f>
        <v>Inc (dec) in Senior debt (Term B)</v>
      </c>
    </row>
    <row r="171" spans="1:22" x14ac:dyDescent="0.45">
      <c r="B171" s="89" t="str">
        <f>"Inc (dec) in "&amp;B147</f>
        <v>Inc (dec) in Senior unsecured high yield notes</v>
      </c>
    </row>
    <row r="172" spans="1:22" x14ac:dyDescent="0.45">
      <c r="B172" s="89" t="str">
        <f>"Inc (dec) in "&amp;B148</f>
        <v>Inc (dec) in Unitranche</v>
      </c>
    </row>
    <row r="173" spans="1:22" x14ac:dyDescent="0.45">
      <c r="B173" s="89" t="s">
        <v>266</v>
      </c>
    </row>
    <row r="174" spans="1:22" s="70" customFormat="1" x14ac:dyDescent="0.45">
      <c r="A174" s="29"/>
      <c r="B174" s="93" t="s">
        <v>267</v>
      </c>
      <c r="V174"/>
    </row>
    <row r="175" spans="1:22" x14ac:dyDescent="0.45">
      <c r="B175" s="89"/>
    </row>
    <row r="176" spans="1:22" x14ac:dyDescent="0.45">
      <c r="B176" s="89" t="s">
        <v>268</v>
      </c>
    </row>
    <row r="177" spans="1:22" x14ac:dyDescent="0.45">
      <c r="B177" s="89" t="s">
        <v>269</v>
      </c>
    </row>
    <row r="178" spans="1:22" s="70" customFormat="1" x14ac:dyDescent="0.45">
      <c r="A178" s="29"/>
      <c r="B178" s="93" t="s">
        <v>95</v>
      </c>
      <c r="V178"/>
    </row>
    <row r="180" spans="1:22" x14ac:dyDescent="0.45">
      <c r="A180" s="29" t="s">
        <v>270</v>
      </c>
      <c r="B180" s="89"/>
    </row>
    <row r="181" spans="1:22" x14ac:dyDescent="0.45">
      <c r="B181" s="89" t="str">
        <f>B54&amp;" mandatory repayment"</f>
        <v>Senior debt (Term B) mandatory repayment</v>
      </c>
      <c r="M181" s="72">
        <f t="shared" ref="M181:U181" si="12">$C$54*1%*-1</f>
        <v>-3.2159999999999975</v>
      </c>
      <c r="N181" s="72">
        <f t="shared" si="12"/>
        <v>-3.2159999999999975</v>
      </c>
      <c r="O181" s="72">
        <f t="shared" si="12"/>
        <v>-3.2159999999999975</v>
      </c>
      <c r="P181" s="72">
        <f t="shared" si="12"/>
        <v>-3.2159999999999975</v>
      </c>
      <c r="Q181" s="72">
        <f t="shared" si="12"/>
        <v>-3.2159999999999975</v>
      </c>
      <c r="R181" s="72">
        <f t="shared" si="12"/>
        <v>-3.2159999999999975</v>
      </c>
      <c r="S181" s="72">
        <f t="shared" si="12"/>
        <v>-3.2159999999999975</v>
      </c>
      <c r="T181" s="72">
        <f t="shared" si="12"/>
        <v>-3.2159999999999975</v>
      </c>
      <c r="U181" s="72">
        <f t="shared" si="12"/>
        <v>-3.2159999999999975</v>
      </c>
    </row>
    <row r="182" spans="1:22" x14ac:dyDescent="0.45">
      <c r="B182" s="89" t="str">
        <f>B55&amp;" mandatory repayment"</f>
        <v>Senior unsecured high yield notes mandatory repayment</v>
      </c>
      <c r="M182" s="72">
        <v>0</v>
      </c>
      <c r="N182" s="72">
        <v>0</v>
      </c>
      <c r="O182" s="72">
        <v>0</v>
      </c>
      <c r="P182" s="72">
        <v>0</v>
      </c>
      <c r="Q182" s="72">
        <v>0</v>
      </c>
      <c r="R182" s="72">
        <v>0</v>
      </c>
      <c r="S182" s="72">
        <v>0</v>
      </c>
      <c r="T182" s="72">
        <v>0</v>
      </c>
      <c r="U182" s="72">
        <v>0</v>
      </c>
    </row>
    <row r="183" spans="1:22" x14ac:dyDescent="0.45">
      <c r="B183" s="89" t="s">
        <v>271</v>
      </c>
      <c r="M183" s="72">
        <v>0</v>
      </c>
      <c r="N183" s="72">
        <v>0</v>
      </c>
      <c r="O183" s="72">
        <v>0</v>
      </c>
      <c r="P183" s="72">
        <v>0</v>
      </c>
      <c r="Q183" s="72">
        <v>0</v>
      </c>
      <c r="R183" s="72">
        <v>0</v>
      </c>
      <c r="S183" s="72">
        <v>0</v>
      </c>
      <c r="T183" s="72">
        <v>0</v>
      </c>
      <c r="U183" s="72">
        <v>0</v>
      </c>
    </row>
    <row r="184" spans="1:22" x14ac:dyDescent="0.45">
      <c r="B184" s="89"/>
    </row>
    <row r="185" spans="1:22" x14ac:dyDescent="0.45">
      <c r="B185" s="89" t="s">
        <v>268</v>
      </c>
    </row>
    <row r="186" spans="1:22" x14ac:dyDescent="0.45">
      <c r="B186" s="89" t="s">
        <v>261</v>
      </c>
    </row>
    <row r="187" spans="1:22" x14ac:dyDescent="0.45">
      <c r="B187" s="89" t="s">
        <v>263</v>
      </c>
    </row>
    <row r="188" spans="1:22" x14ac:dyDescent="0.45">
      <c r="B188" s="89" t="s">
        <v>266</v>
      </c>
    </row>
    <row r="189" spans="1:22" x14ac:dyDescent="0.45">
      <c r="B189" s="89" t="s">
        <v>272</v>
      </c>
    </row>
    <row r="190" spans="1:22" x14ac:dyDescent="0.45">
      <c r="B190" s="89"/>
    </row>
    <row r="191" spans="1:22" x14ac:dyDescent="0.45">
      <c r="B191" s="89" t="s">
        <v>273</v>
      </c>
    </row>
    <row r="192" spans="1:22" x14ac:dyDescent="0.45">
      <c r="B192" s="89"/>
    </row>
    <row r="193" spans="1:22" x14ac:dyDescent="0.45">
      <c r="B193" s="89" t="s">
        <v>274</v>
      </c>
    </row>
    <row r="194" spans="1:22" x14ac:dyDescent="0.45">
      <c r="B194" s="89"/>
    </row>
    <row r="195" spans="1:22" x14ac:dyDescent="0.45">
      <c r="B195" s="89" t="s">
        <v>275</v>
      </c>
    </row>
    <row r="196" spans="1:22" x14ac:dyDescent="0.45">
      <c r="B196" s="89" t="s">
        <v>276</v>
      </c>
    </row>
    <row r="197" spans="1:22" x14ac:dyDescent="0.45">
      <c r="B197" s="89"/>
    </row>
    <row r="198" spans="1:22" x14ac:dyDescent="0.45">
      <c r="B198" s="89" t="s">
        <v>277</v>
      </c>
    </row>
    <row r="199" spans="1:22" x14ac:dyDescent="0.45">
      <c r="B199" s="89" t="s">
        <v>278</v>
      </c>
    </row>
    <row r="200" spans="1:22" s="70" customFormat="1" x14ac:dyDescent="0.45">
      <c r="A200" s="29"/>
      <c r="B200" s="93" t="s">
        <v>279</v>
      </c>
      <c r="K200"/>
      <c r="V200"/>
    </row>
    <row r="201" spans="1:22" x14ac:dyDescent="0.45">
      <c r="B201" s="89" t="s">
        <v>33</v>
      </c>
    </row>
    <row r="202" spans="1:22" x14ac:dyDescent="0.45">
      <c r="B202" s="89"/>
    </row>
    <row r="203" spans="1:22" x14ac:dyDescent="0.45">
      <c r="B203" s="89" t="s">
        <v>280</v>
      </c>
    </row>
    <row r="204" spans="1:22" x14ac:dyDescent="0.45">
      <c r="B204" s="89"/>
    </row>
    <row r="205" spans="1:22" x14ac:dyDescent="0.45">
      <c r="B205" s="89" t="str">
        <f>"Beginning "&amp;B41</f>
        <v>Beginning Senior debt (Term B)</v>
      </c>
    </row>
    <row r="206" spans="1:22" x14ac:dyDescent="0.45">
      <c r="B206" s="89" t="s">
        <v>281</v>
      </c>
    </row>
    <row r="207" spans="1:22" x14ac:dyDescent="0.45">
      <c r="B207" s="89" t="s">
        <v>282</v>
      </c>
      <c r="C207" t="s">
        <v>283</v>
      </c>
      <c r="D207" s="113">
        <v>1</v>
      </c>
    </row>
    <row r="208" spans="1:22" s="70" customFormat="1" x14ac:dyDescent="0.45">
      <c r="A208" s="29"/>
      <c r="B208" s="93" t="str">
        <f>"Ending "&amp;B41</f>
        <v>Ending Senior debt (Term B)</v>
      </c>
      <c r="K208"/>
      <c r="V208"/>
    </row>
    <row r="209" spans="1:22" x14ac:dyDescent="0.45">
      <c r="B209" s="89"/>
    </row>
    <row r="210" spans="1:22" x14ac:dyDescent="0.45">
      <c r="B210" s="89" t="s">
        <v>20</v>
      </c>
    </row>
    <row r="211" spans="1:22" x14ac:dyDescent="0.45">
      <c r="B211" s="89" t="str">
        <f>B41&amp;" / EBITDA"</f>
        <v>Senior debt (Term B) / EBITDA</v>
      </c>
      <c r="M211" s="27"/>
      <c r="N211" s="27"/>
      <c r="O211" s="27"/>
      <c r="P211" s="27"/>
      <c r="Q211" s="27"/>
      <c r="R211" s="27"/>
      <c r="S211" s="27"/>
      <c r="T211" s="27"/>
      <c r="U211" s="27"/>
    </row>
    <row r="212" spans="1:22" x14ac:dyDescent="0.45">
      <c r="B212" s="89" t="str">
        <f>B211&amp;" margin ratchet covenant"</f>
        <v>Senior debt (Term B) / EBITDA margin ratchet covenant</v>
      </c>
      <c r="M212" s="112">
        <v>1</v>
      </c>
      <c r="N212" s="112">
        <v>1</v>
      </c>
      <c r="O212" s="112">
        <v>1</v>
      </c>
      <c r="P212" s="112">
        <v>1</v>
      </c>
      <c r="Q212" s="112">
        <v>1</v>
      </c>
      <c r="R212" s="112">
        <v>1</v>
      </c>
      <c r="S212" s="112">
        <v>1</v>
      </c>
      <c r="T212" s="112">
        <v>1</v>
      </c>
      <c r="U212" s="112">
        <v>1</v>
      </c>
    </row>
    <row r="213" spans="1:22" x14ac:dyDescent="0.45">
      <c r="B213" s="89" t="s">
        <v>284</v>
      </c>
      <c r="M213" s="73">
        <v>2.5000000000000001E-3</v>
      </c>
      <c r="N213" s="73">
        <v>2.5000000000000001E-3</v>
      </c>
      <c r="O213" s="73">
        <v>2.5000000000000001E-3</v>
      </c>
      <c r="P213" s="73">
        <v>2.5000000000000001E-3</v>
      </c>
      <c r="Q213" s="73">
        <v>2.5000000000000001E-3</v>
      </c>
      <c r="R213" s="73">
        <v>2.5000000000000001E-3</v>
      </c>
      <c r="S213" s="73">
        <v>2.5000000000000001E-3</v>
      </c>
      <c r="T213" s="73">
        <v>2.5000000000000001E-3</v>
      </c>
      <c r="U213" s="73">
        <v>2.5000000000000001E-3</v>
      </c>
    </row>
    <row r="214" spans="1:22" x14ac:dyDescent="0.45">
      <c r="B214" s="89" t="s">
        <v>200</v>
      </c>
      <c r="M214" s="92"/>
      <c r="N214" s="92"/>
      <c r="O214" s="92"/>
      <c r="P214" s="92"/>
      <c r="Q214" s="92"/>
      <c r="R214" s="92"/>
      <c r="S214" s="92"/>
      <c r="T214" s="92"/>
      <c r="U214" s="92"/>
    </row>
    <row r="215" spans="1:22" x14ac:dyDescent="0.45">
      <c r="B215" s="89" t="s">
        <v>33</v>
      </c>
    </row>
    <row r="216" spans="1:22" x14ac:dyDescent="0.45">
      <c r="B216" s="89"/>
    </row>
    <row r="217" spans="1:22" x14ac:dyDescent="0.45">
      <c r="B217" s="89" t="s">
        <v>280</v>
      </c>
    </row>
    <row r="218" spans="1:22" x14ac:dyDescent="0.45">
      <c r="B218" s="89"/>
    </row>
    <row r="219" spans="1:22" x14ac:dyDescent="0.45">
      <c r="A219" s="91" t="s">
        <v>285</v>
      </c>
      <c r="B219" s="89" t="str">
        <f>"Beginning "&amp;B42</f>
        <v>Beginning Senior unsecured high yield notes</v>
      </c>
    </row>
    <row r="220" spans="1:22" x14ac:dyDescent="0.45">
      <c r="A220" s="91"/>
      <c r="B220" s="89" t="s">
        <v>281</v>
      </c>
    </row>
    <row r="221" spans="1:22" x14ac:dyDescent="0.45">
      <c r="A221" s="91"/>
      <c r="B221" s="89" t="s">
        <v>282</v>
      </c>
      <c r="C221" t="s">
        <v>283</v>
      </c>
      <c r="D221" s="113">
        <v>0</v>
      </c>
    </row>
    <row r="222" spans="1:22" s="70" customFormat="1" x14ac:dyDescent="0.45">
      <c r="A222" s="91"/>
      <c r="B222" s="93" t="str">
        <f>"Ending "&amp;B42</f>
        <v>Ending Senior unsecured high yield notes</v>
      </c>
      <c r="K222"/>
      <c r="V222"/>
    </row>
    <row r="223" spans="1:22" x14ac:dyDescent="0.45">
      <c r="B223" s="89" t="s">
        <v>33</v>
      </c>
    </row>
    <row r="224" spans="1:22" x14ac:dyDescent="0.45">
      <c r="B224" s="89"/>
    </row>
    <row r="225" spans="1:22" x14ac:dyDescent="0.45">
      <c r="B225" s="89" t="s">
        <v>280</v>
      </c>
    </row>
    <row r="226" spans="1:22" x14ac:dyDescent="0.45">
      <c r="B226" s="89"/>
    </row>
    <row r="227" spans="1:22" x14ac:dyDescent="0.45">
      <c r="B227" s="89" t="str">
        <f>"Beginning "&amp;B43</f>
        <v>Beginning Unitranche</v>
      </c>
    </row>
    <row r="228" spans="1:22" x14ac:dyDescent="0.45">
      <c r="B228" s="89" t="s">
        <v>281</v>
      </c>
    </row>
    <row r="229" spans="1:22" x14ac:dyDescent="0.45">
      <c r="B229" s="89" t="s">
        <v>282</v>
      </c>
      <c r="C229" t="s">
        <v>283</v>
      </c>
      <c r="D229" s="113">
        <v>1</v>
      </c>
    </row>
    <row r="230" spans="1:22" s="70" customFormat="1" x14ac:dyDescent="0.45">
      <c r="A230" s="29"/>
      <c r="B230" s="93" t="str">
        <f>"Ending "&amp;B43</f>
        <v>Ending Unitranche</v>
      </c>
      <c r="K230"/>
      <c r="V230"/>
    </row>
    <row r="231" spans="1:22" x14ac:dyDescent="0.45">
      <c r="B231" s="89" t="s">
        <v>33</v>
      </c>
      <c r="M231" s="100"/>
      <c r="N231" s="100"/>
      <c r="O231" s="100"/>
      <c r="P231" s="100"/>
      <c r="Q231" s="100"/>
      <c r="R231" s="100"/>
      <c r="S231" s="100"/>
      <c r="T231" s="100"/>
      <c r="U231" s="100"/>
    </row>
    <row r="232" spans="1:22" x14ac:dyDescent="0.45">
      <c r="B232" s="89"/>
    </row>
    <row r="233" spans="1:22" x14ac:dyDescent="0.45">
      <c r="B233" s="89" t="s">
        <v>286</v>
      </c>
    </row>
    <row r="234" spans="1:22" x14ac:dyDescent="0.45">
      <c r="B234" s="89" t="s">
        <v>287</v>
      </c>
      <c r="C234" t="s">
        <v>288</v>
      </c>
      <c r="D234" s="113">
        <v>0</v>
      </c>
    </row>
    <row r="235" spans="1:22" s="70" customFormat="1" x14ac:dyDescent="0.45">
      <c r="A235" s="29"/>
      <c r="B235" s="93" t="s">
        <v>289</v>
      </c>
      <c r="K235"/>
      <c r="V235"/>
    </row>
    <row r="236" spans="1:22" x14ac:dyDescent="0.45">
      <c r="B236" s="89" t="s">
        <v>290</v>
      </c>
      <c r="M236" s="73">
        <v>-5.0000000000000001E-3</v>
      </c>
      <c r="N236" s="73">
        <v>-5.0000000000000001E-3</v>
      </c>
      <c r="O236" s="73">
        <v>-5.0000000000000001E-3</v>
      </c>
      <c r="P236" s="73">
        <v>-5.0000000000000001E-3</v>
      </c>
      <c r="Q236" s="73">
        <v>-5.0000000000000001E-3</v>
      </c>
      <c r="R236" s="73">
        <v>-5.0000000000000001E-3</v>
      </c>
      <c r="S236" s="73">
        <v>-5.0000000000000001E-3</v>
      </c>
      <c r="T236" s="73">
        <v>-5.0000000000000001E-3</v>
      </c>
      <c r="U236" s="73">
        <v>-5.0000000000000001E-3</v>
      </c>
    </row>
    <row r="237" spans="1:22" x14ac:dyDescent="0.45">
      <c r="B237" s="89" t="s">
        <v>291</v>
      </c>
    </row>
    <row r="238" spans="1:22" x14ac:dyDescent="0.45">
      <c r="B238" s="89"/>
    </row>
    <row r="239" spans="1:22" s="70" customFormat="1" ht="15" customHeight="1" x14ac:dyDescent="0.45">
      <c r="A239" s="99"/>
      <c r="B239" s="93" t="s">
        <v>95</v>
      </c>
      <c r="K239"/>
      <c r="V239"/>
    </row>
    <row r="240" spans="1:22" ht="15" customHeight="1" x14ac:dyDescent="0.45">
      <c r="A240" s="99"/>
      <c r="B240" s="89" t="s">
        <v>32</v>
      </c>
    </row>
    <row r="241" spans="1:22" ht="15" customHeight="1" x14ac:dyDescent="0.45">
      <c r="A241" s="99"/>
      <c r="B241" s="89"/>
      <c r="C241" s="101"/>
      <c r="D241" s="101"/>
      <c r="E241" s="101"/>
      <c r="F241" s="101"/>
      <c r="G241" s="101"/>
      <c r="H241" s="101"/>
      <c r="I241" s="101"/>
      <c r="J241" s="101"/>
      <c r="K241" s="101"/>
    </row>
    <row r="242" spans="1:22" x14ac:dyDescent="0.45">
      <c r="B242" s="89" t="s">
        <v>241</v>
      </c>
    </row>
    <row r="243" spans="1:22" x14ac:dyDescent="0.45">
      <c r="B243" s="89" t="s">
        <v>292</v>
      </c>
    </row>
    <row r="245" spans="1:22" x14ac:dyDescent="0.45">
      <c r="A245" s="29" t="s">
        <v>106</v>
      </c>
      <c r="M245" s="26"/>
      <c r="N245" s="26"/>
      <c r="O245" s="26"/>
      <c r="P245" s="26"/>
      <c r="Q245" s="26"/>
      <c r="R245" s="26"/>
      <c r="S245" s="26"/>
      <c r="T245" s="26"/>
      <c r="U245" s="26"/>
    </row>
    <row r="246" spans="1:22" x14ac:dyDescent="0.45">
      <c r="B246" s="89" t="s">
        <v>103</v>
      </c>
    </row>
    <row r="247" spans="1:22" x14ac:dyDescent="0.45">
      <c r="B247" s="89" t="s">
        <v>20</v>
      </c>
    </row>
    <row r="248" spans="1:22" x14ac:dyDescent="0.45">
      <c r="B248" s="89" t="s">
        <v>293</v>
      </c>
    </row>
    <row r="249" spans="1:22" x14ac:dyDescent="0.45">
      <c r="B249" s="89" t="str">
        <f>B131</f>
        <v>Cash</v>
      </c>
    </row>
    <row r="250" spans="1:22" x14ac:dyDescent="0.45">
      <c r="B250" s="89" t="str">
        <f>B141</f>
        <v>Short term debt</v>
      </c>
    </row>
    <row r="251" spans="1:22" x14ac:dyDescent="0.45">
      <c r="B251" s="89" t="str">
        <f>B145</f>
        <v>Long term debt</v>
      </c>
    </row>
    <row r="252" spans="1:22" x14ac:dyDescent="0.45">
      <c r="B252" s="89" t="str">
        <f>B146</f>
        <v>Senior debt (Term B)</v>
      </c>
    </row>
    <row r="253" spans="1:22" x14ac:dyDescent="0.45">
      <c r="B253" s="89" t="str">
        <f>B147</f>
        <v>Senior unsecured high yield notes</v>
      </c>
    </row>
    <row r="254" spans="1:22" x14ac:dyDescent="0.45">
      <c r="B254" s="89" t="str">
        <f>B148</f>
        <v>Unitranche</v>
      </c>
    </row>
    <row r="255" spans="1:22" x14ac:dyDescent="0.45">
      <c r="B255" s="89" t="str">
        <f>B149</f>
        <v>Mezzanine</v>
      </c>
    </row>
    <row r="256" spans="1:22" s="70" customFormat="1" x14ac:dyDescent="0.45">
      <c r="A256" s="29"/>
      <c r="B256" s="93" t="s">
        <v>28</v>
      </c>
      <c r="V256"/>
    </row>
    <row r="257" spans="1:22" x14ac:dyDescent="0.45">
      <c r="B257" s="89"/>
    </row>
    <row r="258" spans="1:22" x14ac:dyDescent="0.45">
      <c r="B258" s="93" t="s">
        <v>191</v>
      </c>
    </row>
    <row r="259" spans="1:22" x14ac:dyDescent="0.45">
      <c r="B259" s="89" t="s">
        <v>314</v>
      </c>
    </row>
    <row r="260" spans="1:22" x14ac:dyDescent="0.45">
      <c r="B260" s="89" t="s">
        <v>315</v>
      </c>
    </row>
    <row r="261" spans="1:22" x14ac:dyDescent="0.45">
      <c r="B261" s="89" t="s">
        <v>320</v>
      </c>
    </row>
    <row r="262" spans="1:22" s="70" customFormat="1" x14ac:dyDescent="0.45">
      <c r="A262" s="29"/>
      <c r="B262" s="93" t="s">
        <v>316</v>
      </c>
      <c r="J262"/>
      <c r="V262"/>
    </row>
    <row r="263" spans="1:22" s="70" customFormat="1" x14ac:dyDescent="0.45">
      <c r="A263" s="29"/>
      <c r="B263" s="93" t="s">
        <v>106</v>
      </c>
      <c r="J263"/>
      <c r="L263" s="81"/>
      <c r="V263"/>
    </row>
    <row r="264" spans="1:22" x14ac:dyDescent="0.45">
      <c r="B264" s="89"/>
    </row>
    <row r="265" spans="1:22" x14ac:dyDescent="0.45">
      <c r="B265" s="93" t="s">
        <v>317</v>
      </c>
    </row>
    <row r="266" spans="1:22" x14ac:dyDescent="0.45">
      <c r="B266" s="89" t="s">
        <v>104</v>
      </c>
    </row>
    <row r="267" spans="1:22" s="70" customFormat="1" x14ac:dyDescent="0.45">
      <c r="A267" s="29"/>
      <c r="B267" s="93" t="s">
        <v>318</v>
      </c>
      <c r="J267"/>
      <c r="V267"/>
    </row>
    <row r="268" spans="1:22" s="70" customFormat="1" x14ac:dyDescent="0.45">
      <c r="A268" s="29"/>
      <c r="B268" s="93" t="s">
        <v>106</v>
      </c>
      <c r="J268"/>
      <c r="L268" s="81"/>
      <c r="V268"/>
    </row>
    <row r="269" spans="1:22" x14ac:dyDescent="0.45">
      <c r="B269" s="89"/>
    </row>
    <row r="270" spans="1:22" x14ac:dyDescent="0.45">
      <c r="B270" s="93" t="s">
        <v>312</v>
      </c>
    </row>
    <row r="271" spans="1:22" x14ac:dyDescent="0.45">
      <c r="B271" s="89" t="s">
        <v>104</v>
      </c>
    </row>
    <row r="272" spans="1:22" s="70" customFormat="1" x14ac:dyDescent="0.45">
      <c r="A272" s="29"/>
      <c r="B272" s="93" t="s">
        <v>319</v>
      </c>
      <c r="J272"/>
      <c r="V272"/>
    </row>
    <row r="273" spans="1:12" s="70" customFormat="1" x14ac:dyDescent="0.45">
      <c r="A273" s="29"/>
      <c r="B273" s="93" t="s">
        <v>106</v>
      </c>
      <c r="J273"/>
      <c r="L273" s="81"/>
    </row>
    <row r="274" spans="1:12" x14ac:dyDescent="0.45">
      <c r="B274" s="89"/>
    </row>
    <row r="275" spans="1:12" x14ac:dyDescent="0.45">
      <c r="A275" s="29" t="s">
        <v>23</v>
      </c>
    </row>
    <row r="276" spans="1:12" x14ac:dyDescent="0.45">
      <c r="B276" s="89"/>
    </row>
    <row r="442" spans="2:2" x14ac:dyDescent="0.45">
      <c r="B442" s="89"/>
    </row>
    <row r="443" spans="2:2" x14ac:dyDescent="0.45">
      <c r="B443" s="89"/>
    </row>
    <row r="444" spans="2:2" x14ac:dyDescent="0.45">
      <c r="B444" s="89"/>
    </row>
    <row r="445" spans="2:2" x14ac:dyDescent="0.45">
      <c r="B445" s="89"/>
    </row>
    <row r="446" spans="2:2" x14ac:dyDescent="0.45">
      <c r="B446" s="89"/>
    </row>
    <row r="447" spans="2:2" x14ac:dyDescent="0.45">
      <c r="B447" s="89"/>
    </row>
  </sheetData>
  <dataValidations disablePrompts="1" count="4">
    <dataValidation type="list" allowBlank="1" showInputMessage="1" showErrorMessage="1" sqref="B68" xr:uid="{49A7E00F-3FDE-4B4E-9D83-8D2BCC04EE10}">
      <formula1>"Bank Case, Management Case"</formula1>
    </dataValidation>
    <dataValidation type="list" allowBlank="1" showInputMessage="1" showErrorMessage="1" sqref="C50" xr:uid="{F195B0CA-4379-4A75-BF5E-9890820BED7B}">
      <formula1>"1,2"</formula1>
    </dataValidation>
    <dataValidation type="list" allowBlank="1" showInputMessage="1" showErrorMessage="1" errorTitle="Financial Edge" error="0 = Acceleration off_x000a_1 = Acceleration on" promptTitle="Financial Edge" prompt="0 = Acceleration off_x000a_1 = Acceleration on" sqref="D207 D221 D229" xr:uid="{1A2BD8C8-0240-4E6A-BCE2-1D7AA7EF8506}">
      <formula1>"0,1"</formula1>
    </dataValidation>
    <dataValidation type="list" allowBlank="1" showInputMessage="1" showErrorMessage="1" errorTitle="Financial Edge" error="0 = PIK off_x000a_1 = PIK on" promptTitle="Financial Edge" prompt="0 = PIK off_x000a_1 = PIK on" sqref="D234" xr:uid="{7F72B0E1-A330-479B-9273-AE663F0E2249}">
      <formula1>"0,1"</formula1>
    </dataValidation>
  </dataValidations>
  <printOptions headings="1" gridLines="1"/>
  <pageMargins left="0.31496062992125984" right="0.11811023622047245" top="0.74803149606299213" bottom="0.74803149606299213" header="0" footer="0"/>
  <pageSetup paperSize="9" scale="55" fitToHeight="0" orientation="landscape" r:id="rId1"/>
  <headerFooter>
    <oddHeader>&amp;R&amp;F  &amp;A</oddHeader>
    <oddFooter>&amp;L© 2016&amp;CPage &amp;P of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Z1000"/>
  <sheetViews>
    <sheetView workbookViewId="0"/>
  </sheetViews>
  <sheetFormatPr defaultColWidth="12.59765625" defaultRowHeight="15" customHeight="1" x14ac:dyDescent="0.45"/>
  <cols>
    <col min="1" max="1" width="1.1328125" customWidth="1"/>
    <col min="2" max="2" width="24.265625" customWidth="1"/>
    <col min="3" max="3" width="2.1328125" customWidth="1"/>
    <col min="4" max="4" width="9.59765625" customWidth="1"/>
    <col min="5" max="5" width="2.1328125" customWidth="1"/>
    <col min="6" max="6" width="9.59765625" customWidth="1"/>
    <col min="7" max="7" width="2.1328125" customWidth="1"/>
    <col min="8" max="8" width="9.59765625" customWidth="1"/>
    <col min="9" max="9" width="2.1328125" customWidth="1"/>
    <col min="10" max="10" width="9.59765625" customWidth="1"/>
    <col min="11" max="11" width="2.1328125" customWidth="1"/>
    <col min="12" max="12" width="8.59765625" customWidth="1"/>
    <col min="13" max="13" width="2.1328125" customWidth="1"/>
    <col min="14" max="14" width="8.59765625" customWidth="1"/>
    <col min="15" max="15" width="2.1328125" customWidth="1"/>
    <col min="16" max="16" width="8.59765625" customWidth="1"/>
    <col min="17" max="17" width="2.1328125" customWidth="1"/>
    <col min="18" max="18" width="8" customWidth="1"/>
    <col min="19" max="19" width="2.1328125" customWidth="1"/>
    <col min="20" max="20" width="8" customWidth="1"/>
    <col min="21" max="21" width="2.1328125" customWidth="1"/>
    <col min="22" max="22" width="8" customWidth="1"/>
    <col min="23" max="23" width="2.1328125" customWidth="1"/>
    <col min="24" max="26" width="8" customWidth="1"/>
  </cols>
  <sheetData>
    <row r="1" spans="1:26" ht="45" customHeight="1" x14ac:dyDescent="0.85">
      <c r="A1" s="28" t="s">
        <v>110</v>
      </c>
      <c r="B1" s="28"/>
      <c r="C1" s="28"/>
      <c r="D1" s="28"/>
      <c r="E1" s="28"/>
      <c r="F1" s="28"/>
      <c r="G1" s="28"/>
      <c r="H1" s="28"/>
      <c r="I1" s="28"/>
      <c r="J1" s="28"/>
      <c r="K1" s="28"/>
      <c r="L1" s="28"/>
      <c r="M1" s="28"/>
      <c r="N1" s="28"/>
      <c r="O1" s="28"/>
      <c r="P1" s="28"/>
      <c r="Q1" s="28"/>
      <c r="R1" s="28"/>
      <c r="S1" s="28"/>
      <c r="T1" s="28"/>
      <c r="U1" s="28"/>
      <c r="V1" s="28"/>
      <c r="W1" s="28"/>
      <c r="X1" s="28"/>
      <c r="Y1" s="16"/>
      <c r="Z1" s="16"/>
    </row>
    <row r="2" spans="1:26" ht="15" customHeight="1" x14ac:dyDescent="0.55000000000000004">
      <c r="B2" s="13" t="s">
        <v>111</v>
      </c>
      <c r="D2" s="17"/>
      <c r="T2" s="17" t="s">
        <v>112</v>
      </c>
      <c r="U2" s="17"/>
      <c r="V2" s="17"/>
      <c r="W2" s="17"/>
      <c r="X2" s="17"/>
      <c r="Y2" s="17"/>
      <c r="Z2" s="17"/>
    </row>
    <row r="3" spans="1:26" ht="15" customHeight="1" x14ac:dyDescent="0.55000000000000004">
      <c r="D3" s="17"/>
      <c r="T3" s="17"/>
      <c r="U3" s="17"/>
      <c r="V3" s="17"/>
      <c r="W3" s="17"/>
      <c r="X3" s="17"/>
      <c r="Y3" s="17"/>
      <c r="Z3" s="17"/>
    </row>
    <row r="4" spans="1:26" ht="15" customHeight="1" x14ac:dyDescent="0.45">
      <c r="A4" s="60" t="s">
        <v>39</v>
      </c>
      <c r="B4" s="60"/>
      <c r="C4" s="60"/>
      <c r="D4" s="60"/>
    </row>
    <row r="5" spans="1:26" ht="15" customHeight="1" x14ac:dyDescent="0.45">
      <c r="A5" s="14"/>
      <c r="B5" s="4" t="s">
        <v>40</v>
      </c>
      <c r="D5" s="25" t="s">
        <v>113</v>
      </c>
    </row>
    <row r="6" spans="1:26" ht="15" customHeight="1" x14ac:dyDescent="0.45">
      <c r="A6" s="14"/>
      <c r="B6" s="4" t="s">
        <v>41</v>
      </c>
      <c r="D6" s="4" t="s">
        <v>42</v>
      </c>
    </row>
    <row r="7" spans="1:26" ht="15" customHeight="1" x14ac:dyDescent="0.45">
      <c r="A7" s="14"/>
      <c r="B7" s="4" t="s">
        <v>43</v>
      </c>
      <c r="D7" s="61">
        <v>42482</v>
      </c>
    </row>
    <row r="8" spans="1:26" ht="15" customHeight="1" x14ac:dyDescent="0.45">
      <c r="A8" s="14"/>
      <c r="B8" s="4" t="s">
        <v>45</v>
      </c>
      <c r="D8" s="25" t="s">
        <v>114</v>
      </c>
    </row>
    <row r="9" spans="1:26" ht="15" customHeight="1" x14ac:dyDescent="0.45">
      <c r="A9" s="15"/>
      <c r="B9" s="4" t="s">
        <v>115</v>
      </c>
      <c r="D9" s="25" t="s">
        <v>116</v>
      </c>
    </row>
    <row r="10" spans="1:26" ht="15" customHeight="1" x14ac:dyDescent="0.45">
      <c r="A10" s="14"/>
      <c r="B10" s="4" t="s">
        <v>44</v>
      </c>
      <c r="D10" s="61">
        <v>42369</v>
      </c>
    </row>
    <row r="11" spans="1:26" ht="15" customHeight="1" x14ac:dyDescent="0.45">
      <c r="A11" s="14"/>
      <c r="B11" s="4" t="s">
        <v>46</v>
      </c>
      <c r="D11" s="25" t="s">
        <v>47</v>
      </c>
    </row>
    <row r="12" spans="1:26" ht="15" customHeight="1" x14ac:dyDescent="0.45">
      <c r="A12" s="14"/>
      <c r="B12" s="4" t="s">
        <v>117</v>
      </c>
      <c r="D12" s="25"/>
    </row>
    <row r="13" spans="1:26" ht="15" customHeight="1" x14ac:dyDescent="0.45">
      <c r="A13" s="14"/>
      <c r="B13" s="4" t="str">
        <f>"Closing price as at "&amp;TEXT(D7,"dd-mmm-yy")</f>
        <v>Closing price as at 22-Apr-16</v>
      </c>
      <c r="D13" s="25" t="e">
        <v>#N/A</v>
      </c>
    </row>
    <row r="14" spans="1:26" ht="15" customHeight="1" x14ac:dyDescent="0.45">
      <c r="A14" s="14"/>
      <c r="B14" s="4" t="s">
        <v>48</v>
      </c>
      <c r="D14" s="25" t="e">
        <v>#N/A</v>
      </c>
    </row>
    <row r="15" spans="1:26" ht="15" customHeight="1" x14ac:dyDescent="0.45">
      <c r="A15" s="14"/>
      <c r="B15" s="4" t="s">
        <v>49</v>
      </c>
      <c r="D15" s="25" t="e">
        <v>#N/A</v>
      </c>
    </row>
    <row r="16" spans="1:26" ht="15" customHeight="1" x14ac:dyDescent="0.45">
      <c r="A16" s="14"/>
      <c r="B16" s="4" t="s">
        <v>118</v>
      </c>
      <c r="D16" s="25" t="e">
        <v>#N/A</v>
      </c>
    </row>
    <row r="17" spans="1:4" ht="15" customHeight="1" x14ac:dyDescent="0.45">
      <c r="A17" s="14"/>
      <c r="B17" s="4" t="s">
        <v>119</v>
      </c>
      <c r="D17" s="25" t="s">
        <v>21</v>
      </c>
    </row>
    <row r="18" spans="1:4" ht="15" customHeight="1" x14ac:dyDescent="0.45">
      <c r="A18" s="14"/>
      <c r="B18" s="4" t="s">
        <v>120</v>
      </c>
      <c r="D18" s="25">
        <v>0.6389551</v>
      </c>
    </row>
    <row r="19" spans="1:4" ht="15" customHeight="1" x14ac:dyDescent="0.45">
      <c r="A19" s="14"/>
      <c r="B19" s="4" t="s">
        <v>25</v>
      </c>
      <c r="D19" s="56" t="e">
        <v>#N/A</v>
      </c>
    </row>
    <row r="20" spans="1:4" ht="15" customHeight="1" x14ac:dyDescent="0.45">
      <c r="A20" s="14"/>
      <c r="D20" s="25"/>
    </row>
    <row r="21" spans="1:4" ht="15" customHeight="1" x14ac:dyDescent="0.45">
      <c r="A21" s="14"/>
      <c r="B21" s="4" t="s">
        <v>50</v>
      </c>
      <c r="D21" s="25" t="s">
        <v>121</v>
      </c>
    </row>
    <row r="22" spans="1:4" ht="15" customHeight="1" x14ac:dyDescent="0.45">
      <c r="A22" s="14"/>
      <c r="B22" s="4" t="s">
        <v>122</v>
      </c>
      <c r="D22" s="56" t="s">
        <v>67</v>
      </c>
    </row>
    <row r="23" spans="1:4" ht="15" customHeight="1" x14ac:dyDescent="0.45">
      <c r="A23" s="14"/>
      <c r="D23" s="25"/>
    </row>
    <row r="24" spans="1:4" ht="15" customHeight="1" x14ac:dyDescent="0.45">
      <c r="A24" s="60" t="s">
        <v>123</v>
      </c>
      <c r="B24" s="60"/>
      <c r="C24" s="60"/>
      <c r="D24" s="60"/>
    </row>
    <row r="25" spans="1:4" ht="15" customHeight="1" x14ac:dyDescent="0.45">
      <c r="A25" s="14"/>
      <c r="B25" s="4" t="s">
        <v>124</v>
      </c>
      <c r="D25" s="62">
        <v>0</v>
      </c>
    </row>
    <row r="26" spans="1:4" ht="15" customHeight="1" x14ac:dyDescent="0.45">
      <c r="A26" s="14"/>
      <c r="B26" s="4" t="s">
        <v>125</v>
      </c>
      <c r="D26" s="62">
        <v>0</v>
      </c>
    </row>
    <row r="27" spans="1:4" ht="15" customHeight="1" x14ac:dyDescent="0.45">
      <c r="A27" s="14"/>
      <c r="B27" s="4" t="s">
        <v>37</v>
      </c>
      <c r="D27" s="62">
        <v>67.661361999999997</v>
      </c>
    </row>
    <row r="28" spans="1:4" ht="15" customHeight="1" x14ac:dyDescent="0.45">
      <c r="A28" s="14"/>
      <c r="B28" s="4" t="s">
        <v>54</v>
      </c>
      <c r="D28" s="62">
        <v>510.95299999999997</v>
      </c>
    </row>
    <row r="29" spans="1:4" ht="15" customHeight="1" x14ac:dyDescent="0.45">
      <c r="A29" s="14"/>
      <c r="B29" s="4" t="s">
        <v>126</v>
      </c>
      <c r="D29" s="62">
        <v>6.6109999999999998</v>
      </c>
    </row>
    <row r="30" spans="1:4" ht="15" customHeight="1" x14ac:dyDescent="0.45">
      <c r="A30" s="14"/>
      <c r="B30" s="4" t="s">
        <v>127</v>
      </c>
      <c r="D30" s="62">
        <v>0</v>
      </c>
    </row>
    <row r="31" spans="1:4" ht="15" customHeight="1" x14ac:dyDescent="0.45">
      <c r="A31" s="14"/>
      <c r="B31" s="4" t="s">
        <v>128</v>
      </c>
      <c r="D31" s="63">
        <v>0</v>
      </c>
    </row>
    <row r="32" spans="1:4" ht="15" customHeight="1" x14ac:dyDescent="0.45">
      <c r="A32" s="14"/>
      <c r="B32" s="4" t="s">
        <v>53</v>
      </c>
      <c r="D32" s="64">
        <v>0</v>
      </c>
    </row>
    <row r="33" spans="1:18" ht="15" customHeight="1" x14ac:dyDescent="0.45">
      <c r="A33" s="14"/>
      <c r="B33" s="4" t="s">
        <v>129</v>
      </c>
      <c r="D33" s="62">
        <v>113.08199999999999</v>
      </c>
    </row>
    <row r="34" spans="1:18" ht="15" customHeight="1" x14ac:dyDescent="0.45">
      <c r="A34" s="14"/>
      <c r="B34" s="4" t="s">
        <v>130</v>
      </c>
      <c r="D34" s="62">
        <v>0</v>
      </c>
    </row>
    <row r="35" spans="1:18" ht="15" customHeight="1" x14ac:dyDescent="0.45">
      <c r="A35" s="14"/>
      <c r="B35" s="4" t="s">
        <v>131</v>
      </c>
      <c r="D35" s="62">
        <v>1.84</v>
      </c>
    </row>
    <row r="36" spans="1:18" ht="15" customHeight="1" x14ac:dyDescent="0.45">
      <c r="A36" s="14"/>
      <c r="B36" s="4" t="s">
        <v>132</v>
      </c>
      <c r="D36" s="65">
        <v>0</v>
      </c>
    </row>
    <row r="37" spans="1:18" ht="15.75" customHeight="1" x14ac:dyDescent="0.45">
      <c r="A37" s="14"/>
    </row>
    <row r="38" spans="1:18" ht="15" customHeight="1" x14ac:dyDescent="0.45">
      <c r="A38" s="60" t="s">
        <v>133</v>
      </c>
      <c r="B38" s="60"/>
      <c r="C38" s="60"/>
      <c r="D38" s="60"/>
    </row>
    <row r="39" spans="1:18" ht="15.75" customHeight="1" x14ac:dyDescent="0.45">
      <c r="A39" s="14"/>
      <c r="D39" s="66" t="s">
        <v>134</v>
      </c>
      <c r="F39" s="67" t="s">
        <v>56</v>
      </c>
      <c r="G39" s="67"/>
      <c r="H39" s="67" t="s">
        <v>57</v>
      </c>
      <c r="I39" s="67"/>
      <c r="L39" s="25" t="s">
        <v>58</v>
      </c>
      <c r="N39" s="25" t="s">
        <v>59</v>
      </c>
      <c r="P39" s="25" t="s">
        <v>60</v>
      </c>
      <c r="R39" s="25" t="s">
        <v>61</v>
      </c>
    </row>
    <row r="40" spans="1:18" ht="15" customHeight="1" x14ac:dyDescent="0.45">
      <c r="A40" s="14"/>
      <c r="B40" s="4" t="s">
        <v>7</v>
      </c>
      <c r="D40" s="68" t="str">
        <f>D8</f>
        <v>31/12/2015</v>
      </c>
      <c r="F40" s="50">
        <f>EDATE(H40,-12)</f>
        <v>42094</v>
      </c>
      <c r="H40" s="69">
        <v>42460</v>
      </c>
      <c r="L40" s="50">
        <f>EDATE(D40,12)</f>
        <v>42735</v>
      </c>
      <c r="M40" s="50"/>
      <c r="N40" s="50">
        <f>EDATE(L40,12)</f>
        <v>43100</v>
      </c>
      <c r="O40" s="50"/>
      <c r="P40" s="50">
        <f>EDATE(N40,12)</f>
        <v>43465</v>
      </c>
      <c r="Q40" s="50"/>
      <c r="R40" s="50">
        <f>EDATE(P40,12)</f>
        <v>43830</v>
      </c>
    </row>
    <row r="41" spans="1:18" ht="15" customHeight="1" x14ac:dyDescent="0.45">
      <c r="A41" s="14"/>
      <c r="B41" s="4" t="s">
        <v>135</v>
      </c>
      <c r="D41" s="62">
        <v>547.65499999999997</v>
      </c>
      <c r="F41" s="62">
        <v>138.52000000000001</v>
      </c>
      <c r="H41" s="62">
        <v>147.517</v>
      </c>
      <c r="L41" s="62" t="e">
        <v>#N/A</v>
      </c>
      <c r="N41" s="62" t="e">
        <v>#N/A</v>
      </c>
      <c r="P41" s="62" t="e">
        <v>#N/A</v>
      </c>
      <c r="R41" s="62" t="e">
        <v>#N/A</v>
      </c>
    </row>
    <row r="42" spans="1:18" ht="15" customHeight="1" x14ac:dyDescent="0.45">
      <c r="A42" s="14"/>
      <c r="B42" s="4" t="s">
        <v>19</v>
      </c>
      <c r="D42" s="19">
        <v>100.14100000000001</v>
      </c>
      <c r="F42" s="19">
        <v>25.919</v>
      </c>
      <c r="H42" s="19">
        <v>22.268999999999998</v>
      </c>
      <c r="L42" s="62" t="e">
        <v>#N/A</v>
      </c>
      <c r="N42" s="62" t="e">
        <v>#N/A</v>
      </c>
      <c r="P42" s="62" t="e">
        <v>#N/A</v>
      </c>
      <c r="R42" s="62" t="e">
        <v>#N/A</v>
      </c>
    </row>
    <row r="43" spans="1:18" ht="15" customHeight="1" x14ac:dyDescent="0.45">
      <c r="A43" s="14"/>
      <c r="B43" s="4" t="s">
        <v>38</v>
      </c>
      <c r="D43" s="62">
        <v>21.494</v>
      </c>
      <c r="F43" s="62">
        <v>5.0670000000000002</v>
      </c>
      <c r="H43" s="62">
        <v>6.1520000000000001</v>
      </c>
      <c r="L43" s="19" t="e">
        <f>L44-L42</f>
        <v>#N/A</v>
      </c>
      <c r="N43" s="19" t="e">
        <f>N44-N42</f>
        <v>#N/A</v>
      </c>
      <c r="P43" s="19" t="e">
        <f>P44-P42</f>
        <v>#N/A</v>
      </c>
      <c r="R43" s="19" t="e">
        <f>R44-R42</f>
        <v>#N/A</v>
      </c>
    </row>
    <row r="44" spans="1:18" ht="15" customHeight="1" x14ac:dyDescent="0.45">
      <c r="A44" s="14"/>
      <c r="B44" s="4" t="s">
        <v>20</v>
      </c>
      <c r="D44" s="62">
        <f>D42+D43</f>
        <v>121.63500000000001</v>
      </c>
      <c r="F44" s="62">
        <f>F42+F43</f>
        <v>30.986000000000001</v>
      </c>
      <c r="H44" s="62">
        <f>H42+H43</f>
        <v>28.420999999999999</v>
      </c>
      <c r="L44" s="64" t="e">
        <v>#N/A</v>
      </c>
      <c r="N44" s="64" t="e">
        <v>#N/A</v>
      </c>
      <c r="P44" s="64" t="e">
        <v>#N/A</v>
      </c>
      <c r="R44" s="64" t="e">
        <v>#N/A</v>
      </c>
    </row>
    <row r="45" spans="1:18" ht="15" customHeight="1" x14ac:dyDescent="0.45">
      <c r="A45" s="14"/>
      <c r="B45" s="4" t="s">
        <v>136</v>
      </c>
      <c r="D45" s="62">
        <v>0.34699999999999998</v>
      </c>
      <c r="F45" s="62">
        <v>0.08</v>
      </c>
      <c r="H45" s="62">
        <v>0</v>
      </c>
      <c r="L45" s="62" t="e">
        <v>#N/A</v>
      </c>
      <c r="N45" s="62" t="e">
        <v>#N/A</v>
      </c>
      <c r="P45" s="62" t="e">
        <v>#N/A</v>
      </c>
      <c r="R45" s="62" t="e">
        <v>#N/A</v>
      </c>
    </row>
    <row r="46" spans="1:18" ht="15" customHeight="1" x14ac:dyDescent="0.45">
      <c r="A46" s="14"/>
      <c r="B46" s="4" t="s">
        <v>137</v>
      </c>
      <c r="D46" s="62">
        <v>50.619</v>
      </c>
      <c r="F46" s="62">
        <v>16.303000000000001</v>
      </c>
      <c r="H46" s="62">
        <v>50.619</v>
      </c>
      <c r="L46" s="62" t="e">
        <v>#N/A</v>
      </c>
      <c r="N46" s="62" t="e">
        <v>#N/A</v>
      </c>
      <c r="P46" s="62" t="e">
        <v>#N/A</v>
      </c>
      <c r="R46" s="62" t="e">
        <v>#N/A</v>
      </c>
    </row>
    <row r="47" spans="1:18" ht="15.75" customHeight="1" x14ac:dyDescent="0.45">
      <c r="A47" s="14"/>
    </row>
    <row r="48" spans="1:18" ht="15.75" customHeight="1" x14ac:dyDescent="0.45">
      <c r="A48" s="14"/>
    </row>
    <row r="49" spans="1:7" ht="15" customHeight="1" x14ac:dyDescent="0.45">
      <c r="A49" s="60" t="s">
        <v>138</v>
      </c>
      <c r="B49" s="60"/>
      <c r="C49" s="60"/>
      <c r="D49" s="60"/>
      <c r="E49" s="60"/>
      <c r="F49" s="60"/>
      <c r="G49" s="60"/>
    </row>
    <row r="50" spans="1:7" ht="15" customHeight="1" x14ac:dyDescent="0.45">
      <c r="A50" s="14"/>
      <c r="B50" s="4" t="s">
        <v>51</v>
      </c>
      <c r="D50" s="4" t="s">
        <v>52</v>
      </c>
      <c r="F50" s="4" t="s">
        <v>139</v>
      </c>
    </row>
    <row r="51" spans="1:7" ht="15" customHeight="1" x14ac:dyDescent="0.45">
      <c r="A51" s="14"/>
      <c r="B51" s="4" t="s">
        <v>140</v>
      </c>
      <c r="D51" s="63">
        <v>0</v>
      </c>
      <c r="F51" s="65">
        <v>0</v>
      </c>
    </row>
    <row r="52" spans="1:7" ht="15" customHeight="1" x14ac:dyDescent="0.45">
      <c r="A52" s="14"/>
      <c r="B52" s="4" t="s">
        <v>141</v>
      </c>
      <c r="D52" s="63">
        <v>0</v>
      </c>
      <c r="F52" s="65">
        <v>0</v>
      </c>
    </row>
    <row r="53" spans="1:7" ht="15" customHeight="1" x14ac:dyDescent="0.45">
      <c r="A53" s="14"/>
      <c r="B53" s="4" t="s">
        <v>142</v>
      </c>
      <c r="D53" s="63">
        <v>0</v>
      </c>
      <c r="F53" s="65">
        <v>0</v>
      </c>
    </row>
    <row r="54" spans="1:7" ht="15" customHeight="1" x14ac:dyDescent="0.45">
      <c r="A54" s="14"/>
      <c r="B54" s="4" t="s">
        <v>143</v>
      </c>
      <c r="D54" s="63">
        <v>0</v>
      </c>
      <c r="F54" s="65">
        <v>0</v>
      </c>
    </row>
    <row r="55" spans="1:7" ht="15" customHeight="1" x14ac:dyDescent="0.45">
      <c r="A55" s="14"/>
      <c r="B55" s="4" t="s">
        <v>144</v>
      </c>
      <c r="D55" s="63">
        <v>0</v>
      </c>
      <c r="F55" s="65">
        <v>0</v>
      </c>
    </row>
    <row r="56" spans="1:7" ht="15" customHeight="1" x14ac:dyDescent="0.45">
      <c r="A56" s="14"/>
      <c r="B56" s="4" t="s">
        <v>145</v>
      </c>
      <c r="D56" s="63">
        <v>0</v>
      </c>
      <c r="F56" s="65">
        <v>0</v>
      </c>
    </row>
    <row r="57" spans="1:7" ht="15" customHeight="1" x14ac:dyDescent="0.45">
      <c r="A57" s="14"/>
      <c r="B57" s="4" t="s">
        <v>146</v>
      </c>
      <c r="D57" s="63">
        <v>0</v>
      </c>
      <c r="F57" s="65">
        <v>0</v>
      </c>
    </row>
    <row r="58" spans="1:7" ht="15" customHeight="1" x14ac:dyDescent="0.45">
      <c r="A58" s="14"/>
      <c r="B58" s="4" t="s">
        <v>147</v>
      </c>
      <c r="D58" s="63">
        <v>0</v>
      </c>
      <c r="F58" s="65">
        <v>0</v>
      </c>
    </row>
    <row r="59" spans="1:7" ht="15" customHeight="1" x14ac:dyDescent="0.45">
      <c r="A59" s="14"/>
      <c r="B59" s="4" t="s">
        <v>55</v>
      </c>
    </row>
    <row r="60" spans="1:7" ht="15.75" customHeight="1" x14ac:dyDescent="0.45">
      <c r="A60" s="14"/>
    </row>
    <row r="61" spans="1:7" ht="15" customHeight="1" x14ac:dyDescent="0.45">
      <c r="B61" s="4" t="s">
        <v>148</v>
      </c>
      <c r="F61" s="65">
        <v>0</v>
      </c>
    </row>
    <row r="62" spans="1:7" ht="15" customHeight="1" x14ac:dyDescent="0.45">
      <c r="A62" s="14"/>
      <c r="B62" s="4" t="s">
        <v>149</v>
      </c>
      <c r="F62" s="65">
        <v>0</v>
      </c>
    </row>
    <row r="63" spans="1:7" ht="15" customHeight="1" x14ac:dyDescent="0.45">
      <c r="A63" s="14"/>
      <c r="B63" s="4" t="s">
        <v>150</v>
      </c>
      <c r="F63" s="65">
        <v>0</v>
      </c>
    </row>
    <row r="64" spans="1:7" ht="15" customHeight="1" x14ac:dyDescent="0.45">
      <c r="A64" s="14"/>
      <c r="B64" s="4" t="s">
        <v>151</v>
      </c>
      <c r="F64" s="65">
        <v>0</v>
      </c>
    </row>
    <row r="65" spans="1:6" ht="15" customHeight="1" x14ac:dyDescent="0.45">
      <c r="A65" s="14"/>
      <c r="B65" s="4" t="s">
        <v>33</v>
      </c>
      <c r="F65" s="65">
        <v>0</v>
      </c>
    </row>
    <row r="66" spans="1:6" ht="15" customHeight="1" x14ac:dyDescent="0.45">
      <c r="A66" s="14"/>
      <c r="B66" s="4" t="s">
        <v>152</v>
      </c>
      <c r="F66" s="65">
        <v>0</v>
      </c>
    </row>
    <row r="67" spans="1:6" ht="15" customHeight="1" x14ac:dyDescent="0.45">
      <c r="A67" s="14"/>
      <c r="B67" s="4" t="s">
        <v>153</v>
      </c>
      <c r="F67" s="65">
        <v>39.268000000000001</v>
      </c>
    </row>
    <row r="68" spans="1:6" ht="15.75" customHeight="1" x14ac:dyDescent="0.45">
      <c r="A68" s="14"/>
    </row>
    <row r="69" spans="1:6" ht="15.75" customHeight="1" x14ac:dyDescent="0.45">
      <c r="A69" s="14"/>
    </row>
    <row r="70" spans="1:6" ht="15.75" customHeight="1" x14ac:dyDescent="0.45">
      <c r="A70" s="14"/>
    </row>
    <row r="111" spans="1:1" ht="15.75" customHeight="1" x14ac:dyDescent="0.45">
      <c r="A111" s="14"/>
    </row>
    <row r="112" spans="1:1" ht="15.75" customHeight="1" x14ac:dyDescent="0.45">
      <c r="A112" s="14"/>
    </row>
    <row r="113" spans="1:1" ht="15.75" customHeight="1" x14ac:dyDescent="0.45">
      <c r="A113" s="14"/>
    </row>
    <row r="114" spans="1:1" ht="15.75" customHeight="1" x14ac:dyDescent="0.45">
      <c r="A114" s="14"/>
    </row>
    <row r="115" spans="1:1" ht="15.75" customHeight="1" x14ac:dyDescent="0.45">
      <c r="A115" s="14"/>
    </row>
    <row r="116" spans="1:1" ht="15.75" customHeight="1" x14ac:dyDescent="0.45">
      <c r="A116" s="14"/>
    </row>
    <row r="117" spans="1:1" ht="15.75" customHeight="1" x14ac:dyDescent="0.45">
      <c r="A117" s="14"/>
    </row>
    <row r="118" spans="1:1" ht="15.75" customHeight="1" x14ac:dyDescent="0.45">
      <c r="A118" s="14"/>
    </row>
    <row r="119" spans="1:1" ht="15.75" customHeight="1" x14ac:dyDescent="0.45">
      <c r="A119" s="14"/>
    </row>
    <row r="120" spans="1:1" ht="15.75" customHeight="1" x14ac:dyDescent="0.45">
      <c r="A120" s="14"/>
    </row>
    <row r="121" spans="1:1" ht="15.75" customHeight="1" x14ac:dyDescent="0.45">
      <c r="A121" s="14"/>
    </row>
    <row r="122" spans="1:1" ht="15.75" customHeight="1" x14ac:dyDescent="0.45">
      <c r="A122" s="14"/>
    </row>
    <row r="123" spans="1:1" ht="15.75" customHeight="1" x14ac:dyDescent="0.45">
      <c r="A123" s="14"/>
    </row>
    <row r="124" spans="1:1" ht="15.75" customHeight="1" x14ac:dyDescent="0.45">
      <c r="A124" s="14"/>
    </row>
    <row r="125" spans="1:1" ht="15.75" customHeight="1" x14ac:dyDescent="0.45">
      <c r="A125" s="14"/>
    </row>
    <row r="126" spans="1:1" ht="15.75" customHeight="1" x14ac:dyDescent="0.45">
      <c r="A126" s="14"/>
    </row>
    <row r="127" spans="1:1" ht="15.75" customHeight="1" x14ac:dyDescent="0.45">
      <c r="A127" s="14"/>
    </row>
    <row r="128" spans="1:1" ht="15.75" customHeight="1" x14ac:dyDescent="0.45">
      <c r="A128" s="14"/>
    </row>
    <row r="129" spans="1:1" ht="15.75" customHeight="1" x14ac:dyDescent="0.45">
      <c r="A129" s="14"/>
    </row>
    <row r="130" spans="1:1" ht="15.75" customHeight="1" x14ac:dyDescent="0.45">
      <c r="A130" s="14"/>
    </row>
    <row r="131" spans="1:1" ht="15.75" customHeight="1" x14ac:dyDescent="0.45">
      <c r="A131" s="14"/>
    </row>
    <row r="132" spans="1:1" ht="15.75" customHeight="1" x14ac:dyDescent="0.45">
      <c r="A132" s="14"/>
    </row>
    <row r="133" spans="1:1" ht="15.75" customHeight="1" x14ac:dyDescent="0.45">
      <c r="A133" s="14"/>
    </row>
    <row r="134" spans="1:1" ht="15.75" customHeight="1" x14ac:dyDescent="0.45">
      <c r="A134" s="14"/>
    </row>
    <row r="135" spans="1:1" ht="15.75" customHeight="1" x14ac:dyDescent="0.45">
      <c r="A135" s="14"/>
    </row>
    <row r="136" spans="1:1" ht="15.75" customHeight="1" x14ac:dyDescent="0.45">
      <c r="A136" s="14"/>
    </row>
    <row r="137" spans="1:1" ht="15.75" customHeight="1" x14ac:dyDescent="0.45">
      <c r="A137" s="14"/>
    </row>
    <row r="138" spans="1:1" ht="15.75" customHeight="1" x14ac:dyDescent="0.45">
      <c r="A138" s="14"/>
    </row>
    <row r="139" spans="1:1" ht="15.75" customHeight="1" x14ac:dyDescent="0.45">
      <c r="A139" s="14"/>
    </row>
    <row r="140" spans="1:1" ht="15.75" customHeight="1" x14ac:dyDescent="0.45">
      <c r="A140" s="14"/>
    </row>
    <row r="141" spans="1:1" ht="15.75" customHeight="1" x14ac:dyDescent="0.45">
      <c r="A141" s="14"/>
    </row>
    <row r="142" spans="1:1" ht="15.75" customHeight="1" x14ac:dyDescent="0.45">
      <c r="A142" s="14"/>
    </row>
    <row r="143" spans="1:1" ht="15.75" customHeight="1" x14ac:dyDescent="0.45">
      <c r="A143" s="14"/>
    </row>
    <row r="144" spans="1:1" ht="15.75" customHeight="1" x14ac:dyDescent="0.45">
      <c r="A144" s="14"/>
    </row>
    <row r="145" spans="1:1" ht="15.75" customHeight="1" x14ac:dyDescent="0.45">
      <c r="A145" s="14"/>
    </row>
    <row r="146" spans="1:1" ht="15.75" customHeight="1" x14ac:dyDescent="0.45">
      <c r="A146" s="14"/>
    </row>
    <row r="147" spans="1:1" ht="15.75" customHeight="1" x14ac:dyDescent="0.45">
      <c r="A147" s="14"/>
    </row>
    <row r="148" spans="1:1" ht="15.75" customHeight="1" x14ac:dyDescent="0.45">
      <c r="A148" s="14"/>
    </row>
    <row r="149" spans="1:1" ht="15.75" customHeight="1" x14ac:dyDescent="0.45">
      <c r="A149" s="14"/>
    </row>
    <row r="150" spans="1:1" ht="15.75" customHeight="1" x14ac:dyDescent="0.45">
      <c r="A150" s="14"/>
    </row>
    <row r="151" spans="1:1" ht="15.75" customHeight="1" x14ac:dyDescent="0.45">
      <c r="A151" s="14"/>
    </row>
    <row r="152" spans="1:1" ht="15.75" customHeight="1" x14ac:dyDescent="0.45">
      <c r="A152" s="14"/>
    </row>
    <row r="153" spans="1:1" ht="15.75" customHeight="1" x14ac:dyDescent="0.45">
      <c r="A153" s="14"/>
    </row>
    <row r="154" spans="1:1" ht="15.75" customHeight="1" x14ac:dyDescent="0.45">
      <c r="A154" s="14"/>
    </row>
    <row r="155" spans="1:1" ht="15.75" customHeight="1" x14ac:dyDescent="0.45">
      <c r="A155" s="14"/>
    </row>
    <row r="156" spans="1:1" ht="15.75" customHeight="1" x14ac:dyDescent="0.45">
      <c r="A156" s="14"/>
    </row>
    <row r="157" spans="1:1" ht="15.75" customHeight="1" x14ac:dyDescent="0.45">
      <c r="A157" s="14"/>
    </row>
    <row r="158" spans="1:1" ht="15.75" customHeight="1" x14ac:dyDescent="0.45">
      <c r="A158" s="14"/>
    </row>
    <row r="159" spans="1:1" ht="15.75" customHeight="1" x14ac:dyDescent="0.45">
      <c r="A159" s="14"/>
    </row>
    <row r="160" spans="1:1" ht="15.75" customHeight="1" x14ac:dyDescent="0.45">
      <c r="A160" s="14"/>
    </row>
    <row r="161" spans="1:1" ht="15.75" customHeight="1" x14ac:dyDescent="0.45">
      <c r="A161" s="14"/>
    </row>
    <row r="162" spans="1:1" ht="15.75" customHeight="1" x14ac:dyDescent="0.45">
      <c r="A162" s="14"/>
    </row>
    <row r="163" spans="1:1" ht="15.75" customHeight="1" x14ac:dyDescent="0.45">
      <c r="A163" s="14"/>
    </row>
    <row r="164" spans="1:1" ht="15.75" customHeight="1" x14ac:dyDescent="0.45">
      <c r="A164" s="14"/>
    </row>
    <row r="165" spans="1:1" ht="15.75" customHeight="1" x14ac:dyDescent="0.45">
      <c r="A165" s="14"/>
    </row>
    <row r="166" spans="1:1" ht="15.75" customHeight="1" x14ac:dyDescent="0.45">
      <c r="A166" s="14"/>
    </row>
    <row r="167" spans="1:1" ht="15.75" customHeight="1" x14ac:dyDescent="0.45">
      <c r="A167" s="14"/>
    </row>
    <row r="168" spans="1:1" ht="15.75" customHeight="1" x14ac:dyDescent="0.45">
      <c r="A168" s="14"/>
    </row>
    <row r="169" spans="1:1" ht="15.75" customHeight="1" x14ac:dyDescent="0.45">
      <c r="A169" s="14"/>
    </row>
    <row r="170" spans="1:1" ht="15.75" customHeight="1" x14ac:dyDescent="0.45">
      <c r="A170" s="14"/>
    </row>
    <row r="171" spans="1:1" ht="15.75" customHeight="1" x14ac:dyDescent="0.45">
      <c r="A171" s="14"/>
    </row>
    <row r="172" spans="1:1" ht="15.75" customHeight="1" x14ac:dyDescent="0.45">
      <c r="A172" s="14"/>
    </row>
    <row r="173" spans="1:1" ht="15.75" customHeight="1" x14ac:dyDescent="0.45">
      <c r="A173" s="14"/>
    </row>
    <row r="174" spans="1:1" ht="15.75" customHeight="1" x14ac:dyDescent="0.45">
      <c r="A174" s="14"/>
    </row>
    <row r="175" spans="1:1" ht="15.75" customHeight="1" x14ac:dyDescent="0.45">
      <c r="A175" s="14"/>
    </row>
    <row r="176" spans="1:1" ht="15.75" customHeight="1" x14ac:dyDescent="0.45">
      <c r="A176" s="14"/>
    </row>
    <row r="177" spans="1:1" ht="15.75" customHeight="1" x14ac:dyDescent="0.45">
      <c r="A177" s="14"/>
    </row>
    <row r="178" spans="1:1" ht="15.75" customHeight="1" x14ac:dyDescent="0.45">
      <c r="A178" s="14"/>
    </row>
    <row r="179" spans="1:1" ht="15.75" customHeight="1" x14ac:dyDescent="0.45">
      <c r="A179" s="14"/>
    </row>
    <row r="180" spans="1:1" ht="15.75" customHeight="1" x14ac:dyDescent="0.45">
      <c r="A180" s="14"/>
    </row>
    <row r="181" spans="1:1" ht="15.75" customHeight="1" x14ac:dyDescent="0.45">
      <c r="A181" s="14"/>
    </row>
    <row r="182" spans="1:1" ht="15.75" customHeight="1" x14ac:dyDescent="0.45">
      <c r="A182" s="14"/>
    </row>
    <row r="183" spans="1:1" ht="15.75" customHeight="1" x14ac:dyDescent="0.45">
      <c r="A183" s="14"/>
    </row>
    <row r="184" spans="1:1" ht="15.75" customHeight="1" x14ac:dyDescent="0.45">
      <c r="A184" s="14"/>
    </row>
    <row r="185" spans="1:1" ht="15.75" customHeight="1" x14ac:dyDescent="0.45">
      <c r="A185" s="14"/>
    </row>
    <row r="186" spans="1:1" ht="15.75" customHeight="1" x14ac:dyDescent="0.45">
      <c r="A186" s="14"/>
    </row>
    <row r="187" spans="1:1" ht="15.75" customHeight="1" x14ac:dyDescent="0.45">
      <c r="A187" s="14"/>
    </row>
    <row r="188" spans="1:1" ht="15.75" customHeight="1" x14ac:dyDescent="0.45">
      <c r="A188" s="14"/>
    </row>
    <row r="189" spans="1:1" ht="15.75" customHeight="1" x14ac:dyDescent="0.45">
      <c r="A189" s="14"/>
    </row>
    <row r="190" spans="1:1" ht="15.75" customHeight="1" x14ac:dyDescent="0.45">
      <c r="A190" s="14"/>
    </row>
    <row r="191" spans="1:1" ht="15.75" customHeight="1" x14ac:dyDescent="0.45">
      <c r="A191" s="14"/>
    </row>
    <row r="192" spans="1:1" ht="15.75" customHeight="1" x14ac:dyDescent="0.45">
      <c r="A192" s="14"/>
    </row>
    <row r="193" spans="1:1" ht="15.75" customHeight="1" x14ac:dyDescent="0.45">
      <c r="A193" s="14"/>
    </row>
    <row r="194" spans="1:1" ht="15.75" customHeight="1" x14ac:dyDescent="0.45">
      <c r="A194" s="14"/>
    </row>
    <row r="195" spans="1:1" ht="15.75" customHeight="1" x14ac:dyDescent="0.45">
      <c r="A195" s="14"/>
    </row>
    <row r="196" spans="1:1" ht="15.75" customHeight="1" x14ac:dyDescent="0.45">
      <c r="A196" s="14"/>
    </row>
    <row r="197" spans="1:1" ht="15.75" customHeight="1" x14ac:dyDescent="0.45">
      <c r="A197" s="14"/>
    </row>
    <row r="198" spans="1:1" ht="15.75" customHeight="1" x14ac:dyDescent="0.45">
      <c r="A198" s="14"/>
    </row>
    <row r="199" spans="1:1" ht="15.75" customHeight="1" x14ac:dyDescent="0.45">
      <c r="A199" s="14"/>
    </row>
    <row r="200" spans="1:1" ht="15.75" customHeight="1" x14ac:dyDescent="0.45">
      <c r="A200" s="14"/>
    </row>
    <row r="201" spans="1:1" ht="15.75" customHeight="1" x14ac:dyDescent="0.45">
      <c r="A201" s="14"/>
    </row>
    <row r="202" spans="1:1" ht="15.75" customHeight="1" x14ac:dyDescent="0.45">
      <c r="A202" s="14"/>
    </row>
    <row r="203" spans="1:1" ht="15.75" customHeight="1" x14ac:dyDescent="0.45">
      <c r="A203" s="14"/>
    </row>
    <row r="204" spans="1:1" ht="15.75" customHeight="1" x14ac:dyDescent="0.45">
      <c r="A204" s="14"/>
    </row>
    <row r="205" spans="1:1" ht="15.75" customHeight="1" x14ac:dyDescent="0.45">
      <c r="A205" s="14"/>
    </row>
    <row r="206" spans="1:1" ht="15.75" customHeight="1" x14ac:dyDescent="0.45">
      <c r="A206" s="14"/>
    </row>
    <row r="207" spans="1:1" ht="15.75" customHeight="1" x14ac:dyDescent="0.45">
      <c r="A207" s="14"/>
    </row>
    <row r="208" spans="1:1" ht="15.75" customHeight="1" x14ac:dyDescent="0.45">
      <c r="A208" s="14"/>
    </row>
    <row r="209" spans="1:1" ht="15.75" customHeight="1" x14ac:dyDescent="0.45">
      <c r="A209" s="14"/>
    </row>
    <row r="210" spans="1:1" ht="15.75" customHeight="1" x14ac:dyDescent="0.45">
      <c r="A210" s="14"/>
    </row>
    <row r="211" spans="1:1" ht="15.75" customHeight="1" x14ac:dyDescent="0.45">
      <c r="A211" s="14"/>
    </row>
    <row r="212" spans="1:1" ht="15.75" customHeight="1" x14ac:dyDescent="0.45">
      <c r="A212" s="14"/>
    </row>
    <row r="213" spans="1:1" ht="15.75" customHeight="1" x14ac:dyDescent="0.45">
      <c r="A213" s="14"/>
    </row>
    <row r="214" spans="1:1" ht="15.75" customHeight="1" x14ac:dyDescent="0.45">
      <c r="A214" s="14"/>
    </row>
    <row r="215" spans="1:1" ht="15.75" customHeight="1" x14ac:dyDescent="0.45">
      <c r="A215" s="14"/>
    </row>
    <row r="216" spans="1:1" ht="15.75" customHeight="1" x14ac:dyDescent="0.45">
      <c r="A216" s="14"/>
    </row>
    <row r="217" spans="1:1" ht="15.75" customHeight="1" x14ac:dyDescent="0.45">
      <c r="A217" s="14"/>
    </row>
    <row r="218" spans="1:1" ht="15.75" customHeight="1" x14ac:dyDescent="0.45">
      <c r="A218" s="14"/>
    </row>
    <row r="219" spans="1:1" ht="15.75" customHeight="1" x14ac:dyDescent="0.45">
      <c r="A219" s="14"/>
    </row>
    <row r="220" spans="1:1" ht="15.75" customHeight="1" x14ac:dyDescent="0.45">
      <c r="A220" s="14"/>
    </row>
    <row r="221" spans="1:1" ht="15.75" customHeight="1" x14ac:dyDescent="0.45">
      <c r="A221" s="14"/>
    </row>
    <row r="222" spans="1:1" ht="15.75" customHeight="1" x14ac:dyDescent="0.45">
      <c r="A222" s="14"/>
    </row>
    <row r="223" spans="1:1" ht="15.75" customHeight="1" x14ac:dyDescent="0.45">
      <c r="A223" s="14"/>
    </row>
    <row r="224" spans="1:1" ht="15.75" customHeight="1" x14ac:dyDescent="0.45">
      <c r="A224" s="14"/>
    </row>
    <row r="225" spans="1:1" ht="15.75" customHeight="1" x14ac:dyDescent="0.45">
      <c r="A225" s="14"/>
    </row>
    <row r="226" spans="1:1" ht="15.75" customHeight="1" x14ac:dyDescent="0.45">
      <c r="A226" s="14"/>
    </row>
    <row r="227" spans="1:1" ht="15.75" customHeight="1" x14ac:dyDescent="0.45">
      <c r="A227" s="14"/>
    </row>
    <row r="228" spans="1:1" ht="15.75" customHeight="1" x14ac:dyDescent="0.45">
      <c r="A228" s="14"/>
    </row>
    <row r="229" spans="1:1" ht="15.75" customHeight="1" x14ac:dyDescent="0.45">
      <c r="A229" s="14"/>
    </row>
    <row r="230" spans="1:1" ht="15.75" customHeight="1" x14ac:dyDescent="0.45">
      <c r="A230" s="14"/>
    </row>
    <row r="231" spans="1:1" ht="15.75" customHeight="1" x14ac:dyDescent="0.45">
      <c r="A231" s="14"/>
    </row>
    <row r="232" spans="1:1" ht="15.75" customHeight="1" x14ac:dyDescent="0.45">
      <c r="A232" s="14"/>
    </row>
    <row r="233" spans="1:1" ht="15.75" customHeight="1" x14ac:dyDescent="0.45">
      <c r="A233" s="14"/>
    </row>
    <row r="234" spans="1:1" ht="15.75" customHeight="1" x14ac:dyDescent="0.45">
      <c r="A234" s="14"/>
    </row>
    <row r="235" spans="1:1" ht="15.75" customHeight="1" x14ac:dyDescent="0.45">
      <c r="A235" s="14"/>
    </row>
    <row r="236" spans="1:1" ht="15.75" customHeight="1" x14ac:dyDescent="0.45">
      <c r="A236" s="14"/>
    </row>
    <row r="237" spans="1:1" ht="15.75" customHeight="1" x14ac:dyDescent="0.45">
      <c r="A237" s="14"/>
    </row>
    <row r="238" spans="1:1" ht="15.75" customHeight="1" x14ac:dyDescent="0.45">
      <c r="A238" s="14"/>
    </row>
    <row r="239" spans="1:1" ht="15.75" customHeight="1" x14ac:dyDescent="0.45">
      <c r="A239" s="14"/>
    </row>
    <row r="240" spans="1:1" ht="15.75" customHeight="1" x14ac:dyDescent="0.45">
      <c r="A240" s="14"/>
    </row>
    <row r="241" spans="1:1" ht="15.75" customHeight="1" x14ac:dyDescent="0.45">
      <c r="A241" s="14"/>
    </row>
    <row r="242" spans="1:1" ht="15.75" customHeight="1" x14ac:dyDescent="0.45">
      <c r="A242" s="14"/>
    </row>
    <row r="243" spans="1:1" ht="15.75" customHeight="1" x14ac:dyDescent="0.45">
      <c r="A243" s="14"/>
    </row>
    <row r="244" spans="1:1" ht="15.75" customHeight="1" x14ac:dyDescent="0.45">
      <c r="A244" s="14"/>
    </row>
    <row r="245" spans="1:1" ht="15.75" customHeight="1" x14ac:dyDescent="0.45">
      <c r="A245" s="14"/>
    </row>
    <row r="246" spans="1:1" ht="15.75" customHeight="1" x14ac:dyDescent="0.45">
      <c r="A246" s="14"/>
    </row>
    <row r="247" spans="1:1" ht="15.75" customHeight="1" x14ac:dyDescent="0.45">
      <c r="A247" s="14"/>
    </row>
    <row r="248" spans="1:1" ht="15.75" customHeight="1" x14ac:dyDescent="0.45">
      <c r="A248" s="14"/>
    </row>
    <row r="249" spans="1:1" ht="15.75" customHeight="1" x14ac:dyDescent="0.45">
      <c r="A249" s="14"/>
    </row>
    <row r="250" spans="1:1" ht="15.75" customHeight="1" x14ac:dyDescent="0.45">
      <c r="A250" s="14"/>
    </row>
    <row r="251" spans="1:1" ht="15.75" customHeight="1" x14ac:dyDescent="0.45">
      <c r="A251" s="14"/>
    </row>
    <row r="252" spans="1:1" ht="15.75" customHeight="1" x14ac:dyDescent="0.45">
      <c r="A252" s="14"/>
    </row>
    <row r="253" spans="1:1" ht="15.75" customHeight="1" x14ac:dyDescent="0.45">
      <c r="A253" s="14"/>
    </row>
    <row r="254" spans="1:1" ht="15.75" customHeight="1" x14ac:dyDescent="0.45">
      <c r="A254" s="14"/>
    </row>
    <row r="255" spans="1:1" ht="15.75" customHeight="1" x14ac:dyDescent="0.45">
      <c r="A255" s="14"/>
    </row>
    <row r="256" spans="1:1" ht="15.75" customHeight="1" x14ac:dyDescent="0.45">
      <c r="A256" s="14"/>
    </row>
    <row r="257" spans="1:1" ht="15.75" customHeight="1" x14ac:dyDescent="0.45">
      <c r="A257" s="14"/>
    </row>
    <row r="258" spans="1:1" ht="15.75" customHeight="1" x14ac:dyDescent="0.45">
      <c r="A258" s="14"/>
    </row>
    <row r="259" spans="1:1" ht="15.75" customHeight="1" x14ac:dyDescent="0.45">
      <c r="A259" s="14"/>
    </row>
    <row r="260" spans="1:1" ht="15.75" customHeight="1" x14ac:dyDescent="0.45">
      <c r="A260" s="14"/>
    </row>
    <row r="261" spans="1:1" ht="15.75" customHeight="1" x14ac:dyDescent="0.45">
      <c r="A261" s="14"/>
    </row>
    <row r="262" spans="1:1" ht="15.75" customHeight="1" x14ac:dyDescent="0.45">
      <c r="A262" s="14"/>
    </row>
    <row r="263" spans="1:1" ht="15.75" customHeight="1" x14ac:dyDescent="0.45">
      <c r="A263" s="14"/>
    </row>
    <row r="264" spans="1:1" ht="15.75" customHeight="1" x14ac:dyDescent="0.45">
      <c r="A264" s="14"/>
    </row>
    <row r="265" spans="1:1" ht="15.75" customHeight="1" x14ac:dyDescent="0.45">
      <c r="A265" s="14"/>
    </row>
    <row r="266" spans="1:1" ht="15.75" customHeight="1" x14ac:dyDescent="0.45">
      <c r="A266" s="14"/>
    </row>
    <row r="267" spans="1:1" ht="15.75" customHeight="1" x14ac:dyDescent="0.45">
      <c r="A267" s="14"/>
    </row>
    <row r="268" spans="1:1" ht="15.75" customHeight="1" x14ac:dyDescent="0.45">
      <c r="A268" s="14"/>
    </row>
    <row r="269" spans="1:1" ht="15.75" customHeight="1" x14ac:dyDescent="0.45">
      <c r="A269" s="14"/>
    </row>
    <row r="270" spans="1:1" ht="15.75" customHeight="1" x14ac:dyDescent="0.45">
      <c r="A270" s="14"/>
    </row>
    <row r="271" spans="1:1" ht="15.75" customHeight="1" x14ac:dyDescent="0.45">
      <c r="A271" s="14"/>
    </row>
    <row r="272" spans="1:1" ht="15.75" customHeight="1" x14ac:dyDescent="0.45">
      <c r="A272" s="14"/>
    </row>
    <row r="273" spans="1:1" ht="15.75" customHeight="1" x14ac:dyDescent="0.45">
      <c r="A273" s="14"/>
    </row>
    <row r="274" spans="1:1" ht="15.75" customHeight="1" x14ac:dyDescent="0.45">
      <c r="A274" s="14"/>
    </row>
    <row r="275" spans="1:1" ht="15.75" customHeight="1" x14ac:dyDescent="0.45">
      <c r="A275" s="14"/>
    </row>
    <row r="276" spans="1:1" ht="15.75" customHeight="1" x14ac:dyDescent="0.45">
      <c r="A276" s="14"/>
    </row>
    <row r="277" spans="1:1" ht="15.75" customHeight="1" x14ac:dyDescent="0.45">
      <c r="A277" s="14"/>
    </row>
    <row r="278" spans="1:1" ht="15.75" customHeight="1" x14ac:dyDescent="0.45">
      <c r="A278" s="14"/>
    </row>
    <row r="279" spans="1:1" ht="15.75" customHeight="1" x14ac:dyDescent="0.45">
      <c r="A279" s="14"/>
    </row>
    <row r="280" spans="1:1" ht="15.75" customHeight="1" x14ac:dyDescent="0.45">
      <c r="A280" s="14"/>
    </row>
    <row r="281" spans="1:1" ht="15.75" customHeight="1" x14ac:dyDescent="0.45">
      <c r="A281" s="14"/>
    </row>
    <row r="282" spans="1:1" ht="15.75" customHeight="1" x14ac:dyDescent="0.45">
      <c r="A282" s="14"/>
    </row>
    <row r="283" spans="1:1" ht="15.75" customHeight="1" x14ac:dyDescent="0.45">
      <c r="A283" s="14"/>
    </row>
    <row r="284" spans="1:1" ht="15.75" customHeight="1" x14ac:dyDescent="0.45">
      <c r="A284" s="14"/>
    </row>
    <row r="285" spans="1:1" ht="15.75" customHeight="1" x14ac:dyDescent="0.45">
      <c r="A285" s="14"/>
    </row>
    <row r="286" spans="1:1" ht="15.75" customHeight="1" x14ac:dyDescent="0.45">
      <c r="A286" s="14"/>
    </row>
    <row r="287" spans="1:1" ht="15.75" customHeight="1" x14ac:dyDescent="0.45">
      <c r="A287" s="14"/>
    </row>
    <row r="288" spans="1:1" ht="15.75" customHeight="1" x14ac:dyDescent="0.45">
      <c r="A288" s="14"/>
    </row>
    <row r="289" spans="1:1" ht="15.75" customHeight="1" x14ac:dyDescent="0.45">
      <c r="A289" s="14"/>
    </row>
    <row r="290" spans="1:1" ht="15.75" customHeight="1" x14ac:dyDescent="0.45">
      <c r="A290" s="14"/>
    </row>
    <row r="291" spans="1:1" ht="15.75" customHeight="1" x14ac:dyDescent="0.45">
      <c r="A291" s="14"/>
    </row>
    <row r="292" spans="1:1" ht="15.75" customHeight="1" x14ac:dyDescent="0.45">
      <c r="A292" s="14"/>
    </row>
    <row r="293" spans="1:1" ht="15.75" customHeight="1" x14ac:dyDescent="0.45">
      <c r="A293" s="14"/>
    </row>
    <row r="294" spans="1:1" ht="15.75" customHeight="1" x14ac:dyDescent="0.45">
      <c r="A294" s="14"/>
    </row>
    <row r="295" spans="1:1" ht="15.75" customHeight="1" x14ac:dyDescent="0.45">
      <c r="A295" s="14"/>
    </row>
    <row r="296" spans="1:1" ht="15.75" customHeight="1" x14ac:dyDescent="0.45">
      <c r="A296" s="14"/>
    </row>
    <row r="297" spans="1:1" ht="15.75" customHeight="1" x14ac:dyDescent="0.45">
      <c r="A297" s="14"/>
    </row>
    <row r="298" spans="1:1" ht="15.75" customHeight="1" x14ac:dyDescent="0.45">
      <c r="A298" s="14"/>
    </row>
    <row r="299" spans="1:1" ht="15.75" customHeight="1" x14ac:dyDescent="0.45">
      <c r="A299" s="14"/>
    </row>
    <row r="300" spans="1:1" ht="15.75" customHeight="1" x14ac:dyDescent="0.45">
      <c r="A300" s="14"/>
    </row>
    <row r="301" spans="1:1" ht="15.75" customHeight="1" x14ac:dyDescent="0.45">
      <c r="A301" s="14"/>
    </row>
    <row r="302" spans="1:1" ht="15.75" customHeight="1" x14ac:dyDescent="0.45">
      <c r="A302" s="14"/>
    </row>
    <row r="303" spans="1:1" ht="15.75" customHeight="1" x14ac:dyDescent="0.45">
      <c r="A303" s="14"/>
    </row>
    <row r="304" spans="1:1" ht="15.75" customHeight="1" x14ac:dyDescent="0.45">
      <c r="A304" s="14"/>
    </row>
    <row r="305" spans="1:1" ht="15.75" customHeight="1" x14ac:dyDescent="0.45">
      <c r="A305" s="14"/>
    </row>
    <row r="306" spans="1:1" ht="15.75" customHeight="1" x14ac:dyDescent="0.45">
      <c r="A306" s="14"/>
    </row>
    <row r="307" spans="1:1" ht="15.75" customHeight="1" x14ac:dyDescent="0.45">
      <c r="A307" s="14"/>
    </row>
    <row r="308" spans="1:1" ht="15.75" customHeight="1" x14ac:dyDescent="0.45">
      <c r="A308" s="14"/>
    </row>
    <row r="309" spans="1:1" ht="15.75" customHeight="1" x14ac:dyDescent="0.45">
      <c r="A309" s="14"/>
    </row>
    <row r="310" spans="1:1" ht="15.75" customHeight="1" x14ac:dyDescent="0.45">
      <c r="A310" s="14"/>
    </row>
    <row r="311" spans="1:1" ht="15.75" customHeight="1" x14ac:dyDescent="0.45">
      <c r="A311" s="14"/>
    </row>
    <row r="312" spans="1:1" ht="15.75" customHeight="1" x14ac:dyDescent="0.45">
      <c r="A312" s="14"/>
    </row>
    <row r="313" spans="1:1" ht="15.75" customHeight="1" x14ac:dyDescent="0.45">
      <c r="A313" s="14"/>
    </row>
    <row r="314" spans="1:1" ht="15.75" customHeight="1" x14ac:dyDescent="0.45">
      <c r="A314" s="14"/>
    </row>
    <row r="315" spans="1:1" ht="15.75" customHeight="1" x14ac:dyDescent="0.45">
      <c r="A315" s="14"/>
    </row>
    <row r="316" spans="1:1" ht="15.75" customHeight="1" x14ac:dyDescent="0.45">
      <c r="A316" s="14"/>
    </row>
    <row r="317" spans="1:1" ht="15.75" customHeight="1" x14ac:dyDescent="0.45">
      <c r="A317" s="14"/>
    </row>
    <row r="318" spans="1:1" ht="15.75" customHeight="1" x14ac:dyDescent="0.45">
      <c r="A318" s="14"/>
    </row>
    <row r="319" spans="1:1" ht="15.75" customHeight="1" x14ac:dyDescent="0.45">
      <c r="A319" s="14"/>
    </row>
    <row r="320" spans="1:1" ht="15.75" customHeight="1" x14ac:dyDescent="0.45">
      <c r="A320" s="14"/>
    </row>
    <row r="321" spans="1:1" ht="15.75" customHeight="1" x14ac:dyDescent="0.45">
      <c r="A321" s="14"/>
    </row>
    <row r="322" spans="1:1" ht="15.75" customHeight="1" x14ac:dyDescent="0.45">
      <c r="A322" s="14"/>
    </row>
    <row r="323" spans="1:1" ht="15.75" customHeight="1" x14ac:dyDescent="0.45">
      <c r="A323" s="14"/>
    </row>
    <row r="324" spans="1:1" ht="15.75" customHeight="1" x14ac:dyDescent="0.45">
      <c r="A324" s="14"/>
    </row>
    <row r="325" spans="1:1" ht="15.75" customHeight="1" x14ac:dyDescent="0.45">
      <c r="A325" s="14"/>
    </row>
    <row r="326" spans="1:1" ht="15.75" customHeight="1" x14ac:dyDescent="0.45">
      <c r="A326" s="14"/>
    </row>
    <row r="327" spans="1:1" ht="15.75" customHeight="1" x14ac:dyDescent="0.45">
      <c r="A327" s="14"/>
    </row>
    <row r="328" spans="1:1" ht="15.75" customHeight="1" x14ac:dyDescent="0.45">
      <c r="A328" s="14"/>
    </row>
    <row r="329" spans="1:1" ht="15.75" customHeight="1" x14ac:dyDescent="0.45">
      <c r="A329" s="14"/>
    </row>
    <row r="330" spans="1:1" ht="15.75" customHeight="1" x14ac:dyDescent="0.45">
      <c r="A330" s="14"/>
    </row>
    <row r="331" spans="1:1" ht="15.75" customHeight="1" x14ac:dyDescent="0.45">
      <c r="A331" s="14"/>
    </row>
    <row r="332" spans="1:1" ht="15.75" customHeight="1" x14ac:dyDescent="0.45">
      <c r="A332" s="14"/>
    </row>
    <row r="333" spans="1:1" ht="15.75" customHeight="1" x14ac:dyDescent="0.45">
      <c r="A333" s="14"/>
    </row>
    <row r="334" spans="1:1" ht="15.75" customHeight="1" x14ac:dyDescent="0.45">
      <c r="A334" s="14"/>
    </row>
    <row r="335" spans="1:1" ht="15.75" customHeight="1" x14ac:dyDescent="0.45">
      <c r="A335" s="14"/>
    </row>
    <row r="336" spans="1:1" ht="15.75" customHeight="1" x14ac:dyDescent="0.45">
      <c r="A336" s="14"/>
    </row>
    <row r="337" spans="1:1" ht="15.75" customHeight="1" x14ac:dyDescent="0.45">
      <c r="A337" s="14"/>
    </row>
    <row r="338" spans="1:1" ht="15.75" customHeight="1" x14ac:dyDescent="0.45">
      <c r="A338" s="14"/>
    </row>
    <row r="339" spans="1:1" ht="15.75" customHeight="1" x14ac:dyDescent="0.45">
      <c r="A339" s="14"/>
    </row>
    <row r="340" spans="1:1" ht="15.75" customHeight="1" x14ac:dyDescent="0.45">
      <c r="A340" s="14"/>
    </row>
    <row r="341" spans="1:1" ht="15.75" customHeight="1" x14ac:dyDescent="0.45">
      <c r="A341" s="14"/>
    </row>
    <row r="342" spans="1:1" ht="15.75" customHeight="1" x14ac:dyDescent="0.45">
      <c r="A342" s="14"/>
    </row>
    <row r="343" spans="1:1" ht="15.75" customHeight="1" x14ac:dyDescent="0.45">
      <c r="A343" s="14"/>
    </row>
    <row r="344" spans="1:1" ht="15.75" customHeight="1" x14ac:dyDescent="0.45">
      <c r="A344" s="14"/>
    </row>
    <row r="345" spans="1:1" ht="15.75" customHeight="1" x14ac:dyDescent="0.45">
      <c r="A345" s="14"/>
    </row>
    <row r="346" spans="1:1" ht="15.75" customHeight="1" x14ac:dyDescent="0.45">
      <c r="A346" s="14"/>
    </row>
    <row r="347" spans="1:1" ht="15.75" customHeight="1" x14ac:dyDescent="0.45">
      <c r="A347" s="14"/>
    </row>
    <row r="348" spans="1:1" ht="15.75" customHeight="1" x14ac:dyDescent="0.45">
      <c r="A348" s="14"/>
    </row>
    <row r="349" spans="1:1" ht="15.75" customHeight="1" x14ac:dyDescent="0.45">
      <c r="A349" s="14"/>
    </row>
    <row r="350" spans="1:1" ht="15.75" customHeight="1" x14ac:dyDescent="0.45">
      <c r="A350" s="14"/>
    </row>
    <row r="351" spans="1:1" ht="15.75" customHeight="1" x14ac:dyDescent="0.45">
      <c r="A351" s="14"/>
    </row>
    <row r="352" spans="1:1" ht="15.75" customHeight="1" x14ac:dyDescent="0.45">
      <c r="A352" s="14"/>
    </row>
    <row r="353" spans="1:1" ht="15.75" customHeight="1" x14ac:dyDescent="0.45">
      <c r="A353" s="14"/>
    </row>
    <row r="354" spans="1:1" ht="15.75" customHeight="1" x14ac:dyDescent="0.45">
      <c r="A354" s="14"/>
    </row>
    <row r="355" spans="1:1" ht="15.75" customHeight="1" x14ac:dyDescent="0.45">
      <c r="A355" s="14"/>
    </row>
    <row r="356" spans="1:1" ht="15.75" customHeight="1" x14ac:dyDescent="0.45">
      <c r="A356" s="14"/>
    </row>
    <row r="357" spans="1:1" ht="15.75" customHeight="1" x14ac:dyDescent="0.45">
      <c r="A357" s="14"/>
    </row>
    <row r="358" spans="1:1" ht="15.75" customHeight="1" x14ac:dyDescent="0.45">
      <c r="A358" s="14"/>
    </row>
    <row r="359" spans="1:1" ht="15.75" customHeight="1" x14ac:dyDescent="0.45">
      <c r="A359" s="14"/>
    </row>
    <row r="360" spans="1:1" ht="15.75" customHeight="1" x14ac:dyDescent="0.45">
      <c r="A360" s="14"/>
    </row>
    <row r="361" spans="1:1" ht="15.75" customHeight="1" x14ac:dyDescent="0.45">
      <c r="A361" s="14"/>
    </row>
    <row r="362" spans="1:1" ht="15.75" customHeight="1" x14ac:dyDescent="0.45">
      <c r="A362" s="14"/>
    </row>
    <row r="363" spans="1:1" ht="15.75" customHeight="1" x14ac:dyDescent="0.45">
      <c r="A363" s="14"/>
    </row>
    <row r="364" spans="1:1" ht="15.75" customHeight="1" x14ac:dyDescent="0.45">
      <c r="A364" s="14"/>
    </row>
    <row r="365" spans="1:1" ht="15.75" customHeight="1" x14ac:dyDescent="0.45">
      <c r="A365" s="14"/>
    </row>
    <row r="366" spans="1:1" ht="15.75" customHeight="1" x14ac:dyDescent="0.45">
      <c r="A366" s="14"/>
    </row>
    <row r="367" spans="1:1" ht="15.75" customHeight="1" x14ac:dyDescent="0.45">
      <c r="A367" s="14"/>
    </row>
    <row r="368" spans="1:1" ht="15.75" customHeight="1" x14ac:dyDescent="0.45">
      <c r="A368" s="14"/>
    </row>
    <row r="369" spans="1:1" ht="15.75" customHeight="1" x14ac:dyDescent="0.45">
      <c r="A369" s="14"/>
    </row>
    <row r="370" spans="1:1" ht="15.75" customHeight="1" x14ac:dyDescent="0.45">
      <c r="A370" s="14"/>
    </row>
    <row r="371" spans="1:1" ht="15.75" customHeight="1" x14ac:dyDescent="0.45">
      <c r="A371" s="14"/>
    </row>
    <row r="372" spans="1:1" ht="15.75" customHeight="1" x14ac:dyDescent="0.45">
      <c r="A372" s="14"/>
    </row>
    <row r="373" spans="1:1" ht="15.75" customHeight="1" x14ac:dyDescent="0.45">
      <c r="A373" s="14"/>
    </row>
    <row r="374" spans="1:1" ht="15.75" customHeight="1" x14ac:dyDescent="0.45">
      <c r="A374" s="14"/>
    </row>
    <row r="375" spans="1:1" ht="15.75" customHeight="1" x14ac:dyDescent="0.45">
      <c r="A375" s="14"/>
    </row>
    <row r="376" spans="1:1" ht="15.75" customHeight="1" x14ac:dyDescent="0.45">
      <c r="A376" s="14"/>
    </row>
    <row r="377" spans="1:1" ht="15.75" customHeight="1" x14ac:dyDescent="0.45">
      <c r="A377" s="14"/>
    </row>
    <row r="378" spans="1:1" ht="15.75" customHeight="1" x14ac:dyDescent="0.45">
      <c r="A378" s="14"/>
    </row>
    <row r="379" spans="1:1" ht="15.75" customHeight="1" x14ac:dyDescent="0.45">
      <c r="A379" s="14"/>
    </row>
    <row r="380" spans="1:1" ht="15.75" customHeight="1" x14ac:dyDescent="0.45">
      <c r="A380" s="14"/>
    </row>
    <row r="381" spans="1:1" ht="15.75" customHeight="1" x14ac:dyDescent="0.45">
      <c r="A381" s="14"/>
    </row>
    <row r="382" spans="1:1" ht="15.75" customHeight="1" x14ac:dyDescent="0.45">
      <c r="A382" s="14"/>
    </row>
    <row r="383" spans="1:1" ht="15.75" customHeight="1" x14ac:dyDescent="0.45">
      <c r="A383" s="14"/>
    </row>
    <row r="384" spans="1:1" ht="15.75" customHeight="1" x14ac:dyDescent="0.45">
      <c r="A384" s="14"/>
    </row>
    <row r="385" spans="1:1" ht="15.75" customHeight="1" x14ac:dyDescent="0.45">
      <c r="A385" s="14"/>
    </row>
    <row r="386" spans="1:1" ht="15.75" customHeight="1" x14ac:dyDescent="0.45">
      <c r="A386" s="14"/>
    </row>
    <row r="387" spans="1:1" ht="15.75" customHeight="1" x14ac:dyDescent="0.45">
      <c r="A387" s="14"/>
    </row>
    <row r="388" spans="1:1" ht="15.75" customHeight="1" x14ac:dyDescent="0.45">
      <c r="A388" s="14"/>
    </row>
    <row r="389" spans="1:1" ht="15.75" customHeight="1" x14ac:dyDescent="0.45">
      <c r="A389" s="14"/>
    </row>
    <row r="390" spans="1:1" ht="15.75" customHeight="1" x14ac:dyDescent="0.45">
      <c r="A390" s="14"/>
    </row>
    <row r="391" spans="1:1" ht="15.75" customHeight="1" x14ac:dyDescent="0.45">
      <c r="A391" s="14"/>
    </row>
    <row r="392" spans="1:1" ht="15.75" customHeight="1" x14ac:dyDescent="0.45">
      <c r="A392" s="14"/>
    </row>
    <row r="393" spans="1:1" ht="15.75" customHeight="1" x14ac:dyDescent="0.45">
      <c r="A393" s="14"/>
    </row>
    <row r="394" spans="1:1" ht="15.75" customHeight="1" x14ac:dyDescent="0.45">
      <c r="A394" s="14"/>
    </row>
    <row r="395" spans="1:1" ht="15.75" customHeight="1" x14ac:dyDescent="0.45">
      <c r="A395" s="14"/>
    </row>
    <row r="396" spans="1:1" ht="15.75" customHeight="1" x14ac:dyDescent="0.45">
      <c r="A396" s="14"/>
    </row>
    <row r="397" spans="1:1" ht="15.75" customHeight="1" x14ac:dyDescent="0.45">
      <c r="A397" s="14"/>
    </row>
    <row r="398" spans="1:1" ht="15.75" customHeight="1" x14ac:dyDescent="0.45">
      <c r="A398" s="14"/>
    </row>
    <row r="399" spans="1:1" ht="15.75" customHeight="1" x14ac:dyDescent="0.45">
      <c r="A399" s="14"/>
    </row>
    <row r="400" spans="1:1" ht="15.75" customHeight="1" x14ac:dyDescent="0.45">
      <c r="A400" s="14"/>
    </row>
    <row r="401" spans="1:1" ht="15.75" customHeight="1" x14ac:dyDescent="0.45">
      <c r="A401" s="14"/>
    </row>
    <row r="402" spans="1:1" ht="15.75" customHeight="1" x14ac:dyDescent="0.45">
      <c r="A402" s="14"/>
    </row>
    <row r="403" spans="1:1" ht="15.75" customHeight="1" x14ac:dyDescent="0.45">
      <c r="A403" s="14"/>
    </row>
    <row r="404" spans="1:1" ht="15.75" customHeight="1" x14ac:dyDescent="0.45">
      <c r="A404" s="14"/>
    </row>
    <row r="405" spans="1:1" ht="15.75" customHeight="1" x14ac:dyDescent="0.45">
      <c r="A405" s="14"/>
    </row>
    <row r="406" spans="1:1" ht="15.75" customHeight="1" x14ac:dyDescent="0.45">
      <c r="A406" s="14"/>
    </row>
    <row r="407" spans="1:1" ht="15.75" customHeight="1" x14ac:dyDescent="0.45">
      <c r="A407" s="14"/>
    </row>
    <row r="408" spans="1:1" ht="15.75" customHeight="1" x14ac:dyDescent="0.45">
      <c r="A408" s="14"/>
    </row>
    <row r="409" spans="1:1" ht="15.75" customHeight="1" x14ac:dyDescent="0.45">
      <c r="A409" s="14"/>
    </row>
    <row r="410" spans="1:1" ht="15.75" customHeight="1" x14ac:dyDescent="0.45">
      <c r="A410" s="14"/>
    </row>
    <row r="411" spans="1:1" ht="15.75" customHeight="1" x14ac:dyDescent="0.45">
      <c r="A411" s="14"/>
    </row>
    <row r="412" spans="1:1" ht="15.75" customHeight="1" x14ac:dyDescent="0.45">
      <c r="A412" s="14"/>
    </row>
    <row r="413" spans="1:1" ht="15.75" customHeight="1" x14ac:dyDescent="0.45">
      <c r="A413" s="14"/>
    </row>
    <row r="414" spans="1:1" ht="15.75" customHeight="1" x14ac:dyDescent="0.45">
      <c r="A414" s="14"/>
    </row>
    <row r="415" spans="1:1" ht="15.75" customHeight="1" x14ac:dyDescent="0.45">
      <c r="A415" s="14"/>
    </row>
    <row r="416" spans="1:1" ht="15.75" customHeight="1" x14ac:dyDescent="0.45">
      <c r="A416" s="14"/>
    </row>
    <row r="417" spans="1:1" ht="15.75" customHeight="1" x14ac:dyDescent="0.45">
      <c r="A417" s="14"/>
    </row>
    <row r="418" spans="1:1" ht="15.75" customHeight="1" x14ac:dyDescent="0.45">
      <c r="A418" s="14"/>
    </row>
    <row r="419" spans="1:1" ht="15.75" customHeight="1" x14ac:dyDescent="0.45">
      <c r="A419" s="14"/>
    </row>
    <row r="420" spans="1:1" ht="15.75" customHeight="1" x14ac:dyDescent="0.45">
      <c r="A420" s="14"/>
    </row>
    <row r="421" spans="1:1" ht="15.75" customHeight="1" x14ac:dyDescent="0.45">
      <c r="A421" s="14"/>
    </row>
    <row r="422" spans="1:1" ht="15.75" customHeight="1" x14ac:dyDescent="0.45">
      <c r="A422" s="14"/>
    </row>
    <row r="423" spans="1:1" ht="15.75" customHeight="1" x14ac:dyDescent="0.45">
      <c r="A423" s="14"/>
    </row>
    <row r="424" spans="1:1" ht="15.75" customHeight="1" x14ac:dyDescent="0.45">
      <c r="A424" s="14"/>
    </row>
    <row r="425" spans="1:1" ht="15.75" customHeight="1" x14ac:dyDescent="0.45">
      <c r="A425" s="14"/>
    </row>
    <row r="426" spans="1:1" ht="15.75" customHeight="1" x14ac:dyDescent="0.45">
      <c r="A426" s="14"/>
    </row>
    <row r="427" spans="1:1" ht="15.75" customHeight="1" x14ac:dyDescent="0.45">
      <c r="A427" s="14"/>
    </row>
    <row r="428" spans="1:1" ht="15.75" customHeight="1" x14ac:dyDescent="0.45">
      <c r="A428" s="14"/>
    </row>
    <row r="429" spans="1:1" ht="15.75" customHeight="1" x14ac:dyDescent="0.45">
      <c r="A429" s="14"/>
    </row>
    <row r="430" spans="1:1" ht="15.75" customHeight="1" x14ac:dyDescent="0.45">
      <c r="A430" s="14"/>
    </row>
    <row r="431" spans="1:1" ht="15.75" customHeight="1" x14ac:dyDescent="0.45">
      <c r="A431" s="14"/>
    </row>
    <row r="432" spans="1:1" ht="15.75" customHeight="1" x14ac:dyDescent="0.45">
      <c r="A432" s="14"/>
    </row>
    <row r="433" spans="1:1" ht="15.75" customHeight="1" x14ac:dyDescent="0.45">
      <c r="A433" s="14"/>
    </row>
    <row r="434" spans="1:1" ht="15.75" customHeight="1" x14ac:dyDescent="0.45">
      <c r="A434" s="14"/>
    </row>
    <row r="435" spans="1:1" ht="15.75" customHeight="1" x14ac:dyDescent="0.45">
      <c r="A435" s="14"/>
    </row>
    <row r="436" spans="1:1" ht="15.75" customHeight="1" x14ac:dyDescent="0.45">
      <c r="A436" s="14"/>
    </row>
    <row r="437" spans="1:1" ht="15.75" customHeight="1" x14ac:dyDescent="0.45">
      <c r="A437" s="14"/>
    </row>
    <row r="438" spans="1:1" ht="15.75" customHeight="1" x14ac:dyDescent="0.45">
      <c r="A438" s="14"/>
    </row>
    <row r="439" spans="1:1" ht="15.75" customHeight="1" x14ac:dyDescent="0.45">
      <c r="A439" s="14"/>
    </row>
    <row r="440" spans="1:1" ht="15.75" customHeight="1" x14ac:dyDescent="0.45">
      <c r="A440" s="14"/>
    </row>
    <row r="441" spans="1:1" ht="15.75" customHeight="1" x14ac:dyDescent="0.45">
      <c r="A441" s="14"/>
    </row>
    <row r="442" spans="1:1" ht="15.75" customHeight="1" x14ac:dyDescent="0.45">
      <c r="A442" s="14"/>
    </row>
    <row r="443" spans="1:1" ht="15.75" customHeight="1" x14ac:dyDescent="0.45">
      <c r="A443" s="14"/>
    </row>
    <row r="444" spans="1:1" ht="15.75" customHeight="1" x14ac:dyDescent="0.45">
      <c r="A444" s="14"/>
    </row>
    <row r="445" spans="1:1" ht="15.75" customHeight="1" x14ac:dyDescent="0.45">
      <c r="A445" s="14"/>
    </row>
    <row r="446" spans="1:1" ht="15.75" customHeight="1" x14ac:dyDescent="0.45">
      <c r="A446" s="14"/>
    </row>
    <row r="447" spans="1:1" ht="15.75" customHeight="1" x14ac:dyDescent="0.45">
      <c r="A447" s="14"/>
    </row>
    <row r="448" spans="1:1" ht="15.75" customHeight="1" x14ac:dyDescent="0.45">
      <c r="A448" s="14"/>
    </row>
    <row r="449" spans="1:1" ht="15.75" customHeight="1" x14ac:dyDescent="0.45">
      <c r="A449" s="14"/>
    </row>
    <row r="450" spans="1:1" ht="15.75" customHeight="1" x14ac:dyDescent="0.45">
      <c r="A450" s="14"/>
    </row>
    <row r="451" spans="1:1" ht="15.75" customHeight="1" x14ac:dyDescent="0.45">
      <c r="A451" s="14"/>
    </row>
    <row r="452" spans="1:1" ht="15.75" customHeight="1" x14ac:dyDescent="0.45">
      <c r="A452" s="14"/>
    </row>
    <row r="453" spans="1:1" ht="15.75" customHeight="1" x14ac:dyDescent="0.45">
      <c r="A453" s="14"/>
    </row>
    <row r="454" spans="1:1" ht="15.75" customHeight="1" x14ac:dyDescent="0.45">
      <c r="A454" s="14"/>
    </row>
    <row r="455" spans="1:1" ht="15.75" customHeight="1" x14ac:dyDescent="0.45">
      <c r="A455" s="14"/>
    </row>
    <row r="456" spans="1:1" ht="15.75" customHeight="1" x14ac:dyDescent="0.45">
      <c r="A456" s="14"/>
    </row>
    <row r="457" spans="1:1" ht="15.75" customHeight="1" x14ac:dyDescent="0.45">
      <c r="A457" s="14"/>
    </row>
    <row r="458" spans="1:1" ht="15.75" customHeight="1" x14ac:dyDescent="0.45">
      <c r="A458" s="14"/>
    </row>
    <row r="459" spans="1:1" ht="15.75" customHeight="1" x14ac:dyDescent="0.45">
      <c r="A459" s="14"/>
    </row>
    <row r="460" spans="1:1" ht="15.75" customHeight="1" x14ac:dyDescent="0.45">
      <c r="A460" s="14"/>
    </row>
    <row r="461" spans="1:1" ht="15.75" customHeight="1" x14ac:dyDescent="0.45">
      <c r="A461" s="14"/>
    </row>
    <row r="462" spans="1:1" ht="15.75" customHeight="1" x14ac:dyDescent="0.45">
      <c r="A462" s="14"/>
    </row>
    <row r="463" spans="1:1" ht="15.75" customHeight="1" x14ac:dyDescent="0.45">
      <c r="A463" s="14"/>
    </row>
    <row r="464" spans="1:1" ht="15.75" customHeight="1" x14ac:dyDescent="0.45">
      <c r="A464" s="14"/>
    </row>
    <row r="465" spans="1:1" ht="15.75" customHeight="1" x14ac:dyDescent="0.45">
      <c r="A465" s="14"/>
    </row>
    <row r="466" spans="1:1" ht="15.75" customHeight="1" x14ac:dyDescent="0.45">
      <c r="A466" s="14"/>
    </row>
    <row r="467" spans="1:1" ht="15.75" customHeight="1" x14ac:dyDescent="0.45">
      <c r="A467" s="14"/>
    </row>
    <row r="468" spans="1:1" ht="15.75" customHeight="1" x14ac:dyDescent="0.45">
      <c r="A468" s="14"/>
    </row>
    <row r="469" spans="1:1" ht="15.75" customHeight="1" x14ac:dyDescent="0.45">
      <c r="A469" s="14"/>
    </row>
    <row r="470" spans="1:1" ht="15.75" customHeight="1" x14ac:dyDescent="0.45">
      <c r="A470" s="14"/>
    </row>
    <row r="471" spans="1:1" ht="15.75" customHeight="1" x14ac:dyDescent="0.45">
      <c r="A471" s="14"/>
    </row>
    <row r="472" spans="1:1" ht="15.75" customHeight="1" x14ac:dyDescent="0.45">
      <c r="A472" s="14"/>
    </row>
    <row r="473" spans="1:1" ht="15.75" customHeight="1" x14ac:dyDescent="0.45">
      <c r="A473" s="14"/>
    </row>
    <row r="474" spans="1:1" ht="15.75" customHeight="1" x14ac:dyDescent="0.45">
      <c r="A474" s="14"/>
    </row>
    <row r="475" spans="1:1" ht="15.75" customHeight="1" x14ac:dyDescent="0.45">
      <c r="A475" s="14"/>
    </row>
    <row r="476" spans="1:1" ht="15.75" customHeight="1" x14ac:dyDescent="0.45">
      <c r="A476" s="14"/>
    </row>
    <row r="477" spans="1:1" ht="15.75" customHeight="1" x14ac:dyDescent="0.45">
      <c r="A477" s="14"/>
    </row>
    <row r="478" spans="1:1" ht="15.75" customHeight="1" x14ac:dyDescent="0.45">
      <c r="A478" s="14"/>
    </row>
    <row r="479" spans="1:1" ht="15.75" customHeight="1" x14ac:dyDescent="0.45">
      <c r="A479" s="14"/>
    </row>
    <row r="480" spans="1:1" ht="15.75" customHeight="1" x14ac:dyDescent="0.45">
      <c r="A480" s="14"/>
    </row>
    <row r="481" spans="1:1" ht="15.75" customHeight="1" x14ac:dyDescent="0.45">
      <c r="A481" s="14"/>
    </row>
    <row r="482" spans="1:1" ht="15.75" customHeight="1" x14ac:dyDescent="0.45">
      <c r="A482" s="14"/>
    </row>
    <row r="483" spans="1:1" ht="15.75" customHeight="1" x14ac:dyDescent="0.45">
      <c r="A483" s="14"/>
    </row>
    <row r="484" spans="1:1" ht="15.75" customHeight="1" x14ac:dyDescent="0.45">
      <c r="A484" s="14"/>
    </row>
    <row r="485" spans="1:1" ht="15.75" customHeight="1" x14ac:dyDescent="0.45">
      <c r="A485" s="14"/>
    </row>
    <row r="486" spans="1:1" ht="15.75" customHeight="1" x14ac:dyDescent="0.45">
      <c r="A486" s="14"/>
    </row>
    <row r="487" spans="1:1" ht="15.75" customHeight="1" x14ac:dyDescent="0.45">
      <c r="A487" s="14"/>
    </row>
    <row r="488" spans="1:1" ht="15.75" customHeight="1" x14ac:dyDescent="0.45">
      <c r="A488" s="14"/>
    </row>
    <row r="489" spans="1:1" ht="15.75" customHeight="1" x14ac:dyDescent="0.45">
      <c r="A489" s="14"/>
    </row>
    <row r="490" spans="1:1" ht="15.75" customHeight="1" x14ac:dyDescent="0.45">
      <c r="A490" s="14"/>
    </row>
    <row r="491" spans="1:1" ht="15.75" customHeight="1" x14ac:dyDescent="0.45">
      <c r="A491" s="14"/>
    </row>
    <row r="492" spans="1:1" ht="15.75" customHeight="1" x14ac:dyDescent="0.45">
      <c r="A492" s="14"/>
    </row>
    <row r="493" spans="1:1" ht="15.75" customHeight="1" x14ac:dyDescent="0.45">
      <c r="A493" s="14"/>
    </row>
    <row r="494" spans="1:1" ht="15.75" customHeight="1" x14ac:dyDescent="0.45">
      <c r="A494" s="14"/>
    </row>
    <row r="495" spans="1:1" ht="15.75" customHeight="1" x14ac:dyDescent="0.45">
      <c r="A495" s="14"/>
    </row>
    <row r="496" spans="1:1" ht="15.75" customHeight="1" x14ac:dyDescent="0.45">
      <c r="A496" s="14"/>
    </row>
    <row r="497" spans="1:1" ht="15.75" customHeight="1" x14ac:dyDescent="0.45">
      <c r="A497" s="14"/>
    </row>
    <row r="498" spans="1:1" ht="15.75" customHeight="1" x14ac:dyDescent="0.45">
      <c r="A498" s="14"/>
    </row>
    <row r="499" spans="1:1" ht="15.75" customHeight="1" x14ac:dyDescent="0.45">
      <c r="A499" s="14"/>
    </row>
    <row r="500" spans="1:1" ht="15.75" customHeight="1" x14ac:dyDescent="0.45">
      <c r="A500" s="14"/>
    </row>
    <row r="501" spans="1:1" ht="15.75" customHeight="1" x14ac:dyDescent="0.45">
      <c r="A501" s="14"/>
    </row>
    <row r="502" spans="1:1" ht="15.75" customHeight="1" x14ac:dyDescent="0.45">
      <c r="A502" s="14"/>
    </row>
    <row r="503" spans="1:1" ht="15.75" customHeight="1" x14ac:dyDescent="0.45">
      <c r="A503" s="14"/>
    </row>
    <row r="504" spans="1:1" ht="15.75" customHeight="1" x14ac:dyDescent="0.45">
      <c r="A504" s="14"/>
    </row>
    <row r="505" spans="1:1" ht="15.75" customHeight="1" x14ac:dyDescent="0.45">
      <c r="A505" s="14"/>
    </row>
    <row r="506" spans="1:1" ht="15.75" customHeight="1" x14ac:dyDescent="0.45">
      <c r="A506" s="14"/>
    </row>
    <row r="507" spans="1:1" ht="15.75" customHeight="1" x14ac:dyDescent="0.45">
      <c r="A507" s="14"/>
    </row>
    <row r="508" spans="1:1" ht="15.75" customHeight="1" x14ac:dyDescent="0.45">
      <c r="A508" s="14"/>
    </row>
    <row r="509" spans="1:1" ht="15.75" customHeight="1" x14ac:dyDescent="0.45">
      <c r="A509" s="14"/>
    </row>
    <row r="510" spans="1:1" ht="15.75" customHeight="1" x14ac:dyDescent="0.45">
      <c r="A510" s="14"/>
    </row>
    <row r="511" spans="1:1" ht="15.75" customHeight="1" x14ac:dyDescent="0.45">
      <c r="A511" s="14"/>
    </row>
    <row r="512" spans="1:1" ht="15.75" customHeight="1" x14ac:dyDescent="0.45">
      <c r="A512" s="14"/>
    </row>
    <row r="513" spans="1:1" ht="15.75" customHeight="1" x14ac:dyDescent="0.45">
      <c r="A513" s="14"/>
    </row>
    <row r="514" spans="1:1" ht="15.75" customHeight="1" x14ac:dyDescent="0.45">
      <c r="A514" s="14"/>
    </row>
    <row r="515" spans="1:1" ht="15.75" customHeight="1" x14ac:dyDescent="0.45">
      <c r="A515" s="14"/>
    </row>
    <row r="516" spans="1:1" ht="15.75" customHeight="1" x14ac:dyDescent="0.45">
      <c r="A516" s="14"/>
    </row>
    <row r="517" spans="1:1" ht="15.75" customHeight="1" x14ac:dyDescent="0.45">
      <c r="A517" s="14"/>
    </row>
    <row r="518" spans="1:1" ht="15.75" customHeight="1" x14ac:dyDescent="0.45">
      <c r="A518" s="14"/>
    </row>
    <row r="519" spans="1:1" ht="15.75" customHeight="1" x14ac:dyDescent="0.45">
      <c r="A519" s="14"/>
    </row>
    <row r="520" spans="1:1" ht="15.75" customHeight="1" x14ac:dyDescent="0.45">
      <c r="A520" s="14"/>
    </row>
    <row r="521" spans="1:1" ht="15.75" customHeight="1" x14ac:dyDescent="0.45">
      <c r="A521" s="14"/>
    </row>
    <row r="522" spans="1:1" ht="15.75" customHeight="1" x14ac:dyDescent="0.45">
      <c r="A522" s="14"/>
    </row>
    <row r="523" spans="1:1" ht="15.75" customHeight="1" x14ac:dyDescent="0.45">
      <c r="A523" s="14"/>
    </row>
    <row r="524" spans="1:1" ht="15.75" customHeight="1" x14ac:dyDescent="0.45">
      <c r="A524" s="14"/>
    </row>
    <row r="525" spans="1:1" ht="15.75" customHeight="1" x14ac:dyDescent="0.45">
      <c r="A525" s="14"/>
    </row>
    <row r="526" spans="1:1" ht="15.75" customHeight="1" x14ac:dyDescent="0.45">
      <c r="A526" s="14"/>
    </row>
    <row r="527" spans="1:1" ht="15.75" customHeight="1" x14ac:dyDescent="0.45">
      <c r="A527" s="14"/>
    </row>
    <row r="528" spans="1:1" ht="15.75" customHeight="1" x14ac:dyDescent="0.45">
      <c r="A528" s="14"/>
    </row>
    <row r="529" spans="1:1" ht="15.75" customHeight="1" x14ac:dyDescent="0.45">
      <c r="A529" s="14"/>
    </row>
    <row r="530" spans="1:1" ht="15.75" customHeight="1" x14ac:dyDescent="0.45">
      <c r="A530" s="14"/>
    </row>
    <row r="531" spans="1:1" ht="15.75" customHeight="1" x14ac:dyDescent="0.45">
      <c r="A531" s="14"/>
    </row>
    <row r="532" spans="1:1" ht="15.75" customHeight="1" x14ac:dyDescent="0.45">
      <c r="A532" s="14"/>
    </row>
    <row r="533" spans="1:1" ht="15.75" customHeight="1" x14ac:dyDescent="0.45">
      <c r="A533" s="14"/>
    </row>
    <row r="534" spans="1:1" ht="15.75" customHeight="1" x14ac:dyDescent="0.45">
      <c r="A534" s="14"/>
    </row>
    <row r="535" spans="1:1" ht="15.75" customHeight="1" x14ac:dyDescent="0.45">
      <c r="A535" s="14"/>
    </row>
    <row r="536" spans="1:1" ht="15.75" customHeight="1" x14ac:dyDescent="0.45">
      <c r="A536" s="14"/>
    </row>
    <row r="537" spans="1:1" ht="15.75" customHeight="1" x14ac:dyDescent="0.45">
      <c r="A537" s="14"/>
    </row>
    <row r="538" spans="1:1" ht="15.75" customHeight="1" x14ac:dyDescent="0.45">
      <c r="A538" s="14"/>
    </row>
    <row r="539" spans="1:1" ht="15.75" customHeight="1" x14ac:dyDescent="0.45">
      <c r="A539" s="14"/>
    </row>
    <row r="540" spans="1:1" ht="15.75" customHeight="1" x14ac:dyDescent="0.45">
      <c r="A540" s="14"/>
    </row>
    <row r="541" spans="1:1" ht="15.75" customHeight="1" x14ac:dyDescent="0.45">
      <c r="A541" s="14"/>
    </row>
    <row r="542" spans="1:1" ht="15.75" customHeight="1" x14ac:dyDescent="0.45">
      <c r="A542" s="14"/>
    </row>
    <row r="543" spans="1:1" ht="15.75" customHeight="1" x14ac:dyDescent="0.45">
      <c r="A543" s="14"/>
    </row>
    <row r="544" spans="1:1" ht="15.75" customHeight="1" x14ac:dyDescent="0.45">
      <c r="A544" s="14"/>
    </row>
    <row r="545" spans="1:1" ht="15.75" customHeight="1" x14ac:dyDescent="0.45">
      <c r="A545" s="14"/>
    </row>
    <row r="546" spans="1:1" ht="15.75" customHeight="1" x14ac:dyDescent="0.45">
      <c r="A546" s="14"/>
    </row>
    <row r="547" spans="1:1" ht="15.75" customHeight="1" x14ac:dyDescent="0.45">
      <c r="A547" s="14"/>
    </row>
    <row r="548" spans="1:1" ht="15.75" customHeight="1" x14ac:dyDescent="0.45">
      <c r="A548" s="14"/>
    </row>
    <row r="549" spans="1:1" ht="15.75" customHeight="1" x14ac:dyDescent="0.45">
      <c r="A549" s="14"/>
    </row>
    <row r="550" spans="1:1" ht="15.75" customHeight="1" x14ac:dyDescent="0.45">
      <c r="A550" s="14"/>
    </row>
    <row r="551" spans="1:1" ht="15.75" customHeight="1" x14ac:dyDescent="0.45">
      <c r="A551" s="14"/>
    </row>
    <row r="552" spans="1:1" ht="15.75" customHeight="1" x14ac:dyDescent="0.45">
      <c r="A552" s="14"/>
    </row>
    <row r="553" spans="1:1" ht="15.75" customHeight="1" x14ac:dyDescent="0.45">
      <c r="A553" s="14"/>
    </row>
    <row r="554" spans="1:1" ht="15.75" customHeight="1" x14ac:dyDescent="0.45">
      <c r="A554" s="14"/>
    </row>
    <row r="555" spans="1:1" ht="15.75" customHeight="1" x14ac:dyDescent="0.45">
      <c r="A555" s="14"/>
    </row>
    <row r="556" spans="1:1" ht="15.75" customHeight="1" x14ac:dyDescent="0.45">
      <c r="A556" s="14"/>
    </row>
    <row r="557" spans="1:1" ht="15.75" customHeight="1" x14ac:dyDescent="0.45">
      <c r="A557" s="14"/>
    </row>
    <row r="558" spans="1:1" ht="15.75" customHeight="1" x14ac:dyDescent="0.45">
      <c r="A558" s="14"/>
    </row>
    <row r="559" spans="1:1" ht="15.75" customHeight="1" x14ac:dyDescent="0.45">
      <c r="A559" s="14"/>
    </row>
    <row r="560" spans="1:1" ht="15.75" customHeight="1" x14ac:dyDescent="0.45">
      <c r="A560" s="14"/>
    </row>
    <row r="561" spans="1:1" ht="15.75" customHeight="1" x14ac:dyDescent="0.45">
      <c r="A561" s="14"/>
    </row>
    <row r="562" spans="1:1" ht="15.75" customHeight="1" x14ac:dyDescent="0.45">
      <c r="A562" s="14"/>
    </row>
    <row r="563" spans="1:1" ht="15.75" customHeight="1" x14ac:dyDescent="0.45">
      <c r="A563" s="14"/>
    </row>
    <row r="564" spans="1:1" ht="15.75" customHeight="1" x14ac:dyDescent="0.45">
      <c r="A564" s="14"/>
    </row>
    <row r="565" spans="1:1" ht="15.75" customHeight="1" x14ac:dyDescent="0.45">
      <c r="A565" s="14"/>
    </row>
    <row r="566" spans="1:1" ht="15.75" customHeight="1" x14ac:dyDescent="0.45">
      <c r="A566" s="14"/>
    </row>
    <row r="567" spans="1:1" ht="15.75" customHeight="1" x14ac:dyDescent="0.45">
      <c r="A567" s="14"/>
    </row>
    <row r="568" spans="1:1" ht="15.75" customHeight="1" x14ac:dyDescent="0.45">
      <c r="A568" s="14"/>
    </row>
    <row r="569" spans="1:1" ht="15.75" customHeight="1" x14ac:dyDescent="0.45">
      <c r="A569" s="14"/>
    </row>
    <row r="570" spans="1:1" ht="15.75" customHeight="1" x14ac:dyDescent="0.45">
      <c r="A570" s="14"/>
    </row>
    <row r="571" spans="1:1" ht="15.75" customHeight="1" x14ac:dyDescent="0.45">
      <c r="A571" s="14"/>
    </row>
    <row r="572" spans="1:1" ht="15.75" customHeight="1" x14ac:dyDescent="0.45">
      <c r="A572" s="14"/>
    </row>
    <row r="573" spans="1:1" ht="15.75" customHeight="1" x14ac:dyDescent="0.45">
      <c r="A573" s="14"/>
    </row>
    <row r="574" spans="1:1" ht="15.75" customHeight="1" x14ac:dyDescent="0.45">
      <c r="A574" s="14"/>
    </row>
    <row r="575" spans="1:1" ht="15.75" customHeight="1" x14ac:dyDescent="0.45">
      <c r="A575" s="14"/>
    </row>
    <row r="576" spans="1:1" ht="15.75" customHeight="1" x14ac:dyDescent="0.45">
      <c r="A576" s="14"/>
    </row>
    <row r="577" spans="1:1" ht="15.75" customHeight="1" x14ac:dyDescent="0.45">
      <c r="A577" s="14"/>
    </row>
    <row r="578" spans="1:1" ht="15.75" customHeight="1" x14ac:dyDescent="0.45">
      <c r="A578" s="14"/>
    </row>
    <row r="579" spans="1:1" ht="15.75" customHeight="1" x14ac:dyDescent="0.45">
      <c r="A579" s="14"/>
    </row>
    <row r="580" spans="1:1" ht="15.75" customHeight="1" x14ac:dyDescent="0.45">
      <c r="A580" s="14"/>
    </row>
    <row r="581" spans="1:1" ht="15.75" customHeight="1" x14ac:dyDescent="0.45">
      <c r="A581" s="14"/>
    </row>
    <row r="582" spans="1:1" ht="15.75" customHeight="1" x14ac:dyDescent="0.45">
      <c r="A582" s="14"/>
    </row>
    <row r="583" spans="1:1" ht="15.75" customHeight="1" x14ac:dyDescent="0.45">
      <c r="A583" s="14"/>
    </row>
    <row r="584" spans="1:1" ht="15.75" customHeight="1" x14ac:dyDescent="0.45">
      <c r="A584" s="14"/>
    </row>
    <row r="585" spans="1:1" ht="15.75" customHeight="1" x14ac:dyDescent="0.45">
      <c r="A585" s="14"/>
    </row>
    <row r="586" spans="1:1" ht="15.75" customHeight="1" x14ac:dyDescent="0.45">
      <c r="A586" s="14"/>
    </row>
    <row r="587" spans="1:1" ht="15.75" customHeight="1" x14ac:dyDescent="0.45">
      <c r="A587" s="14"/>
    </row>
    <row r="588" spans="1:1" ht="15.75" customHeight="1" x14ac:dyDescent="0.45">
      <c r="A588" s="14"/>
    </row>
    <row r="589" spans="1:1" ht="15.75" customHeight="1" x14ac:dyDescent="0.45">
      <c r="A589" s="14"/>
    </row>
    <row r="590" spans="1:1" ht="15.75" customHeight="1" x14ac:dyDescent="0.45">
      <c r="A590" s="14"/>
    </row>
    <row r="591" spans="1:1" ht="15.75" customHeight="1" x14ac:dyDescent="0.45">
      <c r="A591" s="14"/>
    </row>
    <row r="592" spans="1:1" ht="15.75" customHeight="1" x14ac:dyDescent="0.45">
      <c r="A592" s="14"/>
    </row>
    <row r="593" spans="1:1" ht="15.75" customHeight="1" x14ac:dyDescent="0.45">
      <c r="A593" s="14"/>
    </row>
    <row r="594" spans="1:1" ht="15.75" customHeight="1" x14ac:dyDescent="0.45">
      <c r="A594" s="14"/>
    </row>
    <row r="595" spans="1:1" ht="15.75" customHeight="1" x14ac:dyDescent="0.45">
      <c r="A595" s="14"/>
    </row>
    <row r="596" spans="1:1" ht="15.75" customHeight="1" x14ac:dyDescent="0.45">
      <c r="A596" s="14"/>
    </row>
    <row r="597" spans="1:1" ht="15.75" customHeight="1" x14ac:dyDescent="0.45">
      <c r="A597" s="14"/>
    </row>
    <row r="598" spans="1:1" ht="15.75" customHeight="1" x14ac:dyDescent="0.45">
      <c r="A598" s="14"/>
    </row>
    <row r="599" spans="1:1" ht="15.75" customHeight="1" x14ac:dyDescent="0.45">
      <c r="A599" s="14"/>
    </row>
    <row r="600" spans="1:1" ht="15.75" customHeight="1" x14ac:dyDescent="0.45">
      <c r="A600" s="14"/>
    </row>
    <row r="601" spans="1:1" ht="15.75" customHeight="1" x14ac:dyDescent="0.45">
      <c r="A601" s="14"/>
    </row>
    <row r="602" spans="1:1" ht="15.75" customHeight="1" x14ac:dyDescent="0.45">
      <c r="A602" s="14"/>
    </row>
    <row r="603" spans="1:1" ht="15.75" customHeight="1" x14ac:dyDescent="0.45">
      <c r="A603" s="14"/>
    </row>
    <row r="604" spans="1:1" ht="15.75" customHeight="1" x14ac:dyDescent="0.45">
      <c r="A604" s="14"/>
    </row>
    <row r="605" spans="1:1" ht="15.75" customHeight="1" x14ac:dyDescent="0.45">
      <c r="A605" s="14"/>
    </row>
    <row r="606" spans="1:1" ht="15.75" customHeight="1" x14ac:dyDescent="0.45">
      <c r="A606" s="14"/>
    </row>
    <row r="607" spans="1:1" ht="15.75" customHeight="1" x14ac:dyDescent="0.45">
      <c r="A607" s="14"/>
    </row>
    <row r="608" spans="1:1" ht="15.75" customHeight="1" x14ac:dyDescent="0.45">
      <c r="A608" s="14"/>
    </row>
    <row r="609" spans="1:1" ht="15.75" customHeight="1" x14ac:dyDescent="0.45">
      <c r="A609" s="14"/>
    </row>
    <row r="610" spans="1:1" ht="15.75" customHeight="1" x14ac:dyDescent="0.45">
      <c r="A610" s="14"/>
    </row>
    <row r="611" spans="1:1" ht="15.75" customHeight="1" x14ac:dyDescent="0.45">
      <c r="A611" s="14"/>
    </row>
    <row r="612" spans="1:1" ht="15.75" customHeight="1" x14ac:dyDescent="0.45">
      <c r="A612" s="14"/>
    </row>
    <row r="613" spans="1:1" ht="15.75" customHeight="1" x14ac:dyDescent="0.45">
      <c r="A613" s="14"/>
    </row>
    <row r="614" spans="1:1" ht="15.75" customHeight="1" x14ac:dyDescent="0.45">
      <c r="A614" s="14"/>
    </row>
    <row r="615" spans="1:1" ht="15.75" customHeight="1" x14ac:dyDescent="0.45">
      <c r="A615" s="14"/>
    </row>
    <row r="616" spans="1:1" ht="15.75" customHeight="1" x14ac:dyDescent="0.45">
      <c r="A616" s="14"/>
    </row>
    <row r="617" spans="1:1" ht="15.75" customHeight="1" x14ac:dyDescent="0.45">
      <c r="A617" s="14"/>
    </row>
    <row r="618" spans="1:1" ht="15.75" customHeight="1" x14ac:dyDescent="0.45">
      <c r="A618" s="14"/>
    </row>
    <row r="619" spans="1:1" ht="15.75" customHeight="1" x14ac:dyDescent="0.45">
      <c r="A619" s="14"/>
    </row>
    <row r="620" spans="1:1" ht="15.75" customHeight="1" x14ac:dyDescent="0.45">
      <c r="A620" s="14"/>
    </row>
    <row r="621" spans="1:1" ht="15.75" customHeight="1" x14ac:dyDescent="0.45">
      <c r="A621" s="14"/>
    </row>
    <row r="622" spans="1:1" ht="15.75" customHeight="1" x14ac:dyDescent="0.45">
      <c r="A622" s="14"/>
    </row>
    <row r="623" spans="1:1" ht="15.75" customHeight="1" x14ac:dyDescent="0.45">
      <c r="A623" s="14"/>
    </row>
    <row r="624" spans="1:1" ht="15.75" customHeight="1" x14ac:dyDescent="0.45">
      <c r="A624" s="14"/>
    </row>
    <row r="625" spans="1:1" ht="15.75" customHeight="1" x14ac:dyDescent="0.45">
      <c r="A625" s="14"/>
    </row>
    <row r="626" spans="1:1" ht="15.75" customHeight="1" x14ac:dyDescent="0.45">
      <c r="A626" s="14"/>
    </row>
    <row r="627" spans="1:1" ht="15.75" customHeight="1" x14ac:dyDescent="0.45">
      <c r="A627" s="14"/>
    </row>
    <row r="628" spans="1:1" ht="15.75" customHeight="1" x14ac:dyDescent="0.45">
      <c r="A628" s="14"/>
    </row>
    <row r="629" spans="1:1" ht="15.75" customHeight="1" x14ac:dyDescent="0.45">
      <c r="A629" s="14"/>
    </row>
    <row r="630" spans="1:1" ht="15.75" customHeight="1" x14ac:dyDescent="0.45">
      <c r="A630" s="14"/>
    </row>
    <row r="631" spans="1:1" ht="15.75" customHeight="1" x14ac:dyDescent="0.45">
      <c r="A631" s="14"/>
    </row>
    <row r="632" spans="1:1" ht="15.75" customHeight="1" x14ac:dyDescent="0.45">
      <c r="A632" s="14"/>
    </row>
    <row r="633" spans="1:1" ht="15.75" customHeight="1" x14ac:dyDescent="0.45">
      <c r="A633" s="14"/>
    </row>
    <row r="634" spans="1:1" ht="15.75" customHeight="1" x14ac:dyDescent="0.45">
      <c r="A634" s="14"/>
    </row>
    <row r="635" spans="1:1" ht="15.75" customHeight="1" x14ac:dyDescent="0.45">
      <c r="A635" s="14"/>
    </row>
    <row r="636" spans="1:1" ht="15.75" customHeight="1" x14ac:dyDescent="0.45">
      <c r="A636" s="14"/>
    </row>
    <row r="637" spans="1:1" ht="15.75" customHeight="1" x14ac:dyDescent="0.45">
      <c r="A637" s="14"/>
    </row>
    <row r="638" spans="1:1" ht="15.75" customHeight="1" x14ac:dyDescent="0.45">
      <c r="A638" s="14"/>
    </row>
    <row r="639" spans="1:1" ht="15.75" customHeight="1" x14ac:dyDescent="0.45">
      <c r="A639" s="14"/>
    </row>
    <row r="640" spans="1:1" ht="15.75" customHeight="1" x14ac:dyDescent="0.45">
      <c r="A640" s="14"/>
    </row>
    <row r="641" spans="1:1" ht="15.75" customHeight="1" x14ac:dyDescent="0.45">
      <c r="A641" s="14"/>
    </row>
    <row r="642" spans="1:1" ht="15.75" customHeight="1" x14ac:dyDescent="0.45">
      <c r="A642" s="14"/>
    </row>
    <row r="643" spans="1:1" ht="15.75" customHeight="1" x14ac:dyDescent="0.45">
      <c r="A643" s="14"/>
    </row>
    <row r="644" spans="1:1" ht="15.75" customHeight="1" x14ac:dyDescent="0.45">
      <c r="A644" s="14"/>
    </row>
    <row r="645" spans="1:1" ht="15.75" customHeight="1" x14ac:dyDescent="0.45">
      <c r="A645" s="14"/>
    </row>
    <row r="646" spans="1:1" ht="15.75" customHeight="1" x14ac:dyDescent="0.45">
      <c r="A646" s="14"/>
    </row>
    <row r="647" spans="1:1" ht="15.75" customHeight="1" x14ac:dyDescent="0.45">
      <c r="A647" s="14"/>
    </row>
    <row r="648" spans="1:1" ht="15.75" customHeight="1" x14ac:dyDescent="0.45">
      <c r="A648" s="14"/>
    </row>
    <row r="649" spans="1:1" ht="15.75" customHeight="1" x14ac:dyDescent="0.45">
      <c r="A649" s="14"/>
    </row>
    <row r="650" spans="1:1" ht="15.75" customHeight="1" x14ac:dyDescent="0.45">
      <c r="A650" s="14"/>
    </row>
    <row r="651" spans="1:1" ht="15.75" customHeight="1" x14ac:dyDescent="0.45">
      <c r="A651" s="14"/>
    </row>
    <row r="652" spans="1:1" ht="15.75" customHeight="1" x14ac:dyDescent="0.45">
      <c r="A652" s="14"/>
    </row>
    <row r="653" spans="1:1" ht="15.75" customHeight="1" x14ac:dyDescent="0.45">
      <c r="A653" s="14"/>
    </row>
    <row r="654" spans="1:1" ht="15.75" customHeight="1" x14ac:dyDescent="0.45">
      <c r="A654" s="14"/>
    </row>
    <row r="655" spans="1:1" ht="15.75" customHeight="1" x14ac:dyDescent="0.45">
      <c r="A655" s="14"/>
    </row>
    <row r="656" spans="1:1" ht="15.75" customHeight="1" x14ac:dyDescent="0.45">
      <c r="A656" s="14"/>
    </row>
    <row r="657" spans="1:1" ht="15.75" customHeight="1" x14ac:dyDescent="0.45">
      <c r="A657" s="14"/>
    </row>
    <row r="658" spans="1:1" ht="15.75" customHeight="1" x14ac:dyDescent="0.45">
      <c r="A658" s="14"/>
    </row>
    <row r="659" spans="1:1" ht="15.75" customHeight="1" x14ac:dyDescent="0.45">
      <c r="A659" s="14"/>
    </row>
    <row r="660" spans="1:1" ht="15.75" customHeight="1" x14ac:dyDescent="0.45">
      <c r="A660" s="14"/>
    </row>
    <row r="661" spans="1:1" ht="15.75" customHeight="1" x14ac:dyDescent="0.45">
      <c r="A661" s="14"/>
    </row>
    <row r="662" spans="1:1" ht="15.75" customHeight="1" x14ac:dyDescent="0.45">
      <c r="A662" s="14"/>
    </row>
    <row r="663" spans="1:1" ht="15.75" customHeight="1" x14ac:dyDescent="0.45">
      <c r="A663" s="14"/>
    </row>
    <row r="664" spans="1:1" ht="15.75" customHeight="1" x14ac:dyDescent="0.45">
      <c r="A664" s="14"/>
    </row>
    <row r="665" spans="1:1" ht="15.75" customHeight="1" x14ac:dyDescent="0.45">
      <c r="A665" s="14"/>
    </row>
    <row r="666" spans="1:1" ht="15.75" customHeight="1" x14ac:dyDescent="0.45">
      <c r="A666" s="14"/>
    </row>
    <row r="667" spans="1:1" ht="15.75" customHeight="1" x14ac:dyDescent="0.45">
      <c r="A667" s="14"/>
    </row>
    <row r="668" spans="1:1" ht="15.75" customHeight="1" x14ac:dyDescent="0.45">
      <c r="A668" s="14"/>
    </row>
    <row r="669" spans="1:1" ht="15.75" customHeight="1" x14ac:dyDescent="0.45">
      <c r="A669" s="14"/>
    </row>
    <row r="670" spans="1:1" ht="15.75" customHeight="1" x14ac:dyDescent="0.45">
      <c r="A670" s="14"/>
    </row>
    <row r="671" spans="1:1" ht="15.75" customHeight="1" x14ac:dyDescent="0.45">
      <c r="A671" s="14"/>
    </row>
    <row r="672" spans="1:1" ht="15.75" customHeight="1" x14ac:dyDescent="0.45">
      <c r="A672" s="14"/>
    </row>
    <row r="673" spans="1:1" ht="15.75" customHeight="1" x14ac:dyDescent="0.45">
      <c r="A673" s="14"/>
    </row>
    <row r="674" spans="1:1" ht="15.75" customHeight="1" x14ac:dyDescent="0.45">
      <c r="A674" s="14"/>
    </row>
    <row r="675" spans="1:1" ht="15.75" customHeight="1" x14ac:dyDescent="0.45">
      <c r="A675" s="14"/>
    </row>
    <row r="676" spans="1:1" ht="15.75" customHeight="1" x14ac:dyDescent="0.45">
      <c r="A676" s="14"/>
    </row>
    <row r="677" spans="1:1" ht="15.75" customHeight="1" x14ac:dyDescent="0.45">
      <c r="A677" s="14"/>
    </row>
    <row r="678" spans="1:1" ht="15.75" customHeight="1" x14ac:dyDescent="0.45">
      <c r="A678" s="14"/>
    </row>
    <row r="679" spans="1:1" ht="15.75" customHeight="1" x14ac:dyDescent="0.45">
      <c r="A679" s="14"/>
    </row>
    <row r="680" spans="1:1" ht="15.75" customHeight="1" x14ac:dyDescent="0.45">
      <c r="A680" s="14"/>
    </row>
    <row r="681" spans="1:1" ht="15.75" customHeight="1" x14ac:dyDescent="0.45">
      <c r="A681" s="14"/>
    </row>
    <row r="682" spans="1:1" ht="15.75" customHeight="1" x14ac:dyDescent="0.45">
      <c r="A682" s="14"/>
    </row>
    <row r="683" spans="1:1" ht="15.75" customHeight="1" x14ac:dyDescent="0.45">
      <c r="A683" s="14"/>
    </row>
    <row r="684" spans="1:1" ht="15.75" customHeight="1" x14ac:dyDescent="0.45">
      <c r="A684" s="14"/>
    </row>
    <row r="685" spans="1:1" ht="15.75" customHeight="1" x14ac:dyDescent="0.45">
      <c r="A685" s="14"/>
    </row>
    <row r="686" spans="1:1" ht="15.75" customHeight="1" x14ac:dyDescent="0.45">
      <c r="A686" s="14"/>
    </row>
    <row r="687" spans="1:1" ht="15.75" customHeight="1" x14ac:dyDescent="0.45">
      <c r="A687" s="14"/>
    </row>
    <row r="688" spans="1:1" ht="15.75" customHeight="1" x14ac:dyDescent="0.45">
      <c r="A688" s="14"/>
    </row>
    <row r="689" spans="1:1" ht="15.75" customHeight="1" x14ac:dyDescent="0.45">
      <c r="A689" s="14"/>
    </row>
    <row r="690" spans="1:1" ht="15.75" customHeight="1" x14ac:dyDescent="0.45">
      <c r="A690" s="14"/>
    </row>
    <row r="691" spans="1:1" ht="15.75" customHeight="1" x14ac:dyDescent="0.45">
      <c r="A691" s="14"/>
    </row>
    <row r="692" spans="1:1" ht="15.75" customHeight="1" x14ac:dyDescent="0.45">
      <c r="A692" s="14"/>
    </row>
    <row r="693" spans="1:1" ht="15.75" customHeight="1" x14ac:dyDescent="0.45">
      <c r="A693" s="14"/>
    </row>
    <row r="694" spans="1:1" ht="15.75" customHeight="1" x14ac:dyDescent="0.45">
      <c r="A694" s="14"/>
    </row>
    <row r="695" spans="1:1" ht="15.75" customHeight="1" x14ac:dyDescent="0.45">
      <c r="A695" s="14"/>
    </row>
    <row r="696" spans="1:1" ht="15.75" customHeight="1" x14ac:dyDescent="0.45">
      <c r="A696" s="14"/>
    </row>
    <row r="697" spans="1:1" ht="15.75" customHeight="1" x14ac:dyDescent="0.45">
      <c r="A697" s="14"/>
    </row>
    <row r="698" spans="1:1" ht="15.75" customHeight="1" x14ac:dyDescent="0.45">
      <c r="A698" s="14"/>
    </row>
    <row r="699" spans="1:1" ht="15.75" customHeight="1" x14ac:dyDescent="0.45">
      <c r="A699" s="14"/>
    </row>
    <row r="700" spans="1:1" ht="15.75" customHeight="1" x14ac:dyDescent="0.45">
      <c r="A700" s="14"/>
    </row>
    <row r="701" spans="1:1" ht="15.75" customHeight="1" x14ac:dyDescent="0.45">
      <c r="A701" s="14"/>
    </row>
    <row r="702" spans="1:1" ht="15.75" customHeight="1" x14ac:dyDescent="0.45">
      <c r="A702" s="14"/>
    </row>
    <row r="703" spans="1:1" ht="15.75" customHeight="1" x14ac:dyDescent="0.45">
      <c r="A703" s="14"/>
    </row>
    <row r="704" spans="1:1" ht="15.75" customHeight="1" x14ac:dyDescent="0.45">
      <c r="A704" s="14"/>
    </row>
    <row r="705" spans="1:1" ht="15.75" customHeight="1" x14ac:dyDescent="0.45">
      <c r="A705" s="14"/>
    </row>
    <row r="706" spans="1:1" ht="15.75" customHeight="1" x14ac:dyDescent="0.45">
      <c r="A706" s="14"/>
    </row>
    <row r="707" spans="1:1" ht="15.75" customHeight="1" x14ac:dyDescent="0.45">
      <c r="A707" s="14"/>
    </row>
    <row r="708" spans="1:1" ht="15.75" customHeight="1" x14ac:dyDescent="0.45">
      <c r="A708" s="14"/>
    </row>
    <row r="709" spans="1:1" ht="15.75" customHeight="1" x14ac:dyDescent="0.45">
      <c r="A709" s="14"/>
    </row>
    <row r="710" spans="1:1" ht="15.75" customHeight="1" x14ac:dyDescent="0.45">
      <c r="A710" s="14"/>
    </row>
    <row r="711" spans="1:1" ht="15.75" customHeight="1" x14ac:dyDescent="0.45">
      <c r="A711" s="14"/>
    </row>
    <row r="712" spans="1:1" ht="15.75" customHeight="1" x14ac:dyDescent="0.45">
      <c r="A712" s="14"/>
    </row>
    <row r="713" spans="1:1" ht="15.75" customHeight="1" x14ac:dyDescent="0.45">
      <c r="A713" s="14"/>
    </row>
    <row r="714" spans="1:1" ht="15.75" customHeight="1" x14ac:dyDescent="0.45">
      <c r="A714" s="14"/>
    </row>
    <row r="715" spans="1:1" ht="15.75" customHeight="1" x14ac:dyDescent="0.45">
      <c r="A715" s="14"/>
    </row>
    <row r="716" spans="1:1" ht="15.75" customHeight="1" x14ac:dyDescent="0.45">
      <c r="A716" s="14"/>
    </row>
    <row r="717" spans="1:1" ht="15.75" customHeight="1" x14ac:dyDescent="0.45">
      <c r="A717" s="14"/>
    </row>
    <row r="718" spans="1:1" ht="15.75" customHeight="1" x14ac:dyDescent="0.45">
      <c r="A718" s="14"/>
    </row>
    <row r="719" spans="1:1" ht="15.75" customHeight="1" x14ac:dyDescent="0.45">
      <c r="A719" s="14"/>
    </row>
    <row r="720" spans="1:1" ht="15.75" customHeight="1" x14ac:dyDescent="0.45">
      <c r="A720" s="14"/>
    </row>
    <row r="721" spans="1:1" ht="15.75" customHeight="1" x14ac:dyDescent="0.45">
      <c r="A721" s="14"/>
    </row>
    <row r="722" spans="1:1" ht="15.75" customHeight="1" x14ac:dyDescent="0.45">
      <c r="A722" s="14"/>
    </row>
    <row r="723" spans="1:1" ht="15.75" customHeight="1" x14ac:dyDescent="0.45">
      <c r="A723" s="14"/>
    </row>
    <row r="724" spans="1:1" ht="15.75" customHeight="1" x14ac:dyDescent="0.45">
      <c r="A724" s="14"/>
    </row>
    <row r="725" spans="1:1" ht="15.75" customHeight="1" x14ac:dyDescent="0.45">
      <c r="A725" s="14"/>
    </row>
    <row r="726" spans="1:1" ht="15.75" customHeight="1" x14ac:dyDescent="0.45">
      <c r="A726" s="14"/>
    </row>
    <row r="727" spans="1:1" ht="15.75" customHeight="1" x14ac:dyDescent="0.45">
      <c r="A727" s="14"/>
    </row>
    <row r="728" spans="1:1" ht="15.75" customHeight="1" x14ac:dyDescent="0.45">
      <c r="A728" s="14"/>
    </row>
    <row r="729" spans="1:1" ht="15.75" customHeight="1" x14ac:dyDescent="0.45">
      <c r="A729" s="14"/>
    </row>
    <row r="730" spans="1:1" ht="15.75" customHeight="1" x14ac:dyDescent="0.45">
      <c r="A730" s="14"/>
    </row>
    <row r="731" spans="1:1" ht="15.75" customHeight="1" x14ac:dyDescent="0.45">
      <c r="A731" s="14"/>
    </row>
    <row r="732" spans="1:1" ht="15.75" customHeight="1" x14ac:dyDescent="0.45">
      <c r="A732" s="14"/>
    </row>
    <row r="733" spans="1:1" ht="15.75" customHeight="1" x14ac:dyDescent="0.45">
      <c r="A733" s="14"/>
    </row>
    <row r="734" spans="1:1" ht="15.75" customHeight="1" x14ac:dyDescent="0.45">
      <c r="A734" s="14"/>
    </row>
    <row r="735" spans="1:1" ht="15.75" customHeight="1" x14ac:dyDescent="0.45">
      <c r="A735" s="14"/>
    </row>
    <row r="736" spans="1:1" ht="15.75" customHeight="1" x14ac:dyDescent="0.45">
      <c r="A736" s="14"/>
    </row>
    <row r="737" spans="1:1" ht="15.75" customHeight="1" x14ac:dyDescent="0.45">
      <c r="A737" s="14"/>
    </row>
    <row r="738" spans="1:1" ht="15.75" customHeight="1" x14ac:dyDescent="0.45">
      <c r="A738" s="14"/>
    </row>
    <row r="739" spans="1:1" ht="15.75" customHeight="1" x14ac:dyDescent="0.45">
      <c r="A739" s="14"/>
    </row>
    <row r="740" spans="1:1" ht="15.75" customHeight="1" x14ac:dyDescent="0.45">
      <c r="A740" s="14"/>
    </row>
    <row r="741" spans="1:1" ht="15.75" customHeight="1" x14ac:dyDescent="0.45">
      <c r="A741" s="14"/>
    </row>
    <row r="742" spans="1:1" ht="15.75" customHeight="1" x14ac:dyDescent="0.45">
      <c r="A742" s="14"/>
    </row>
    <row r="743" spans="1:1" ht="15.75" customHeight="1" x14ac:dyDescent="0.45">
      <c r="A743" s="14"/>
    </row>
    <row r="744" spans="1:1" ht="15.75" customHeight="1" x14ac:dyDescent="0.45">
      <c r="A744" s="14"/>
    </row>
    <row r="745" spans="1:1" ht="15.75" customHeight="1" x14ac:dyDescent="0.45">
      <c r="A745" s="14"/>
    </row>
    <row r="746" spans="1:1" ht="15.75" customHeight="1" x14ac:dyDescent="0.45">
      <c r="A746" s="14"/>
    </row>
    <row r="747" spans="1:1" ht="15.75" customHeight="1" x14ac:dyDescent="0.45">
      <c r="A747" s="14"/>
    </row>
    <row r="748" spans="1:1" ht="15.75" customHeight="1" x14ac:dyDescent="0.45">
      <c r="A748" s="14"/>
    </row>
    <row r="749" spans="1:1" ht="15.75" customHeight="1" x14ac:dyDescent="0.45">
      <c r="A749" s="14"/>
    </row>
    <row r="750" spans="1:1" ht="15.75" customHeight="1" x14ac:dyDescent="0.45">
      <c r="A750" s="14"/>
    </row>
    <row r="751" spans="1:1" ht="15.75" customHeight="1" x14ac:dyDescent="0.45">
      <c r="A751" s="14"/>
    </row>
    <row r="752" spans="1:1" ht="15.75" customHeight="1" x14ac:dyDescent="0.45">
      <c r="A752" s="14"/>
    </row>
    <row r="753" spans="1:1" ht="15.75" customHeight="1" x14ac:dyDescent="0.45">
      <c r="A753" s="14"/>
    </row>
    <row r="754" spans="1:1" ht="15.75" customHeight="1" x14ac:dyDescent="0.45">
      <c r="A754" s="14"/>
    </row>
    <row r="755" spans="1:1" ht="15.75" customHeight="1" x14ac:dyDescent="0.45">
      <c r="A755" s="14"/>
    </row>
    <row r="756" spans="1:1" ht="15.75" customHeight="1" x14ac:dyDescent="0.45">
      <c r="A756" s="14"/>
    </row>
    <row r="757" spans="1:1" ht="15.75" customHeight="1" x14ac:dyDescent="0.45">
      <c r="A757" s="14"/>
    </row>
    <row r="758" spans="1:1" ht="15.75" customHeight="1" x14ac:dyDescent="0.45">
      <c r="A758" s="14"/>
    </row>
    <row r="759" spans="1:1" ht="15.75" customHeight="1" x14ac:dyDescent="0.45">
      <c r="A759" s="14"/>
    </row>
    <row r="760" spans="1:1" ht="15.75" customHeight="1" x14ac:dyDescent="0.45">
      <c r="A760" s="14"/>
    </row>
    <row r="761" spans="1:1" ht="15.75" customHeight="1" x14ac:dyDescent="0.45">
      <c r="A761" s="14"/>
    </row>
    <row r="762" spans="1:1" ht="15.75" customHeight="1" x14ac:dyDescent="0.45">
      <c r="A762" s="14"/>
    </row>
    <row r="763" spans="1:1" ht="15.75" customHeight="1" x14ac:dyDescent="0.45">
      <c r="A763" s="14"/>
    </row>
    <row r="764" spans="1:1" ht="15.75" customHeight="1" x14ac:dyDescent="0.45">
      <c r="A764" s="14"/>
    </row>
    <row r="765" spans="1:1" ht="15.75" customHeight="1" x14ac:dyDescent="0.45">
      <c r="A765" s="14"/>
    </row>
    <row r="766" spans="1:1" ht="15.75" customHeight="1" x14ac:dyDescent="0.45">
      <c r="A766" s="14"/>
    </row>
    <row r="767" spans="1:1" ht="15.75" customHeight="1" x14ac:dyDescent="0.45">
      <c r="A767" s="14"/>
    </row>
    <row r="768" spans="1:1" ht="15.75" customHeight="1" x14ac:dyDescent="0.45">
      <c r="A768" s="14"/>
    </row>
    <row r="769" spans="1:1" ht="15.75" customHeight="1" x14ac:dyDescent="0.45">
      <c r="A769" s="14"/>
    </row>
    <row r="770" spans="1:1" ht="15.75" customHeight="1" x14ac:dyDescent="0.45">
      <c r="A770" s="14"/>
    </row>
    <row r="771" spans="1:1" ht="15.75" customHeight="1" x14ac:dyDescent="0.45">
      <c r="A771" s="14"/>
    </row>
    <row r="772" spans="1:1" ht="15.75" customHeight="1" x14ac:dyDescent="0.45">
      <c r="A772" s="14"/>
    </row>
    <row r="773" spans="1:1" ht="15.75" customHeight="1" x14ac:dyDescent="0.45">
      <c r="A773" s="14"/>
    </row>
    <row r="774" spans="1:1" ht="15.75" customHeight="1" x14ac:dyDescent="0.45">
      <c r="A774" s="14"/>
    </row>
    <row r="775" spans="1:1" ht="15.75" customHeight="1" x14ac:dyDescent="0.45">
      <c r="A775" s="14"/>
    </row>
    <row r="776" spans="1:1" ht="15.75" customHeight="1" x14ac:dyDescent="0.45">
      <c r="A776" s="14"/>
    </row>
    <row r="777" spans="1:1" ht="15.75" customHeight="1" x14ac:dyDescent="0.45">
      <c r="A777" s="14"/>
    </row>
    <row r="778" spans="1:1" ht="15.75" customHeight="1" x14ac:dyDescent="0.45">
      <c r="A778" s="14"/>
    </row>
    <row r="779" spans="1:1" ht="15.75" customHeight="1" x14ac:dyDescent="0.45">
      <c r="A779" s="14"/>
    </row>
    <row r="780" spans="1:1" ht="15.75" customHeight="1" x14ac:dyDescent="0.45">
      <c r="A780" s="14"/>
    </row>
    <row r="781" spans="1:1" ht="15.75" customHeight="1" x14ac:dyDescent="0.45">
      <c r="A781" s="14"/>
    </row>
    <row r="782" spans="1:1" ht="15.75" customHeight="1" x14ac:dyDescent="0.45">
      <c r="A782" s="14"/>
    </row>
    <row r="783" spans="1:1" ht="15.75" customHeight="1" x14ac:dyDescent="0.45">
      <c r="A783" s="14"/>
    </row>
    <row r="784" spans="1:1" ht="15.75" customHeight="1" x14ac:dyDescent="0.45">
      <c r="A784" s="14"/>
    </row>
    <row r="785" spans="1:1" ht="15.75" customHeight="1" x14ac:dyDescent="0.45">
      <c r="A785" s="14"/>
    </row>
    <row r="786" spans="1:1" ht="15.75" customHeight="1" x14ac:dyDescent="0.45">
      <c r="A786" s="14"/>
    </row>
    <row r="787" spans="1:1" ht="15.75" customHeight="1" x14ac:dyDescent="0.45">
      <c r="A787" s="14"/>
    </row>
    <row r="788" spans="1:1" ht="15.75" customHeight="1" x14ac:dyDescent="0.45">
      <c r="A788" s="14"/>
    </row>
    <row r="789" spans="1:1" ht="15.75" customHeight="1" x14ac:dyDescent="0.45">
      <c r="A789" s="14"/>
    </row>
    <row r="790" spans="1:1" ht="15.75" customHeight="1" x14ac:dyDescent="0.45">
      <c r="A790" s="14"/>
    </row>
    <row r="791" spans="1:1" ht="15.75" customHeight="1" x14ac:dyDescent="0.45">
      <c r="A791" s="14"/>
    </row>
    <row r="792" spans="1:1" ht="15.75" customHeight="1" x14ac:dyDescent="0.45">
      <c r="A792" s="14"/>
    </row>
    <row r="793" spans="1:1" ht="15.75" customHeight="1" x14ac:dyDescent="0.45">
      <c r="A793" s="14"/>
    </row>
    <row r="794" spans="1:1" ht="15.75" customHeight="1" x14ac:dyDescent="0.45">
      <c r="A794" s="14"/>
    </row>
    <row r="795" spans="1:1" ht="15.75" customHeight="1" x14ac:dyDescent="0.45">
      <c r="A795" s="14"/>
    </row>
    <row r="796" spans="1:1" ht="15.75" customHeight="1" x14ac:dyDescent="0.45">
      <c r="A796" s="14"/>
    </row>
    <row r="797" spans="1:1" ht="15.75" customHeight="1" x14ac:dyDescent="0.45">
      <c r="A797" s="14"/>
    </row>
    <row r="798" spans="1:1" ht="15.75" customHeight="1" x14ac:dyDescent="0.45">
      <c r="A798" s="14"/>
    </row>
    <row r="799" spans="1:1" ht="15.75" customHeight="1" x14ac:dyDescent="0.45">
      <c r="A799" s="14"/>
    </row>
    <row r="800" spans="1:1" ht="15.75" customHeight="1" x14ac:dyDescent="0.45">
      <c r="A800" s="14"/>
    </row>
    <row r="801" spans="1:1" ht="15.75" customHeight="1" x14ac:dyDescent="0.45">
      <c r="A801" s="14"/>
    </row>
    <row r="802" spans="1:1" ht="15.75" customHeight="1" x14ac:dyDescent="0.45">
      <c r="A802" s="14"/>
    </row>
    <row r="803" spans="1:1" ht="15.75" customHeight="1" x14ac:dyDescent="0.45">
      <c r="A803" s="14"/>
    </row>
    <row r="804" spans="1:1" ht="15.75" customHeight="1" x14ac:dyDescent="0.45">
      <c r="A804" s="14"/>
    </row>
    <row r="805" spans="1:1" ht="15.75" customHeight="1" x14ac:dyDescent="0.45">
      <c r="A805" s="14"/>
    </row>
    <row r="806" spans="1:1" ht="15.75" customHeight="1" x14ac:dyDescent="0.45">
      <c r="A806" s="14"/>
    </row>
    <row r="807" spans="1:1" ht="15.75" customHeight="1" x14ac:dyDescent="0.45">
      <c r="A807" s="14"/>
    </row>
    <row r="808" spans="1:1" ht="15.75" customHeight="1" x14ac:dyDescent="0.45">
      <c r="A808" s="14"/>
    </row>
    <row r="809" spans="1:1" ht="15.75" customHeight="1" x14ac:dyDescent="0.45">
      <c r="A809" s="14"/>
    </row>
    <row r="810" spans="1:1" ht="15.75" customHeight="1" x14ac:dyDescent="0.45">
      <c r="A810" s="14"/>
    </row>
    <row r="811" spans="1:1" ht="15.75" customHeight="1" x14ac:dyDescent="0.45">
      <c r="A811" s="14"/>
    </row>
    <row r="812" spans="1:1" ht="15.75" customHeight="1" x14ac:dyDescent="0.45">
      <c r="A812" s="14"/>
    </row>
    <row r="813" spans="1:1" ht="15.75" customHeight="1" x14ac:dyDescent="0.45">
      <c r="A813" s="14"/>
    </row>
    <row r="814" spans="1:1" ht="15.75" customHeight="1" x14ac:dyDescent="0.45">
      <c r="A814" s="14"/>
    </row>
    <row r="815" spans="1:1" ht="15.75" customHeight="1" x14ac:dyDescent="0.45">
      <c r="A815" s="14"/>
    </row>
    <row r="816" spans="1:1" ht="15.75" customHeight="1" x14ac:dyDescent="0.45">
      <c r="A816" s="14"/>
    </row>
    <row r="817" spans="1:1" ht="15.75" customHeight="1" x14ac:dyDescent="0.45">
      <c r="A817" s="14"/>
    </row>
    <row r="818" spans="1:1" ht="15.75" customHeight="1" x14ac:dyDescent="0.45">
      <c r="A818" s="14"/>
    </row>
    <row r="819" spans="1:1" ht="15.75" customHeight="1" x14ac:dyDescent="0.45">
      <c r="A819" s="14"/>
    </row>
    <row r="820" spans="1:1" ht="15.75" customHeight="1" x14ac:dyDescent="0.45">
      <c r="A820" s="14"/>
    </row>
    <row r="821" spans="1:1" ht="15.75" customHeight="1" x14ac:dyDescent="0.45">
      <c r="A821" s="14"/>
    </row>
    <row r="822" spans="1:1" ht="15.75" customHeight="1" x14ac:dyDescent="0.45">
      <c r="A822" s="14"/>
    </row>
    <row r="823" spans="1:1" ht="15.75" customHeight="1" x14ac:dyDescent="0.45">
      <c r="A823" s="14"/>
    </row>
    <row r="824" spans="1:1" ht="15.75" customHeight="1" x14ac:dyDescent="0.45">
      <c r="A824" s="14"/>
    </row>
    <row r="825" spans="1:1" ht="15.75" customHeight="1" x14ac:dyDescent="0.45">
      <c r="A825" s="14"/>
    </row>
    <row r="826" spans="1:1" ht="15.75" customHeight="1" x14ac:dyDescent="0.45">
      <c r="A826" s="14"/>
    </row>
    <row r="827" spans="1:1" ht="15.75" customHeight="1" x14ac:dyDescent="0.45">
      <c r="A827" s="14"/>
    </row>
    <row r="828" spans="1:1" ht="15.75" customHeight="1" x14ac:dyDescent="0.45">
      <c r="A828" s="14"/>
    </row>
    <row r="829" spans="1:1" ht="15.75" customHeight="1" x14ac:dyDescent="0.45">
      <c r="A829" s="14"/>
    </row>
    <row r="830" spans="1:1" ht="15.75" customHeight="1" x14ac:dyDescent="0.45">
      <c r="A830" s="14"/>
    </row>
    <row r="831" spans="1:1" ht="15.75" customHeight="1" x14ac:dyDescent="0.45">
      <c r="A831" s="14"/>
    </row>
    <row r="832" spans="1:1" ht="15.75" customHeight="1" x14ac:dyDescent="0.45">
      <c r="A832" s="14"/>
    </row>
    <row r="833" spans="1:1" ht="15.75" customHeight="1" x14ac:dyDescent="0.45">
      <c r="A833" s="14"/>
    </row>
    <row r="834" spans="1:1" ht="15.75" customHeight="1" x14ac:dyDescent="0.45">
      <c r="A834" s="14"/>
    </row>
    <row r="835" spans="1:1" ht="15.75" customHeight="1" x14ac:dyDescent="0.45">
      <c r="A835" s="14"/>
    </row>
    <row r="836" spans="1:1" ht="15.75" customHeight="1" x14ac:dyDescent="0.45">
      <c r="A836" s="14"/>
    </row>
    <row r="837" spans="1:1" ht="15.75" customHeight="1" x14ac:dyDescent="0.45">
      <c r="A837" s="14"/>
    </row>
    <row r="838" spans="1:1" ht="15.75" customHeight="1" x14ac:dyDescent="0.45">
      <c r="A838" s="14"/>
    </row>
    <row r="839" spans="1:1" ht="15.75" customHeight="1" x14ac:dyDescent="0.45">
      <c r="A839" s="14"/>
    </row>
    <row r="840" spans="1:1" ht="15.75" customHeight="1" x14ac:dyDescent="0.45">
      <c r="A840" s="14"/>
    </row>
    <row r="841" spans="1:1" ht="15.75" customHeight="1" x14ac:dyDescent="0.45">
      <c r="A841" s="14"/>
    </row>
    <row r="842" spans="1:1" ht="15.75" customHeight="1" x14ac:dyDescent="0.45">
      <c r="A842" s="14"/>
    </row>
    <row r="843" spans="1:1" ht="15.75" customHeight="1" x14ac:dyDescent="0.45">
      <c r="A843" s="14"/>
    </row>
    <row r="844" spans="1:1" ht="15.75" customHeight="1" x14ac:dyDescent="0.45">
      <c r="A844" s="14"/>
    </row>
    <row r="845" spans="1:1" ht="15.75" customHeight="1" x14ac:dyDescent="0.45">
      <c r="A845" s="14"/>
    </row>
    <row r="846" spans="1:1" ht="15.75" customHeight="1" x14ac:dyDescent="0.45">
      <c r="A846" s="14"/>
    </row>
    <row r="847" spans="1:1" ht="15.75" customHeight="1" x14ac:dyDescent="0.45">
      <c r="A847" s="14"/>
    </row>
    <row r="848" spans="1:1" ht="15.75" customHeight="1" x14ac:dyDescent="0.45">
      <c r="A848" s="14"/>
    </row>
    <row r="849" spans="1:1" ht="15.75" customHeight="1" x14ac:dyDescent="0.45">
      <c r="A849" s="14"/>
    </row>
    <row r="850" spans="1:1" ht="15.75" customHeight="1" x14ac:dyDescent="0.45">
      <c r="A850" s="14"/>
    </row>
    <row r="851" spans="1:1" ht="15.75" customHeight="1" x14ac:dyDescent="0.45">
      <c r="A851" s="14"/>
    </row>
    <row r="852" spans="1:1" ht="15.75" customHeight="1" x14ac:dyDescent="0.45">
      <c r="A852" s="14"/>
    </row>
    <row r="853" spans="1:1" ht="15.75" customHeight="1" x14ac:dyDescent="0.45">
      <c r="A853" s="14"/>
    </row>
    <row r="854" spans="1:1" ht="15.75" customHeight="1" x14ac:dyDescent="0.45">
      <c r="A854" s="14"/>
    </row>
    <row r="855" spans="1:1" ht="15.75" customHeight="1" x14ac:dyDescent="0.45">
      <c r="A855" s="14"/>
    </row>
    <row r="856" spans="1:1" ht="15.75" customHeight="1" x14ac:dyDescent="0.45">
      <c r="A856" s="14"/>
    </row>
    <row r="857" spans="1:1" ht="15.75" customHeight="1" x14ac:dyDescent="0.45">
      <c r="A857" s="14"/>
    </row>
    <row r="858" spans="1:1" ht="15.75" customHeight="1" x14ac:dyDescent="0.45">
      <c r="A858" s="14"/>
    </row>
    <row r="859" spans="1:1" ht="15.75" customHeight="1" x14ac:dyDescent="0.45">
      <c r="A859" s="14"/>
    </row>
    <row r="860" spans="1:1" ht="15.75" customHeight="1" x14ac:dyDescent="0.45">
      <c r="A860" s="14"/>
    </row>
    <row r="861" spans="1:1" ht="15.75" customHeight="1" x14ac:dyDescent="0.45">
      <c r="A861" s="14"/>
    </row>
    <row r="862" spans="1:1" ht="15.75" customHeight="1" x14ac:dyDescent="0.45">
      <c r="A862" s="14"/>
    </row>
    <row r="863" spans="1:1" ht="15.75" customHeight="1" x14ac:dyDescent="0.45">
      <c r="A863" s="14"/>
    </row>
    <row r="864" spans="1:1" ht="15.75" customHeight="1" x14ac:dyDescent="0.45">
      <c r="A864" s="14"/>
    </row>
    <row r="865" spans="1:1" ht="15.75" customHeight="1" x14ac:dyDescent="0.45">
      <c r="A865" s="14"/>
    </row>
    <row r="866" spans="1:1" ht="15.75" customHeight="1" x14ac:dyDescent="0.45">
      <c r="A866" s="14"/>
    </row>
    <row r="867" spans="1:1" ht="15.75" customHeight="1" x14ac:dyDescent="0.45">
      <c r="A867" s="14"/>
    </row>
    <row r="868" spans="1:1" ht="15.75" customHeight="1" x14ac:dyDescent="0.45">
      <c r="A868" s="14"/>
    </row>
    <row r="869" spans="1:1" ht="15.75" customHeight="1" x14ac:dyDescent="0.45">
      <c r="A869" s="14"/>
    </row>
    <row r="870" spans="1:1" ht="15.75" customHeight="1" x14ac:dyDescent="0.45">
      <c r="A870" s="14"/>
    </row>
    <row r="871" spans="1:1" ht="15.75" customHeight="1" x14ac:dyDescent="0.45">
      <c r="A871" s="14"/>
    </row>
    <row r="872" spans="1:1" ht="15.75" customHeight="1" x14ac:dyDescent="0.45">
      <c r="A872" s="14"/>
    </row>
    <row r="873" spans="1:1" ht="15.75" customHeight="1" x14ac:dyDescent="0.45">
      <c r="A873" s="14"/>
    </row>
    <row r="874" spans="1:1" ht="15.75" customHeight="1" x14ac:dyDescent="0.45">
      <c r="A874" s="14"/>
    </row>
    <row r="875" spans="1:1" ht="15.75" customHeight="1" x14ac:dyDescent="0.45">
      <c r="A875" s="14"/>
    </row>
    <row r="876" spans="1:1" ht="15.75" customHeight="1" x14ac:dyDescent="0.45">
      <c r="A876" s="14"/>
    </row>
    <row r="877" spans="1:1" ht="15.75" customHeight="1" x14ac:dyDescent="0.45">
      <c r="A877" s="14"/>
    </row>
    <row r="878" spans="1:1" ht="15.75" customHeight="1" x14ac:dyDescent="0.45">
      <c r="A878" s="14"/>
    </row>
    <row r="879" spans="1:1" ht="15.75" customHeight="1" x14ac:dyDescent="0.45">
      <c r="A879" s="14"/>
    </row>
    <row r="880" spans="1:1" ht="15.75" customHeight="1" x14ac:dyDescent="0.45">
      <c r="A880" s="14"/>
    </row>
    <row r="881" spans="1:1" ht="15.75" customHeight="1" x14ac:dyDescent="0.45">
      <c r="A881" s="14"/>
    </row>
    <row r="882" spans="1:1" ht="15.75" customHeight="1" x14ac:dyDescent="0.45">
      <c r="A882" s="14"/>
    </row>
    <row r="883" spans="1:1" ht="15.75" customHeight="1" x14ac:dyDescent="0.45">
      <c r="A883" s="14"/>
    </row>
    <row r="884" spans="1:1" ht="15.75" customHeight="1" x14ac:dyDescent="0.45">
      <c r="A884" s="14"/>
    </row>
    <row r="885" spans="1:1" ht="15.75" customHeight="1" x14ac:dyDescent="0.45">
      <c r="A885" s="14"/>
    </row>
    <row r="886" spans="1:1" ht="15.75" customHeight="1" x14ac:dyDescent="0.45">
      <c r="A886" s="14"/>
    </row>
    <row r="887" spans="1:1" ht="15.75" customHeight="1" x14ac:dyDescent="0.45">
      <c r="A887" s="14"/>
    </row>
    <row r="888" spans="1:1" ht="15.75" customHeight="1" x14ac:dyDescent="0.45">
      <c r="A888" s="14"/>
    </row>
    <row r="889" spans="1:1" ht="15.75" customHeight="1" x14ac:dyDescent="0.45">
      <c r="A889" s="14"/>
    </row>
    <row r="890" spans="1:1" ht="15.75" customHeight="1" x14ac:dyDescent="0.45">
      <c r="A890" s="14"/>
    </row>
    <row r="891" spans="1:1" ht="15.75" customHeight="1" x14ac:dyDescent="0.45">
      <c r="A891" s="14"/>
    </row>
    <row r="892" spans="1:1" ht="15.75" customHeight="1" x14ac:dyDescent="0.45">
      <c r="A892" s="14"/>
    </row>
    <row r="893" spans="1:1" ht="15.75" customHeight="1" x14ac:dyDescent="0.45">
      <c r="A893" s="14"/>
    </row>
    <row r="894" spans="1:1" ht="15.75" customHeight="1" x14ac:dyDescent="0.45">
      <c r="A894" s="14"/>
    </row>
    <row r="895" spans="1:1" ht="15.75" customHeight="1" x14ac:dyDescent="0.45">
      <c r="A895" s="14"/>
    </row>
    <row r="896" spans="1:1" ht="15.75" customHeight="1" x14ac:dyDescent="0.45">
      <c r="A896" s="14"/>
    </row>
    <row r="897" spans="1:1" ht="15.75" customHeight="1" x14ac:dyDescent="0.45">
      <c r="A897" s="14"/>
    </row>
    <row r="898" spans="1:1" ht="15.75" customHeight="1" x14ac:dyDescent="0.45">
      <c r="A898" s="14"/>
    </row>
    <row r="899" spans="1:1" ht="15.75" customHeight="1" x14ac:dyDescent="0.45">
      <c r="A899" s="14"/>
    </row>
    <row r="900" spans="1:1" ht="15.75" customHeight="1" x14ac:dyDescent="0.45">
      <c r="A900" s="14"/>
    </row>
    <row r="901" spans="1:1" ht="15.75" customHeight="1" x14ac:dyDescent="0.45">
      <c r="A901" s="14"/>
    </row>
    <row r="902" spans="1:1" ht="15.75" customHeight="1" x14ac:dyDescent="0.45">
      <c r="A902" s="14"/>
    </row>
    <row r="903" spans="1:1" ht="15.75" customHeight="1" x14ac:dyDescent="0.45">
      <c r="A903" s="14"/>
    </row>
    <row r="904" spans="1:1" ht="15.75" customHeight="1" x14ac:dyDescent="0.45">
      <c r="A904" s="14"/>
    </row>
    <row r="905" spans="1:1" ht="15.75" customHeight="1" x14ac:dyDescent="0.45">
      <c r="A905" s="14"/>
    </row>
    <row r="906" spans="1:1" ht="15.75" customHeight="1" x14ac:dyDescent="0.45">
      <c r="A906" s="14"/>
    </row>
    <row r="907" spans="1:1" ht="15.75" customHeight="1" x14ac:dyDescent="0.45">
      <c r="A907" s="14"/>
    </row>
    <row r="908" spans="1:1" ht="15.75" customHeight="1" x14ac:dyDescent="0.45">
      <c r="A908" s="14"/>
    </row>
    <row r="909" spans="1:1" ht="15.75" customHeight="1" x14ac:dyDescent="0.45">
      <c r="A909" s="14"/>
    </row>
    <row r="910" spans="1:1" ht="15.75" customHeight="1" x14ac:dyDescent="0.45">
      <c r="A910" s="14"/>
    </row>
    <row r="911" spans="1:1" ht="15.75" customHeight="1" x14ac:dyDescent="0.45">
      <c r="A911" s="14"/>
    </row>
    <row r="912" spans="1:1" ht="15.75" customHeight="1" x14ac:dyDescent="0.45">
      <c r="A912" s="14"/>
    </row>
    <row r="913" spans="1:1" ht="15.75" customHeight="1" x14ac:dyDescent="0.45">
      <c r="A913" s="14"/>
    </row>
    <row r="914" spans="1:1" ht="15.75" customHeight="1" x14ac:dyDescent="0.45">
      <c r="A914" s="14"/>
    </row>
    <row r="915" spans="1:1" ht="15.75" customHeight="1" x14ac:dyDescent="0.45">
      <c r="A915" s="14"/>
    </row>
    <row r="916" spans="1:1" ht="15.75" customHeight="1" x14ac:dyDescent="0.45">
      <c r="A916" s="14"/>
    </row>
    <row r="917" spans="1:1" ht="15.75" customHeight="1" x14ac:dyDescent="0.45">
      <c r="A917" s="14"/>
    </row>
    <row r="918" spans="1:1" ht="15.75" customHeight="1" x14ac:dyDescent="0.45">
      <c r="A918" s="14"/>
    </row>
    <row r="919" spans="1:1" ht="15.75" customHeight="1" x14ac:dyDescent="0.45">
      <c r="A919" s="14"/>
    </row>
    <row r="920" spans="1:1" ht="15.75" customHeight="1" x14ac:dyDescent="0.45">
      <c r="A920" s="14"/>
    </row>
    <row r="921" spans="1:1" ht="15.75" customHeight="1" x14ac:dyDescent="0.45">
      <c r="A921" s="14"/>
    </row>
    <row r="922" spans="1:1" ht="15.75" customHeight="1" x14ac:dyDescent="0.45">
      <c r="A922" s="14"/>
    </row>
    <row r="923" spans="1:1" ht="15.75" customHeight="1" x14ac:dyDescent="0.45">
      <c r="A923" s="14"/>
    </row>
    <row r="924" spans="1:1" ht="15.75" customHeight="1" x14ac:dyDescent="0.45">
      <c r="A924" s="14"/>
    </row>
    <row r="925" spans="1:1" ht="15.75" customHeight="1" x14ac:dyDescent="0.45">
      <c r="A925" s="14"/>
    </row>
    <row r="926" spans="1:1" ht="15.75" customHeight="1" x14ac:dyDescent="0.45">
      <c r="A926" s="14"/>
    </row>
    <row r="927" spans="1:1" ht="15.75" customHeight="1" x14ac:dyDescent="0.45">
      <c r="A927" s="14"/>
    </row>
    <row r="928" spans="1:1" ht="15.75" customHeight="1" x14ac:dyDescent="0.45">
      <c r="A928" s="14"/>
    </row>
    <row r="929" spans="1:1" ht="15.75" customHeight="1" x14ac:dyDescent="0.45">
      <c r="A929" s="14"/>
    </row>
    <row r="930" spans="1:1" ht="15.75" customHeight="1" x14ac:dyDescent="0.45">
      <c r="A930" s="14"/>
    </row>
    <row r="931" spans="1:1" ht="15.75" customHeight="1" x14ac:dyDescent="0.45">
      <c r="A931" s="14"/>
    </row>
    <row r="932" spans="1:1" ht="15.75" customHeight="1" x14ac:dyDescent="0.45">
      <c r="A932" s="14"/>
    </row>
    <row r="933" spans="1:1" ht="15.75" customHeight="1" x14ac:dyDescent="0.45">
      <c r="A933" s="14"/>
    </row>
    <row r="934" spans="1:1" ht="15.75" customHeight="1" x14ac:dyDescent="0.45">
      <c r="A934" s="14"/>
    </row>
    <row r="935" spans="1:1" ht="15.75" customHeight="1" x14ac:dyDescent="0.45">
      <c r="A935" s="14"/>
    </row>
    <row r="936" spans="1:1" ht="15.75" customHeight="1" x14ac:dyDescent="0.45">
      <c r="A936" s="14"/>
    </row>
    <row r="937" spans="1:1" ht="15.75" customHeight="1" x14ac:dyDescent="0.45">
      <c r="A937" s="14"/>
    </row>
    <row r="938" spans="1:1" ht="15.75" customHeight="1" x14ac:dyDescent="0.45">
      <c r="A938" s="14"/>
    </row>
    <row r="939" spans="1:1" ht="15.75" customHeight="1" x14ac:dyDescent="0.45">
      <c r="A939" s="14"/>
    </row>
    <row r="940" spans="1:1" ht="15.75" customHeight="1" x14ac:dyDescent="0.45">
      <c r="A940" s="14"/>
    </row>
    <row r="941" spans="1:1" ht="15.75" customHeight="1" x14ac:dyDescent="0.45">
      <c r="A941" s="14"/>
    </row>
    <row r="942" spans="1:1" ht="15.75" customHeight="1" x14ac:dyDescent="0.45">
      <c r="A942" s="14"/>
    </row>
    <row r="943" spans="1:1" ht="15.75" customHeight="1" x14ac:dyDescent="0.45">
      <c r="A943" s="14"/>
    </row>
    <row r="944" spans="1:1" ht="15.75" customHeight="1" x14ac:dyDescent="0.45">
      <c r="A944" s="14"/>
    </row>
    <row r="945" spans="1:1" ht="15.75" customHeight="1" x14ac:dyDescent="0.45">
      <c r="A945" s="14"/>
    </row>
    <row r="946" spans="1:1" ht="15.75" customHeight="1" x14ac:dyDescent="0.45">
      <c r="A946" s="14"/>
    </row>
    <row r="947" spans="1:1" ht="15.75" customHeight="1" x14ac:dyDescent="0.45">
      <c r="A947" s="14"/>
    </row>
    <row r="948" spans="1:1" ht="15.75" customHeight="1" x14ac:dyDescent="0.45">
      <c r="A948" s="14"/>
    </row>
    <row r="949" spans="1:1" ht="15.75" customHeight="1" x14ac:dyDescent="0.45">
      <c r="A949" s="14"/>
    </row>
    <row r="950" spans="1:1" ht="15.75" customHeight="1" x14ac:dyDescent="0.45">
      <c r="A950" s="14"/>
    </row>
    <row r="951" spans="1:1" ht="15.75" customHeight="1" x14ac:dyDescent="0.45">
      <c r="A951" s="14"/>
    </row>
    <row r="952" spans="1:1" ht="15.75" customHeight="1" x14ac:dyDescent="0.45">
      <c r="A952" s="14"/>
    </row>
    <row r="953" spans="1:1" ht="15.75" customHeight="1" x14ac:dyDescent="0.45">
      <c r="A953" s="14"/>
    </row>
    <row r="954" spans="1:1" ht="15.75" customHeight="1" x14ac:dyDescent="0.45">
      <c r="A954" s="14"/>
    </row>
    <row r="955" spans="1:1" ht="15.75" customHeight="1" x14ac:dyDescent="0.45">
      <c r="A955" s="14"/>
    </row>
    <row r="956" spans="1:1" ht="15.75" customHeight="1" x14ac:dyDescent="0.45">
      <c r="A956" s="14"/>
    </row>
    <row r="957" spans="1:1" ht="15.75" customHeight="1" x14ac:dyDescent="0.45">
      <c r="A957" s="14"/>
    </row>
    <row r="958" spans="1:1" ht="15.75" customHeight="1" x14ac:dyDescent="0.45">
      <c r="A958" s="14"/>
    </row>
    <row r="959" spans="1:1" ht="15.75" customHeight="1" x14ac:dyDescent="0.45">
      <c r="A959" s="14"/>
    </row>
    <row r="960" spans="1:1" ht="15.75" customHeight="1" x14ac:dyDescent="0.45">
      <c r="A960" s="14"/>
    </row>
    <row r="961" spans="1:1" ht="15.75" customHeight="1" x14ac:dyDescent="0.45">
      <c r="A961" s="14"/>
    </row>
    <row r="962" spans="1:1" ht="15.75" customHeight="1" x14ac:dyDescent="0.45">
      <c r="A962" s="14"/>
    </row>
    <row r="963" spans="1:1" ht="15.75" customHeight="1" x14ac:dyDescent="0.45">
      <c r="A963" s="14"/>
    </row>
    <row r="964" spans="1:1" ht="15.75" customHeight="1" x14ac:dyDescent="0.45">
      <c r="A964" s="14"/>
    </row>
    <row r="965" spans="1:1" ht="15.75" customHeight="1" x14ac:dyDescent="0.45">
      <c r="A965" s="14"/>
    </row>
    <row r="966" spans="1:1" ht="15.75" customHeight="1" x14ac:dyDescent="0.45">
      <c r="A966" s="14"/>
    </row>
    <row r="967" spans="1:1" ht="15.75" customHeight="1" x14ac:dyDescent="0.45">
      <c r="A967" s="14"/>
    </row>
    <row r="968" spans="1:1" ht="15.75" customHeight="1" x14ac:dyDescent="0.45">
      <c r="A968" s="14"/>
    </row>
    <row r="969" spans="1:1" ht="15.75" customHeight="1" x14ac:dyDescent="0.45">
      <c r="A969" s="14"/>
    </row>
    <row r="970" spans="1:1" ht="15.75" customHeight="1" x14ac:dyDescent="0.45">
      <c r="A970" s="14"/>
    </row>
    <row r="971" spans="1:1" ht="15.75" customHeight="1" x14ac:dyDescent="0.45">
      <c r="A971" s="14"/>
    </row>
    <row r="972" spans="1:1" ht="15.75" customHeight="1" x14ac:dyDescent="0.45">
      <c r="A972" s="14"/>
    </row>
    <row r="973" spans="1:1" ht="15.75" customHeight="1" x14ac:dyDescent="0.45">
      <c r="A973" s="14"/>
    </row>
    <row r="974" spans="1:1" ht="15.75" customHeight="1" x14ac:dyDescent="0.45">
      <c r="A974" s="14"/>
    </row>
    <row r="975" spans="1:1" ht="15.75" customHeight="1" x14ac:dyDescent="0.45">
      <c r="A975" s="14"/>
    </row>
    <row r="976" spans="1:1" ht="15.75" customHeight="1" x14ac:dyDescent="0.45">
      <c r="A976" s="14"/>
    </row>
    <row r="977" spans="1:1" ht="15.75" customHeight="1" x14ac:dyDescent="0.45">
      <c r="A977" s="14"/>
    </row>
    <row r="978" spans="1:1" ht="15.75" customHeight="1" x14ac:dyDescent="0.45">
      <c r="A978" s="14"/>
    </row>
    <row r="979" spans="1:1" ht="15.75" customHeight="1" x14ac:dyDescent="0.45">
      <c r="A979" s="14"/>
    </row>
    <row r="980" spans="1:1" ht="15.75" customHeight="1" x14ac:dyDescent="0.45">
      <c r="A980" s="14"/>
    </row>
    <row r="981" spans="1:1" ht="15.75" customHeight="1" x14ac:dyDescent="0.45">
      <c r="A981" s="14"/>
    </row>
    <row r="982" spans="1:1" ht="15.75" customHeight="1" x14ac:dyDescent="0.45">
      <c r="A982" s="14"/>
    </row>
    <row r="983" spans="1:1" ht="15.75" customHeight="1" x14ac:dyDescent="0.45">
      <c r="A983" s="14"/>
    </row>
    <row r="984" spans="1:1" ht="15.75" customHeight="1" x14ac:dyDescent="0.45">
      <c r="A984" s="14"/>
    </row>
    <row r="985" spans="1:1" ht="15.75" customHeight="1" x14ac:dyDescent="0.45">
      <c r="A985" s="14"/>
    </row>
    <row r="986" spans="1:1" ht="15.75" customHeight="1" x14ac:dyDescent="0.45">
      <c r="A986" s="14"/>
    </row>
    <row r="987" spans="1:1" ht="15.75" customHeight="1" x14ac:dyDescent="0.45">
      <c r="A987" s="14"/>
    </row>
    <row r="988" spans="1:1" ht="15.75" customHeight="1" x14ac:dyDescent="0.45">
      <c r="A988" s="14"/>
    </row>
    <row r="989" spans="1:1" ht="15.75" customHeight="1" x14ac:dyDescent="0.45">
      <c r="A989" s="14"/>
    </row>
    <row r="990" spans="1:1" ht="15.75" customHeight="1" x14ac:dyDescent="0.45">
      <c r="A990" s="14"/>
    </row>
    <row r="991" spans="1:1" ht="15.75" customHeight="1" x14ac:dyDescent="0.45">
      <c r="A991" s="14"/>
    </row>
    <row r="992" spans="1:1" ht="15.75" customHeight="1" x14ac:dyDescent="0.45">
      <c r="A992" s="14"/>
    </row>
    <row r="993" spans="1:1" ht="15.75" customHeight="1" x14ac:dyDescent="0.45">
      <c r="A993" s="14"/>
    </row>
    <row r="994" spans="1:1" ht="15.75" customHeight="1" x14ac:dyDescent="0.45">
      <c r="A994" s="14"/>
    </row>
    <row r="995" spans="1:1" ht="15.75" customHeight="1" x14ac:dyDescent="0.45">
      <c r="A995" s="14"/>
    </row>
    <row r="996" spans="1:1" ht="15.75" customHeight="1" x14ac:dyDescent="0.45">
      <c r="A996" s="14"/>
    </row>
    <row r="997" spans="1:1" ht="15.75" customHeight="1" x14ac:dyDescent="0.45">
      <c r="A997" s="14"/>
    </row>
    <row r="998" spans="1:1" ht="15.75" customHeight="1" x14ac:dyDescent="0.45">
      <c r="A998" s="14"/>
    </row>
    <row r="999" spans="1:1" ht="15.75" customHeight="1" x14ac:dyDescent="0.45">
      <c r="A999" s="14"/>
    </row>
    <row r="1000" spans="1:1" ht="15.75" customHeight="1" x14ac:dyDescent="0.45">
      <c r="A1000" s="14"/>
    </row>
  </sheetData>
  <pageMargins left="0.70866141732283472" right="0.70866141732283472" top="0.74803149606299213" bottom="0.74803149606299213" header="0" footer="0"/>
  <pageSetup paperSize="9" scale="10" orientation="landscape" r:id="rId1"/>
  <headerFooter>
    <oddHeader>&amp;R&amp;F  &amp;A</oddHeader>
    <oddFooter>&amp;L© 2016&amp;CPage &amp;P of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002F8CDD7ACF40A6C36B1C9FA62C55" ma:contentTypeVersion="14" ma:contentTypeDescription="Create a new document." ma:contentTypeScope="" ma:versionID="d404fa04c35d4f3b5506d3037726f8c7">
  <xsd:schema xmlns:xsd="http://www.w3.org/2001/XMLSchema" xmlns:xs="http://www.w3.org/2001/XMLSchema" xmlns:p="http://schemas.microsoft.com/office/2006/metadata/properties" xmlns:ns2="69eded41-6c5d-4718-b7b7-dbfd1652bccf" xmlns:ns3="6ea4884f-dd23-4a9e-9674-e0962577458b" targetNamespace="http://schemas.microsoft.com/office/2006/metadata/properties" ma:root="true" ma:fieldsID="80694a67426a54d6681b2d2a2fe6f891" ns2:_="" ns3:_="">
    <xsd:import namespace="69eded41-6c5d-4718-b7b7-dbfd1652bccf"/>
    <xsd:import namespace="6ea4884f-dd23-4a9e-9674-e096257745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eded41-6c5d-4718-b7b7-dbfd1652bc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2ff089-c713-41da-a7f8-7725fa36ebb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4884f-dd23-4a9e-9674-e096257745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7a576b-233c-4f6a-bc99-79689ae6a87f}" ma:internalName="TaxCatchAll" ma:showField="CatchAllData" ma:web="6ea4884f-dd23-4a9e-9674-e09625774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eded41-6c5d-4718-b7b7-dbfd1652bccf">
      <Terms xmlns="http://schemas.microsoft.com/office/infopath/2007/PartnerControls"/>
    </lcf76f155ced4ddcb4097134ff3c332f>
    <TaxCatchAll xmlns="6ea4884f-dd23-4a9e-9674-e096257745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38F79-5ECA-46DD-A9BE-C99D27077EDC}"/>
</file>

<file path=customXml/itemProps2.xml><?xml version="1.0" encoding="utf-8"?>
<ds:datastoreItem xmlns:ds="http://schemas.openxmlformats.org/officeDocument/2006/customXml" ds:itemID="{2B99976A-A153-47D6-BDE7-A7DFBE24173B}">
  <ds:schemaRefs>
    <ds:schemaRef ds:uri="http://schemas.microsoft.com/office/2006/metadata/properties"/>
    <ds:schemaRef ds:uri="http://schemas.microsoft.com/office/infopath/2007/PartnerControls"/>
    <ds:schemaRef ds:uri="69eded41-6c5d-4718-b7b7-dbfd1652bccf"/>
    <ds:schemaRef ds:uri="6ea4884f-dd23-4a9e-9674-e0962577458b"/>
  </ds:schemaRefs>
</ds:datastoreItem>
</file>

<file path=customXml/itemProps3.xml><?xml version="1.0" encoding="utf-8"?>
<ds:datastoreItem xmlns:ds="http://schemas.openxmlformats.org/officeDocument/2006/customXml" ds:itemID="{77F24BD9-5459-4237-BB08-C091067037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31</vt:i4>
      </vt:variant>
    </vt:vector>
  </HeadingPairs>
  <TitlesOfParts>
    <vt:vector size="38" baseType="lpstr">
      <vt:lpstr>Welcome</vt:lpstr>
      <vt:lpstr>Info</vt:lpstr>
      <vt:lpstr>LBO 1</vt:lpstr>
      <vt:lpstr>LBO 2</vt:lpstr>
      <vt:lpstr>LBO 3</vt:lpstr>
      <vt:lpstr>LBO 4</vt:lpstr>
      <vt:lpstr>Factset codes</vt:lpstr>
      <vt:lpstr>Circswitch</vt:lpstr>
      <vt:lpstr>'Factset codes'!COMP_CALENDARIZE_PERCENTAGES</vt:lpstr>
      <vt:lpstr>'Factset codes'!COMP_EQ_VALUE</vt:lpstr>
      <vt:lpstr>'Factset codes'!COMP_EV</vt:lpstr>
      <vt:lpstr>'Factset codes'!Comp_MTR</vt:lpstr>
      <vt:lpstr>'Factset codes'!COMP_SHAREPRICE</vt:lpstr>
      <vt:lpstr>'Factset codes'!EBIT_LTM</vt:lpstr>
      <vt:lpstr>'Factset codes'!EBITDA_LTM</vt:lpstr>
      <vt:lpstr>'Factset codes'!EV_EBIT_CY1</vt:lpstr>
      <vt:lpstr>'Factset codes'!EV_EBIT_CY2</vt:lpstr>
      <vt:lpstr>'Factset codes'!EV_EBIT_CY3</vt:lpstr>
      <vt:lpstr>'Factset codes'!EV_EBIT_CY4</vt:lpstr>
      <vt:lpstr>'Factset codes'!EV_EBIT_LTM</vt:lpstr>
      <vt:lpstr>'Factset codes'!EV_EBITDA_CY1</vt:lpstr>
      <vt:lpstr>'Factset codes'!EV_EBITDA_CY2</vt:lpstr>
      <vt:lpstr>'Factset codes'!EV_EBITDA_CY3</vt:lpstr>
      <vt:lpstr>'Factset codes'!EV_EBITDA_CY4</vt:lpstr>
      <vt:lpstr>'Factset codes'!EV_EBITDA_LMT</vt:lpstr>
      <vt:lpstr>'Factset codes'!EV_REVENUE_CY1</vt:lpstr>
      <vt:lpstr>'Factset codes'!EV_REVENUE_CY2</vt:lpstr>
      <vt:lpstr>'Factset codes'!EV_REVENUE_CY3</vt:lpstr>
      <vt:lpstr>'Factset codes'!EV_REVENUE_CY4</vt:lpstr>
      <vt:lpstr>'Factset codes'!EV_REVENUE_LTM</vt:lpstr>
      <vt:lpstr>'Factset codes'!FCF_LTM</vt:lpstr>
      <vt:lpstr>'Factset codes'!PE_CY1</vt:lpstr>
      <vt:lpstr>'Factset codes'!PE_CY2</vt:lpstr>
      <vt:lpstr>'Factset codes'!PE_CY3</vt:lpstr>
      <vt:lpstr>'Factset codes'!PE_CY4</vt:lpstr>
      <vt:lpstr>'LBO 3'!Print_Area</vt:lpstr>
      <vt:lpstr>'LBO 4'!Print_Area</vt:lpstr>
      <vt:lpstr>'Factset codes'!SALES_LTM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Alastair Matchett</dc:creator>
  <cp:keywords/>
  <dc:description/>
  <cp:lastModifiedBy>Maria Weber</cp:lastModifiedBy>
  <cp:revision/>
  <cp:lastPrinted>2025-05-11T16:19:48Z</cp:lastPrinted>
  <dcterms:created xsi:type="dcterms:W3CDTF">2016-02-03T14:06:14Z</dcterms:created>
  <dcterms:modified xsi:type="dcterms:W3CDTF">2026-01-06T17:09:20Z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sSearchOrder">
    <vt:i4>0</vt:i4>
  </property>
  <property fmtid="{D5CDD505-2E9C-101B-9397-08002B2CF9AE}" pid="3" name="ContentTypeId">
    <vt:lpwstr>0x0101004F002F8CDD7ACF40A6C36B1C9FA62C55</vt:lpwstr>
  </property>
  <property fmtid="{D5CDD505-2E9C-101B-9397-08002B2CF9AE}" pid="4" name="MediaServiceImageTags">
    <vt:lpwstr/>
  </property>
</Properties>
</file>