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7092 LBO Add-on Acqn Re-record/7 Combining The Base and Add-On Part 2/"/>
    </mc:Choice>
  </mc:AlternateContent>
  <xr:revisionPtr revIDLastSave="114" documentId="8_{8F2E81AD-D83A-4A15-8487-44BAA873AE7F}" xr6:coauthVersionLast="47" xr6:coauthVersionMax="47" xr10:uidLastSave="{54363716-7C1F-4F74-9FE4-A548BDCE2A6A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0" i="20" l="1"/>
  <c r="G60" i="20"/>
  <c r="L80" i="20" l="1"/>
  <c r="M80" i="20"/>
  <c r="O80" i="20"/>
  <c r="H80" i="20"/>
  <c r="I80" i="20"/>
  <c r="J80" i="20"/>
  <c r="N78" i="20"/>
  <c r="O78" i="20"/>
  <c r="N80" i="20"/>
  <c r="G78" i="20"/>
  <c r="H78" i="20"/>
  <c r="I78" i="20"/>
  <c r="J78" i="20"/>
  <c r="K78" i="20"/>
  <c r="L78" i="20"/>
  <c r="M78" i="20"/>
  <c r="K80" i="20" l="1"/>
  <c r="G80" i="20"/>
  <c r="F3" i="20" l="1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G25" i="25" s="1"/>
  <c r="G26" i="25" s="1" a="1"/>
  <c r="G26" i="25" s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I25" i="25" s="1"/>
  <c r="F77" i="28"/>
  <c r="G64" i="28"/>
  <c r="O9" i="28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J25" i="25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82" i="28"/>
  <c r="I83" i="28" s="1"/>
  <c r="N20" i="28"/>
  <c r="N87" i="28" s="1"/>
  <c r="L26" i="25" l="1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G57" i="20" l="1"/>
  <c r="H19" i="20"/>
  <c r="A4" i="20"/>
  <c r="I19" i="20" l="1"/>
  <c r="I57" i="20" l="1"/>
  <c r="J19" i="20"/>
  <c r="J57" i="20" l="1"/>
  <c r="K19" i="20"/>
  <c r="K57" i="20" l="1"/>
  <c r="L19" i="20"/>
  <c r="L57" i="20" l="1"/>
  <c r="M19" i="20"/>
  <c r="M57" i="20" l="1"/>
  <c r="N19" i="20"/>
  <c r="N57" i="20" l="1"/>
  <c r="O19" i="20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O57" i="20" l="1"/>
  <c r="F19" i="25"/>
  <c r="G23" i="20"/>
  <c r="G35" i="25"/>
  <c r="H29" i="25"/>
  <c r="I40" i="25" s="1" a="1"/>
  <c r="I40" i="25" s="1"/>
  <c r="G44" i="25"/>
  <c r="G30" i="25"/>
  <c r="G45" i="25" l="1"/>
  <c r="G40" i="20" s="1"/>
  <c r="G39" i="25"/>
  <c r="H38" i="25"/>
  <c r="H23" i="20" s="1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G42" i="20"/>
  <c r="H35" i="25"/>
  <c r="I29" i="25"/>
  <c r="I38" i="25" s="1"/>
  <c r="I23" i="20" s="1"/>
  <c r="I24" i="20" s="1"/>
  <c r="H44" i="25"/>
  <c r="H42" i="20" s="1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3" i="20" s="1"/>
  <c r="J24" i="20" s="1"/>
  <c r="I30" i="25"/>
  <c r="I35" i="25"/>
  <c r="H43" i="25" l="1"/>
  <c r="H57" i="20"/>
  <c r="I45" i="25"/>
  <c r="I40" i="20" s="1"/>
  <c r="G27" i="20"/>
  <c r="G38" i="20"/>
  <c r="I39" i="25"/>
  <c r="I41" i="25" s="1"/>
  <c r="I43" i="25" s="1"/>
  <c r="I44" i="25"/>
  <c r="I42" i="20" s="1"/>
  <c r="G56" i="20"/>
  <c r="I31" i="25"/>
  <c r="K29" i="25"/>
  <c r="K38" i="25" s="1"/>
  <c r="K23" i="20" s="1"/>
  <c r="K24" i="20" s="1"/>
  <c r="J35" i="25"/>
  <c r="J30" i="25"/>
  <c r="F10" i="25"/>
  <c r="J7" i="25" s="1"/>
  <c r="H27" i="20" l="1"/>
  <c r="H28" i="20" s="1"/>
  <c r="H38" i="20"/>
  <c r="J45" i="25"/>
  <c r="J40" i="20" s="1"/>
  <c r="I38" i="20"/>
  <c r="J39" i="25"/>
  <c r="J41" i="25" s="1"/>
  <c r="J43" i="25" s="1"/>
  <c r="J44" i="25"/>
  <c r="J42" i="20" s="1"/>
  <c r="J8" i="25"/>
  <c r="J9" i="25" s="1"/>
  <c r="O8" i="25" s="1"/>
  <c r="L29" i="25"/>
  <c r="L38" i="25" s="1"/>
  <c r="L23" i="20" s="1"/>
  <c r="L24" i="20" s="1"/>
  <c r="K30" i="25"/>
  <c r="K35" i="25"/>
  <c r="J31" i="25"/>
  <c r="H84" i="20" l="1"/>
  <c r="K45" i="25"/>
  <c r="K40" i="20" s="1"/>
  <c r="I27" i="20"/>
  <c r="I28" i="20" s="1"/>
  <c r="I84" i="20" s="1"/>
  <c r="K39" i="25"/>
  <c r="K41" i="25" s="1"/>
  <c r="K43" i="25" s="1"/>
  <c r="K44" i="25"/>
  <c r="K42" i="20" s="1"/>
  <c r="J27" i="20"/>
  <c r="J28" i="20" s="1"/>
  <c r="O9" i="25"/>
  <c r="K31" i="25"/>
  <c r="L30" i="25"/>
  <c r="M29" i="25"/>
  <c r="M38" i="25" s="1"/>
  <c r="M23" i="20" s="1"/>
  <c r="M24" i="20" s="1"/>
  <c r="L35" i="25"/>
  <c r="J38" i="20" l="1"/>
  <c r="J84" i="20" s="1"/>
  <c r="L45" i="25"/>
  <c r="L40" i="20" s="1"/>
  <c r="L39" i="25"/>
  <c r="L41" i="25" s="1"/>
  <c r="L43" i="25" s="1"/>
  <c r="L44" i="25"/>
  <c r="L42" i="20" s="1"/>
  <c r="L31" i="25"/>
  <c r="M30" i="25"/>
  <c r="M35" i="25"/>
  <c r="N29" i="25"/>
  <c r="N38" i="25" s="1"/>
  <c r="N23" i="20" s="1"/>
  <c r="N24" i="20" s="1"/>
  <c r="K27" i="20" l="1"/>
  <c r="K28" i="20" s="1"/>
  <c r="K38" i="20"/>
  <c r="M45" i="25"/>
  <c r="M40" i="20" s="1"/>
  <c r="M39" i="25"/>
  <c r="M41" i="25" s="1"/>
  <c r="M43" i="25" s="1"/>
  <c r="M44" i="25"/>
  <c r="M42" i="20" s="1"/>
  <c r="O29" i="25"/>
  <c r="N35" i="25"/>
  <c r="N30" i="25"/>
  <c r="M31" i="25"/>
  <c r="K84" i="20" l="1"/>
  <c r="L27" i="20"/>
  <c r="L28" i="20" s="1"/>
  <c r="L38" i="20"/>
  <c r="N45" i="25"/>
  <c r="N40" i="20" s="1"/>
  <c r="N44" i="25"/>
  <c r="N42" i="20" s="1"/>
  <c r="O38" i="25"/>
  <c r="O23" i="20" s="1"/>
  <c r="O24" i="20" s="1"/>
  <c r="N39" i="25"/>
  <c r="N41" i="25" s="1"/>
  <c r="N43" i="25" s="1"/>
  <c r="O30" i="25"/>
  <c r="O35" i="25"/>
  <c r="O45" i="25" s="1"/>
  <c r="O40" i="20" s="1"/>
  <c r="N31" i="25"/>
  <c r="L84" i="20" l="1"/>
  <c r="M27" i="20"/>
  <c r="M28" i="20" s="1"/>
  <c r="M38" i="20"/>
  <c r="N38" i="20"/>
  <c r="O44" i="25"/>
  <c r="O42" i="20" s="1"/>
  <c r="O39" i="25"/>
  <c r="O41" i="25" s="1"/>
  <c r="O43" i="25" s="1"/>
  <c r="O31" i="25"/>
  <c r="M84" i="20" l="1"/>
  <c r="N27" i="20"/>
  <c r="N28" i="20" s="1"/>
  <c r="N84" i="20" s="1"/>
  <c r="O27" i="20"/>
  <c r="O28" i="20" s="1"/>
  <c r="G45" i="20"/>
  <c r="O38" i="20" l="1"/>
  <c r="O84" i="20" s="1"/>
  <c r="G24" i="20"/>
  <c r="G49" i="20" l="1"/>
  <c r="G28" i="20" l="1"/>
  <c r="G84" i="20" s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G31" i="20" s="1"/>
  <c r="N29" i="20"/>
  <c r="O30" i="20"/>
  <c r="G40" i="28"/>
  <c r="G42" i="28"/>
  <c r="G43" i="28" s="1"/>
  <c r="K40" i="28"/>
  <c r="K42" i="28" s="1"/>
  <c r="L41" i="28"/>
  <c r="O31" i="20" l="1"/>
  <c r="H31" i="20"/>
  <c r="H32" i="20" s="1"/>
  <c r="H33" i="20" s="1"/>
  <c r="H36" i="20" s="1"/>
  <c r="H43" i="20" s="1"/>
  <c r="J31" i="20"/>
  <c r="I31" i="20"/>
  <c r="M42" i="28"/>
  <c r="K31" i="20"/>
  <c r="K32" i="20" s="1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/>
  <c r="G32" i="20"/>
  <c r="G33" i="20" s="1"/>
  <c r="G36" i="20" s="1"/>
  <c r="G43" i="20" s="1"/>
  <c r="G46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O32" i="20"/>
  <c r="O33" i="20" s="1"/>
  <c r="O36" i="20" s="1"/>
  <c r="O43" i="20" s="1"/>
  <c r="H43" i="28"/>
  <c r="H44" i="28" s="1"/>
  <c r="H47" i="28" s="1"/>
  <c r="H51" i="28" s="1"/>
  <c r="J32" i="20"/>
  <c r="J33" i="20" s="1"/>
  <c r="J36" i="20" s="1"/>
  <c r="J43" i="20" s="1"/>
  <c r="I32" i="20"/>
  <c r="I33" i="20" s="1"/>
  <c r="I36" i="20" s="1"/>
  <c r="I43" i="20" s="1"/>
  <c r="M43" i="28"/>
  <c r="M44" i="28" s="1"/>
  <c r="M47" i="28" s="1"/>
  <c r="M51" i="28" s="1"/>
  <c r="G44" i="28"/>
  <c r="G47" i="28" s="1"/>
  <c r="G51" i="28" s="1"/>
  <c r="G54" i="28" s="1"/>
  <c r="I42" i="28"/>
  <c r="M33" i="20" l="1"/>
  <c r="M36" i="20" s="1"/>
  <c r="M43" i="20" s="1"/>
  <c r="K33" i="20"/>
  <c r="K36" i="20" s="1"/>
  <c r="K43" i="20" s="1"/>
  <c r="G58" i="28"/>
  <c r="G50" i="20"/>
  <c r="G54" i="20" s="1"/>
  <c r="I43" i="28"/>
  <c r="I44" i="28" s="1"/>
  <c r="I47" i="28" s="1"/>
  <c r="I51" i="28" s="1"/>
  <c r="G58" i="20" l="1"/>
  <c r="G73" i="28"/>
  <c r="G59" i="28"/>
  <c r="G73" i="20"/>
  <c r="G51" i="20"/>
  <c r="G62" i="28"/>
  <c r="G65" i="28" s="1"/>
  <c r="G66" i="28" l="1"/>
  <c r="G74" i="28"/>
  <c r="G75" i="28" s="1"/>
  <c r="G69" i="28"/>
  <c r="G52" i="20"/>
  <c r="H49" i="20"/>
  <c r="G74" i="20"/>
  <c r="G59" i="20"/>
  <c r="G62" i="20"/>
  <c r="G65" i="20" s="1"/>
  <c r="G60" i="28"/>
  <c r="H57" i="28"/>
  <c r="G78" i="28" l="1"/>
  <c r="H72" i="28"/>
  <c r="G67" i="28"/>
  <c r="H64" i="28"/>
  <c r="H56" i="20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83" i="20" s="1"/>
  <c r="G85" i="20" s="1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54" i="20"/>
  <c r="I57" i="28"/>
  <c r="H60" i="28"/>
  <c r="H74" i="28"/>
  <c r="H66" i="28"/>
  <c r="H75" i="28"/>
  <c r="H69" i="28"/>
  <c r="I72" i="28" l="1"/>
  <c r="H78" i="28"/>
  <c r="H58" i="20"/>
  <c r="H62" i="20" s="1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4" i="20"/>
  <c r="H76" i="20" s="1"/>
  <c r="H81" i="20" s="1"/>
  <c r="H59" i="20"/>
  <c r="H69" i="20"/>
  <c r="H83" i="20" l="1"/>
  <c r="H85" i="20" s="1"/>
  <c r="I66" i="28"/>
  <c r="I72" i="20"/>
  <c r="I64" i="20"/>
  <c r="H67" i="20"/>
  <c r="J64" i="28"/>
  <c r="I67" i="28"/>
  <c r="I45" i="20"/>
  <c r="I46" i="20" s="1"/>
  <c r="H70" i="20"/>
  <c r="I69" i="28"/>
  <c r="I56" i="20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I54" i="20"/>
  <c r="J58" i="28" l="1"/>
  <c r="J73" i="28" s="1"/>
  <c r="J62" i="28"/>
  <c r="J65" i="28" s="1"/>
  <c r="J69" i="28"/>
  <c r="I58" i="20"/>
  <c r="J59" i="28"/>
  <c r="I73" i="20"/>
  <c r="I51" i="20"/>
  <c r="K57" i="28" l="1"/>
  <c r="J60" i="28"/>
  <c r="I74" i="20"/>
  <c r="I59" i="20"/>
  <c r="J49" i="20"/>
  <c r="I52" i="20"/>
  <c r="I62" i="20"/>
  <c r="I65" i="20" s="1"/>
  <c r="I69" i="20" s="1"/>
  <c r="K53" i="28"/>
  <c r="K54" i="28" s="1"/>
  <c r="J70" i="28"/>
  <c r="J74" i="28"/>
  <c r="J75" i="28" s="1"/>
  <c r="J66" i="28"/>
  <c r="I60" i="20" l="1"/>
  <c r="K72" i="28"/>
  <c r="J78" i="28"/>
  <c r="K64" i="28"/>
  <c r="J67" i="28"/>
  <c r="J45" i="20"/>
  <c r="J46" i="20" s="1"/>
  <c r="I70" i="20"/>
  <c r="J56" i="20"/>
  <c r="K58" i="28"/>
  <c r="K73" i="28" s="1"/>
  <c r="J84" i="28"/>
  <c r="J85" i="28" s="1"/>
  <c r="I75" i="20"/>
  <c r="I76" i="20" s="1"/>
  <c r="I81" i="20" s="1"/>
  <c r="I66" i="20"/>
  <c r="I83" i="20" s="1"/>
  <c r="I85" i="20" s="1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L64" i="28"/>
  <c r="K67" i="28"/>
  <c r="K69" i="28"/>
  <c r="J54" i="20"/>
  <c r="K49" i="20" l="1"/>
  <c r="J52" i="20"/>
  <c r="J58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74" i="20"/>
  <c r="J59" i="20"/>
  <c r="J62" i="20"/>
  <c r="J65" i="20" s="1"/>
  <c r="J60" i="20" l="1"/>
  <c r="J75" i="20"/>
  <c r="J76" i="20" s="1"/>
  <c r="J66" i="20"/>
  <c r="J83" i="20" s="1"/>
  <c r="J85" i="20" s="1"/>
  <c r="J69" i="20"/>
  <c r="M53" i="28"/>
  <c r="M54" i="28" s="1"/>
  <c r="L70" i="28"/>
  <c r="K56" i="20"/>
  <c r="L74" i="28"/>
  <c r="L66" i="28"/>
  <c r="L73" i="28"/>
  <c r="L75" i="28" s="1"/>
  <c r="L59" i="28"/>
  <c r="K72" i="20" l="1"/>
  <c r="J81" i="20"/>
  <c r="L78" i="28"/>
  <c r="M72" i="28"/>
  <c r="K45" i="20"/>
  <c r="K46" i="20" s="1"/>
  <c r="J70" i="20"/>
  <c r="M64" i="28"/>
  <c r="L67" i="28"/>
  <c r="K64" i="20"/>
  <c r="J67" i="20"/>
  <c r="M57" i="28"/>
  <c r="L77" i="28"/>
  <c r="L79" i="28" s="1"/>
  <c r="L60" i="28"/>
  <c r="L84" i="28"/>
  <c r="L85" i="28" s="1"/>
  <c r="K50" i="20" l="1"/>
  <c r="K73" i="20" s="1"/>
  <c r="M58" i="28"/>
  <c r="K54" i="20" l="1"/>
  <c r="M73" i="28"/>
  <c r="M62" i="28"/>
  <c r="M65" i="28" s="1"/>
  <c r="M69" i="28"/>
  <c r="M59" i="28"/>
  <c r="K58" i="20"/>
  <c r="K51" i="20"/>
  <c r="K62" i="20" l="1"/>
  <c r="K65" i="20" s="1"/>
  <c r="K75" i="20" s="1"/>
  <c r="K74" i="20"/>
  <c r="K66" i="20"/>
  <c r="K59" i="20"/>
  <c r="K69" i="20"/>
  <c r="N53" i="28"/>
  <c r="N54" i="28" s="1"/>
  <c r="M70" i="28"/>
  <c r="N57" i="28"/>
  <c r="M60" i="28"/>
  <c r="M74" i="28"/>
  <c r="M75" i="28" s="1"/>
  <c r="M66" i="28"/>
  <c r="M77" i="28" s="1"/>
  <c r="M79" i="28" s="1"/>
  <c r="L49" i="20"/>
  <c r="K52" i="20"/>
  <c r="K60" i="20" l="1"/>
  <c r="K83" i="20"/>
  <c r="K85" i="20" s="1"/>
  <c r="C100" i="20"/>
  <c r="K76" i="20"/>
  <c r="K81" i="20" s="1"/>
  <c r="N72" i="28"/>
  <c r="M78" i="28"/>
  <c r="L45" i="20"/>
  <c r="L46" i="20" s="1"/>
  <c r="K70" i="20"/>
  <c r="L56" i="20"/>
  <c r="N64" i="28"/>
  <c r="M67" i="28"/>
  <c r="M84" i="28"/>
  <c r="M85" i="28" s="1"/>
  <c r="L64" i="20"/>
  <c r="K67" i="20"/>
  <c r="N58" i="28"/>
  <c r="N73" i="28" s="1"/>
  <c r="L72" i="20" l="1"/>
  <c r="N59" i="28"/>
  <c r="L50" i="20"/>
  <c r="N62" i="28"/>
  <c r="N65" i="28" s="1"/>
  <c r="N66" i="28"/>
  <c r="O57" i="28" l="1"/>
  <c r="N77" i="28"/>
  <c r="N79" i="28" s="1"/>
  <c r="N60" i="28"/>
  <c r="L73" i="20"/>
  <c r="L51" i="20"/>
  <c r="L54" i="20"/>
  <c r="O64" i="28"/>
  <c r="N67" i="28"/>
  <c r="N74" i="28"/>
  <c r="N75" i="28" s="1"/>
  <c r="N69" i="28"/>
  <c r="N78" i="28" l="1"/>
  <c r="O72" i="28"/>
  <c r="M49" i="20"/>
  <c r="L52" i="20"/>
  <c r="L58" i="20"/>
  <c r="L62" i="20" s="1"/>
  <c r="L65" i="20" s="1"/>
  <c r="N84" i="28"/>
  <c r="N85" i="28" s="1"/>
  <c r="O53" i="28"/>
  <c r="O54" i="28" s="1"/>
  <c r="N70" i="28"/>
  <c r="O58" i="28" l="1"/>
  <c r="L75" i="20"/>
  <c r="L66" i="20"/>
  <c r="L74" i="20"/>
  <c r="L59" i="20"/>
  <c r="L69" i="20"/>
  <c r="L83" i="20" l="1"/>
  <c r="L85" i="20" s="1"/>
  <c r="L60" i="20"/>
  <c r="M64" i="20"/>
  <c r="L67" i="20"/>
  <c r="O73" i="28"/>
  <c r="O59" i="28"/>
  <c r="M45" i="20"/>
  <c r="M46" i="20" s="1"/>
  <c r="L70" i="20"/>
  <c r="M56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54" i="20"/>
  <c r="M58" i="20" l="1"/>
  <c r="N49" i="20"/>
  <c r="M52" i="20"/>
  <c r="M74" i="20" l="1"/>
  <c r="M59" i="20"/>
  <c r="M62" i="20"/>
  <c r="M65" i="20" s="1"/>
  <c r="M60" i="20" l="1"/>
  <c r="M75" i="20"/>
  <c r="M76" i="20" s="1"/>
  <c r="M81" i="20" s="1"/>
  <c r="M66" i="20"/>
  <c r="M83" i="20" s="1"/>
  <c r="M85" i="20" s="1"/>
  <c r="M69" i="20"/>
  <c r="N56" i="20"/>
  <c r="N72" i="20" l="1"/>
  <c r="N45" i="20"/>
  <c r="N46" i="20" s="1"/>
  <c r="M70" i="20"/>
  <c r="N64" i="20"/>
  <c r="M67" i="20"/>
  <c r="N50" i="20" l="1"/>
  <c r="N73" i="20" l="1"/>
  <c r="N51" i="20"/>
  <c r="N54" i="20"/>
  <c r="N58" i="20" l="1"/>
  <c r="O49" i="20"/>
  <c r="N52" i="20"/>
  <c r="N74" i="20" l="1"/>
  <c r="N59" i="20"/>
  <c r="N62" i="20"/>
  <c r="N65" i="20" s="1"/>
  <c r="N60" i="20" l="1"/>
  <c r="N75" i="20"/>
  <c r="N66" i="20"/>
  <c r="N83" i="20" s="1"/>
  <c r="N85" i="20" s="1"/>
  <c r="N69" i="20"/>
  <c r="O56" i="20"/>
  <c r="N76" i="20"/>
  <c r="N81" i="20" s="1"/>
  <c r="O72" i="20" l="1"/>
  <c r="O45" i="20"/>
  <c r="O46" i="20" s="1"/>
  <c r="N70" i="20"/>
  <c r="O64" i="20"/>
  <c r="N67" i="20"/>
  <c r="O50" i="20" l="1"/>
  <c r="O54" i="20" s="1"/>
  <c r="O58" i="20" l="1"/>
  <c r="O73" i="20"/>
  <c r="O51" i="20"/>
  <c r="O52" i="20" l="1"/>
  <c r="O74" i="20"/>
  <c r="O59" i="20"/>
  <c r="O60" i="20" s="1"/>
  <c r="O62" i="20"/>
  <c r="O65" i="20" s="1"/>
  <c r="O75" i="20" l="1"/>
  <c r="O76" i="20" s="1"/>
  <c r="O81" i="20" s="1"/>
  <c r="O66" i="20"/>
  <c r="O67" i="20" s="1"/>
  <c r="O69" i="20"/>
  <c r="O83" i="20" l="1"/>
  <c r="O85" i="20" s="1"/>
  <c r="O7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<sst xmlns="http://schemas.openxmlformats.org/spreadsheetml/2006/main" count="344" uniqueCount="228">
  <si>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</si>
  <si>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</si>
  <si>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</si>
  <si>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</si>
  <si>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</si>
  <si>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</si>
  <si>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</si>
  <si>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</si>
  <si>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</si>
  <si>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</si>
  <si>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</si>
  <si>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</si>
  <si>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</si>
  <si>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</si>
  <si>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</si>
  <si>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</si>
  <si>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</si>
  <si>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</si>
  <si>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</si>
  <si>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</si>
  <si>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</si>
  <si>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</si>
  <si>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</si>
  <si>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</si>
  <si>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</si>
  <si>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</si>
  <si>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</si>
  <si>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</si>
  <si>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</si>
  <si>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</si>
  <si>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</si>
  <si>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</si>
  <si>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</si>
  <si>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</si>
  <si>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</si>
  <si>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</si>
  <si>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</si>
  <si>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</si>
  <si>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</si>
  <si>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</si>
  <si>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</si>
  <si>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</si>
  <si>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</si>
  <si>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</si>
  <si>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</si>
  <si>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</si>
  <si>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</si>
  <si>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</si>
  <si>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</si>
  <si>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</si>
  <si>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</si>
  <si>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</si>
  <si>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</si>
  <si>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</si>
  <si>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</si>
  <si>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</si>
  <si>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</si>
  <si>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</si>
  <si>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</si>
  <si>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</si>
  <si>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</si>
  <si>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</si>
  <si>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</si>
  <si>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</si>
  <si>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</si>
  <si>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</si>
  <si>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</si>
  <si>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</si>
  <si>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</si>
  <si>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</si>
  <si>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</si>
  <si>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</si>
  <si>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</si>
  <si>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</si>
  <si>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</si>
  <si>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</si>
  <si>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</si>
  <si>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</si>
  <si>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</si>
  <si>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</si>
  <si>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</si>
  <si>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</si>
  <si>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</si>
  <si>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</si>
  <si>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</si>
  <si>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</si>
  <si>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</si>
  <si>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</si>
  <si>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</si>
  <si>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</si>
  <si>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</si>
  <si>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</si>
  <si>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</si>
  <si>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</si>
  <si>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</si>
  <si>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</si>
  <si>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</si>
  <si>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</si>
  <si>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</si>
  <si>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</si>
  <si>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</si>
  <si>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</si>
  <si>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</si>
  <si>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</si>
  <si>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</si>
  <si>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</si>
  <si>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</si>
  <si>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</si>
  <si>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</si>
  <si>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</si>
  <si>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</si>
  <si>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</si>
  <si>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</si>
  <si>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</si>
  <si>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</si>
  <si>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</si>
  <si>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</si>
  <si>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</si>
  <si>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</si>
  <si>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</si>
  <si>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</si>
  <si>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</si>
  <si>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</si>
  <si>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</si>
  <si>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</si>
  <si>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</si>
  <si>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</si>
  <si>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</si>
  <si>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</si>
  <si>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</si>
  <si>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</si>
  <si>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</si>
  <si>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</si>
  <si>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</si>
  <si>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</si>
  <si>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</si>
  <si>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</si>
  <si>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</si>
  <si>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</si>
  <si>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</si>
  <si>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</si>
  <si>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</si>
  <si>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</si>
  <si>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</si>
  <si>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</si>
  <si>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</si>
  <si>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</si>
  <si>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</si>
  <si>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</si>
  <si>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</si>
  <si>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Max exit EV / LTM EBITDA multiple</t>
  </si>
  <si>
    <t>Beginning cash and equivalents</t>
  </si>
  <si>
    <t>Working capital as % of sales</t>
  </si>
  <si>
    <t>Proj.</t>
  </si>
  <si>
    <t>Hist.</t>
  </si>
  <si>
    <t>EBITDA multiple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</si>
  <si>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</si>
  <si>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</si>
  <si>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</si>
  <si>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</si>
  <si>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</si>
  <si>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</si>
  <si>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</si>
  <si>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</si>
  <si>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</si>
  <si>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</si>
  <si>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</si>
  <si>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</si>
  <si>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</si>
  <si>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Total debt</t>
  </si>
  <si>
    <t>Cash available for debt repayment</t>
  </si>
  <si>
    <t>EBIT post cost savings</t>
  </si>
  <si>
    <t>x LTM EBITDA</t>
  </si>
  <si>
    <t>x EBITDA</t>
  </si>
  <si>
    <t>Total uses</t>
  </si>
  <si>
    <t>Max debt / LTM EBITDA multiple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</si>
  <si>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</si>
  <si>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</si>
  <si>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</si>
  <si>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</si>
  <si>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</si>
  <si>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</si>
  <si>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</si>
  <si>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</si>
  <si>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</si>
  <si>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</si>
  <si>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</si>
  <si>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</si>
  <si>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</si>
  <si>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</si>
  <si>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</si>
  <si>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</si>
  <si>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</si>
  <si>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</si>
  <si>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</si>
  <si>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</si>
  <si>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Full year of add-on ownership switch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</si>
  <si>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</si>
  <si>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</si>
  <si>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</si>
  <si>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</si>
  <si>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</si>
  <si>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</si>
  <si>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</si>
  <si>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</si>
  <si>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</si>
  <si>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</si>
  <si>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</si>
  <si>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</si>
  <si>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</si>
  <si>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</si>
  <si>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LBO Add On Acquisition</t>
  </si>
  <si>
    <t>Add On Acquisition</t>
  </si>
  <si>
    <t>Base case LBO assumptions</t>
  </si>
  <si>
    <t>Base case model assumptions</t>
  </si>
  <si>
    <t>Base case LBO model</t>
  </si>
  <si>
    <t>Add on acquisition</t>
  </si>
  <si>
    <t>Base case + add 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</si>
  <si>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</si>
  <si>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</si>
  <si>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</si>
  <si>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</si>
  <si>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</si>
  <si>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</si>
  <si>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</si>
  <si>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</si>
  <si>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$</t>
  </si>
  <si>
    <t>Base case debt drawn 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</si>
</sst>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2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1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16">
    <xf numFmtId="164" fontId="0" fillId="0" borderId="10" xfId="0"/>
    <xf numFmtId="171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4" fontId="15" fillId="6" borderId="12" xfId="0" applyFont="1" applyFill="1" applyBorder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2" fontId="18" fillId="21" borderId="12" xfId="7">
      <protection locked="0"/>
    </xf>
    <xf numFmtId="164" fontId="31" fillId="18" borderId="10" xfId="19" applyNumberFormat="1" applyFont="1" applyAlignment="1"/>
    <xf numFmtId="167" fontId="31" fillId="0" borderId="10" xfId="3" applyFill="1"/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11" fillId="4" borderId="1" xfId="0" applyFont="1" applyFill="1" applyBorder="1" applyAlignment="1">
      <alignment horizontal="left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" xfId="0" applyFont="1" applyFill="1" applyBorder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01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100"/>
      <c r="V1" s="3"/>
      <c r="W1" s="3"/>
      <c r="X1" s="3"/>
      <c r="Y1" s="3"/>
      <c r="Z1" s="3"/>
    </row>
    <row r="2" spans="1:26" ht="75" customHeight="1" x14ac:dyDescent="0.45">
      <c r="A2" s="102" t="s">
        <v>211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100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03"/>
      <c r="D4" s="100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04" t="s">
        <v>0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6"/>
      <c r="V5" s="5"/>
      <c r="W5" s="5"/>
      <c r="X5" s="5"/>
      <c r="Y5" s="5"/>
      <c r="Z5" s="5"/>
    </row>
    <row r="6" spans="1:26" ht="15" customHeight="1" x14ac:dyDescent="0.45">
      <c r="A6" s="107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9"/>
      <c r="V6" s="5"/>
      <c r="W6" s="5"/>
      <c r="X6" s="5"/>
      <c r="Y6" s="5"/>
      <c r="Z6" s="5"/>
    </row>
    <row r="7" spans="1:26" ht="15" customHeight="1" x14ac:dyDescent="0.45">
      <c r="A7" s="110" t="str">
        <f ca="1">"© "&amp;YEAR(TODAY())&amp;" Financial Edge Training"</f>
        <v>© 2026 Financial Edge Training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100"/>
      <c r="V7" s="5"/>
      <c r="W7" s="5"/>
      <c r="X7" s="5"/>
      <c r="Y7" s="5"/>
      <c r="Z7" s="5"/>
    </row>
    <row r="8" spans="1:26" ht="15" customHeight="1" x14ac:dyDescent="0.45">
      <c r="A8" s="98" t="s">
        <v>1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100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Add On Acquisition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12" t="s">
        <v>3</v>
      </c>
      <c r="C4" s="99"/>
      <c r="D4" s="99"/>
      <c r="E4" s="99"/>
      <c r="F4" s="99"/>
      <c r="G4" s="99"/>
      <c r="H4" s="99"/>
      <c r="I4" s="100"/>
      <c r="J4" s="21"/>
      <c r="K4" s="22"/>
      <c r="L4" s="112" t="s">
        <v>4</v>
      </c>
      <c r="M4" s="99"/>
      <c r="N4" s="99"/>
      <c r="O4" s="99"/>
      <c r="P4" s="100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4" t="s">
        <v>215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13"/>
      <c r="O5" s="99"/>
      <c r="P5" s="99"/>
      <c r="Q5" s="100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216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14">
        <v>56249</v>
      </c>
      <c r="O6" s="99"/>
      <c r="P6" s="99"/>
      <c r="Q6" s="100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/>
      <c r="C7" s="84" t="s">
        <v>217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15" t="s">
        <v>226</v>
      </c>
      <c r="O7" s="99"/>
      <c r="P7" s="99"/>
      <c r="Q7" s="100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13" t="s">
        <v>11</v>
      </c>
      <c r="O8" s="99"/>
      <c r="P8" s="99"/>
      <c r="Q8" s="100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13" t="s">
        <v>13</v>
      </c>
      <c r="O9" s="99"/>
      <c r="P9" s="99"/>
      <c r="Q9" s="100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11">
        <v>0</v>
      </c>
      <c r="O10" s="99"/>
      <c r="P10" s="99"/>
      <c r="Q10" s="100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12" t="s">
        <v>15</v>
      </c>
      <c r="C13" s="99"/>
      <c r="D13" s="99"/>
      <c r="E13" s="99"/>
      <c r="F13" s="99"/>
      <c r="G13" s="99"/>
      <c r="H13" s="99"/>
      <c r="I13" s="99"/>
      <c r="J13" s="99"/>
      <c r="K13" s="99"/>
      <c r="L13" s="100"/>
      <c r="M13" s="21"/>
      <c r="N13" s="22"/>
      <c r="O13" s="112" t="s">
        <v>16</v>
      </c>
      <c r="P13" s="99"/>
      <c r="Q13" s="100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11"/>
      <c r="C14" s="100"/>
      <c r="D14" s="111"/>
      <c r="E14" s="99"/>
      <c r="F14" s="99"/>
      <c r="G14" s="99"/>
      <c r="H14" s="99"/>
      <c r="I14" s="99"/>
      <c r="J14" s="99"/>
      <c r="K14" s="99"/>
      <c r="L14" s="100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11"/>
      <c r="C15" s="100"/>
      <c r="D15" s="111"/>
      <c r="E15" s="99"/>
      <c r="F15" s="99"/>
      <c r="G15" s="99"/>
      <c r="H15" s="99"/>
      <c r="I15" s="99"/>
      <c r="J15" s="99"/>
      <c r="K15" s="99"/>
      <c r="L15" s="100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11"/>
      <c r="C16" s="100"/>
      <c r="D16" s="111"/>
      <c r="E16" s="99"/>
      <c r="F16" s="99"/>
      <c r="G16" s="99"/>
      <c r="H16" s="99"/>
      <c r="I16" s="99"/>
      <c r="J16" s="99"/>
      <c r="K16" s="99"/>
      <c r="L16" s="100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11"/>
      <c r="C17" s="100"/>
      <c r="D17" s="111"/>
      <c r="E17" s="99"/>
      <c r="F17" s="99"/>
      <c r="G17" s="99"/>
      <c r="H17" s="99"/>
      <c r="I17" s="99"/>
      <c r="J17" s="99"/>
      <c r="K17" s="99"/>
      <c r="L17" s="100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11"/>
      <c r="C18" s="100"/>
      <c r="D18" s="111"/>
      <c r="E18" s="99"/>
      <c r="F18" s="99"/>
      <c r="G18" s="99"/>
      <c r="H18" s="99"/>
      <c r="I18" s="99"/>
      <c r="J18" s="99"/>
      <c r="K18" s="99"/>
      <c r="L18" s="100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4:I4"/>
    <mergeCell ref="L4:P4"/>
    <mergeCell ref="N5:Q5"/>
    <mergeCell ref="N6:Q6"/>
    <mergeCell ref="N7:Q7"/>
    <mergeCell ref="N8:Q8"/>
    <mergeCell ref="N9:Q9"/>
    <mergeCell ref="B16:C16"/>
    <mergeCell ref="D16:L16"/>
    <mergeCell ref="B17:C17"/>
    <mergeCell ref="D17:L17"/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5" t="str">
        <f>Info!N5&amp;" LBO Base Case"</f>
        <v xml:space="preserve"> 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213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0" t="s">
        <v>172</v>
      </c>
      <c r="O6" s="16"/>
      <c r="P6" s="50"/>
    </row>
    <row r="7" spans="1:26" ht="15" customHeight="1" x14ac:dyDescent="0.45">
      <c r="A7" s="37"/>
      <c r="B7" s="70" t="s">
        <v>60</v>
      </c>
      <c r="C7" s="16"/>
      <c r="D7" s="16"/>
      <c r="E7" s="67"/>
      <c r="F7" s="71">
        <f>+F35</f>
        <v>281.3</v>
      </c>
      <c r="H7" s="70" t="s">
        <v>72</v>
      </c>
      <c r="I7" s="71"/>
      <c r="J7" s="71">
        <f>+F7*F9</f>
        <v>3094.3</v>
      </c>
      <c r="L7" s="70" t="s">
        <v>81</v>
      </c>
      <c r="M7" s="16"/>
      <c r="N7" s="54">
        <v>4</v>
      </c>
      <c r="O7" s="71">
        <f>+N7*$F$7</f>
        <v>1125.2</v>
      </c>
      <c r="P7" s="50"/>
    </row>
    <row r="8" spans="1:26" ht="15" customHeight="1" x14ac:dyDescent="0.45">
      <c r="A8" s="37"/>
      <c r="B8" s="70" t="s">
        <v>175</v>
      </c>
      <c r="C8" s="16"/>
      <c r="D8" s="16"/>
      <c r="E8" s="50"/>
      <c r="F8" s="54">
        <v>6</v>
      </c>
      <c r="H8" s="70" t="s">
        <v>78</v>
      </c>
      <c r="I8" s="71"/>
      <c r="J8" s="71">
        <f>+F17*J7</f>
        <v>30.943000000000001</v>
      </c>
      <c r="L8" s="71" t="s">
        <v>82</v>
      </c>
      <c r="M8" s="16"/>
      <c r="N8" s="77">
        <f>+F8-N7</f>
        <v>2</v>
      </c>
      <c r="O8" s="71">
        <f>+N8*$F$7</f>
        <v>562.6</v>
      </c>
      <c r="P8" s="16"/>
    </row>
    <row r="9" spans="1:26" ht="15" customHeight="1" x14ac:dyDescent="0.45">
      <c r="A9" s="37"/>
      <c r="B9" s="71" t="s">
        <v>83</v>
      </c>
      <c r="C9" s="16"/>
      <c r="D9" s="16"/>
      <c r="E9" s="40"/>
      <c r="F9" s="88">
        <f>'3 Base Case + Add on'!F9</f>
        <v>11</v>
      </c>
      <c r="L9" s="70" t="s">
        <v>64</v>
      </c>
      <c r="M9" s="16"/>
      <c r="N9" s="16"/>
      <c r="O9" s="71">
        <f>+J10-O8-O7</f>
        <v>1437.4430000000004</v>
      </c>
      <c r="P9" s="16"/>
    </row>
    <row r="10" spans="1:26" ht="15" customHeight="1" x14ac:dyDescent="0.45">
      <c r="A10" s="37"/>
      <c r="B10" s="71" t="s">
        <v>150</v>
      </c>
      <c r="F10" s="88">
        <v>11</v>
      </c>
      <c r="H10" s="70" t="s">
        <v>79</v>
      </c>
      <c r="I10" s="71"/>
      <c r="J10" s="71">
        <f>SUM(J7:J8)</f>
        <v>3125.2430000000004</v>
      </c>
      <c r="L10" s="70" t="s">
        <v>80</v>
      </c>
      <c r="M10" s="16"/>
      <c r="N10" s="16"/>
      <c r="O10" s="71">
        <f>SUM(O7:O9)</f>
        <v>3125.2430000000004</v>
      </c>
      <c r="P10" s="16"/>
    </row>
    <row r="11" spans="1:26" ht="15" customHeight="1" x14ac:dyDescent="0.45">
      <c r="A11" s="37"/>
      <c r="B11" s="7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84</v>
      </c>
      <c r="C12" s="16"/>
      <c r="D12" s="16"/>
      <c r="F12" s="52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0" t="s">
        <v>73</v>
      </c>
      <c r="C13" s="16"/>
      <c r="D13" s="16"/>
      <c r="F13" s="52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0" t="s">
        <v>85</v>
      </c>
      <c r="C14" s="16"/>
      <c r="D14" s="16"/>
      <c r="F14" s="97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86</v>
      </c>
      <c r="C15" s="16"/>
      <c r="D15" s="16"/>
      <c r="F15" s="52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1" t="s">
        <v>62</v>
      </c>
      <c r="C16" s="16"/>
      <c r="D16" s="16"/>
      <c r="F16" s="52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0" t="s">
        <v>87</v>
      </c>
      <c r="C17" s="16"/>
      <c r="D17" s="16"/>
      <c r="F17" s="52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0" t="s">
        <v>88</v>
      </c>
      <c r="C18" s="16"/>
      <c r="D18" s="16"/>
      <c r="F18">
        <f>'3 Base Case + Add on'!F16</f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0" t="s">
        <v>100</v>
      </c>
      <c r="C20" s="71"/>
      <c r="D20" s="71"/>
      <c r="E20" s="71"/>
      <c r="F20" s="65">
        <v>0</v>
      </c>
      <c r="G20" s="71">
        <f>F20+1</f>
        <v>1</v>
      </c>
      <c r="H20" s="71">
        <f t="shared" ref="H20:O20" si="2">G20+1</f>
        <v>2</v>
      </c>
      <c r="I20" s="71">
        <f t="shared" si="2"/>
        <v>3</v>
      </c>
      <c r="J20" s="71">
        <f t="shared" si="2"/>
        <v>4</v>
      </c>
      <c r="K20" s="71">
        <f t="shared" si="2"/>
        <v>5</v>
      </c>
      <c r="L20" s="71">
        <f t="shared" si="2"/>
        <v>6</v>
      </c>
      <c r="M20" s="71">
        <f t="shared" si="2"/>
        <v>7</v>
      </c>
      <c r="N20" s="71">
        <f t="shared" si="2"/>
        <v>8</v>
      </c>
      <c r="O20" s="71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214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1" t="s">
        <v>206</v>
      </c>
      <c r="C23" s="16"/>
      <c r="D23" s="74"/>
      <c r="E23" s="75">
        <f>E34/D34-1</f>
        <v>0.1278372746759997</v>
      </c>
      <c r="F23" s="75">
        <f>F34/E34-1</f>
        <v>0.11468453738092621</v>
      </c>
      <c r="G23" s="69">
        <v>0.1</v>
      </c>
      <c r="H23" s="69">
        <f>G23-1%</f>
        <v>9.0000000000000011E-2</v>
      </c>
      <c r="I23" s="69">
        <f t="shared" ref="I23:O23" si="3">H23-1%</f>
        <v>8.0000000000000016E-2</v>
      </c>
      <c r="J23" s="69">
        <f t="shared" si="3"/>
        <v>7.0000000000000021E-2</v>
      </c>
      <c r="K23" s="69">
        <f t="shared" si="3"/>
        <v>6.0000000000000019E-2</v>
      </c>
      <c r="L23" s="69">
        <f t="shared" si="3"/>
        <v>5.0000000000000017E-2</v>
      </c>
      <c r="M23" s="69">
        <f t="shared" si="3"/>
        <v>4.0000000000000015E-2</v>
      </c>
      <c r="N23" s="69">
        <f t="shared" si="3"/>
        <v>3.0000000000000013E-2</v>
      </c>
      <c r="O23" s="69">
        <f t="shared" si="3"/>
        <v>2.0000000000000011E-2</v>
      </c>
      <c r="P23" s="16"/>
    </row>
    <row r="24" spans="1:26" ht="15" customHeight="1" x14ac:dyDescent="0.45">
      <c r="A24" s="37"/>
      <c r="B24" s="71" t="s">
        <v>31</v>
      </c>
      <c r="C24" s="16"/>
      <c r="D24" s="16"/>
      <c r="E24" s="72">
        <f>E35/E34</f>
        <v>0.21135103965523122</v>
      </c>
      <c r="F24" s="72">
        <f>F35/F34</f>
        <v>0.19147288800401596</v>
      </c>
      <c r="G24" s="52">
        <v>0.21</v>
      </c>
      <c r="H24" s="52">
        <f t="shared" ref="H24:O24" si="4">+G24</f>
        <v>0.21</v>
      </c>
      <c r="I24" s="52">
        <f t="shared" si="4"/>
        <v>0.21</v>
      </c>
      <c r="J24" s="52">
        <f t="shared" si="4"/>
        <v>0.21</v>
      </c>
      <c r="K24" s="52">
        <f t="shared" si="4"/>
        <v>0.21</v>
      </c>
      <c r="L24" s="52">
        <f t="shared" si="4"/>
        <v>0.21</v>
      </c>
      <c r="M24" s="52">
        <f t="shared" si="4"/>
        <v>0.21</v>
      </c>
      <c r="N24" s="52">
        <f t="shared" si="4"/>
        <v>0.21</v>
      </c>
      <c r="O24" s="52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1" t="s">
        <v>149</v>
      </c>
      <c r="C25" s="16"/>
      <c r="D25" s="16"/>
      <c r="E25" s="53"/>
      <c r="F25" s="53"/>
      <c r="G25" s="52">
        <v>0.02</v>
      </c>
      <c r="H25" s="52">
        <v>0.02</v>
      </c>
      <c r="I25" s="52">
        <v>0.02</v>
      </c>
      <c r="J25" s="52">
        <v>0.02</v>
      </c>
      <c r="K25" s="52">
        <v>0.02</v>
      </c>
      <c r="L25" s="52">
        <v>0.02</v>
      </c>
      <c r="M25" s="52">
        <v>0.02</v>
      </c>
      <c r="N25" s="52">
        <v>0.02</v>
      </c>
      <c r="O25" s="52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1" t="s">
        <v>194</v>
      </c>
      <c r="C26" s="16"/>
      <c r="D26" s="72">
        <f>-D50/D34</f>
        <v>5.4424330071581685E-2</v>
      </c>
      <c r="E26" s="72">
        <f>-E50/E34</f>
        <v>6.9378634809956111E-2</v>
      </c>
      <c r="F26" s="72">
        <f>-F50/F34</f>
        <v>5.2435527648024775E-2</v>
      </c>
      <c r="G26" s="69">
        <v>6.3E-2</v>
      </c>
      <c r="H26" s="69">
        <v>6.3E-2</v>
      </c>
      <c r="I26" s="69">
        <v>6.3E-2</v>
      </c>
      <c r="J26" s="69">
        <v>6.3E-2</v>
      </c>
      <c r="K26" s="69">
        <v>6.3E-2</v>
      </c>
      <c r="L26" s="69">
        <v>6.3E-2</v>
      </c>
      <c r="M26" s="69">
        <v>6.3E-2</v>
      </c>
      <c r="N26" s="69">
        <v>6.3E-2</v>
      </c>
      <c r="O26" s="69">
        <v>6.3E-2</v>
      </c>
      <c r="P26" s="16"/>
    </row>
    <row r="27" spans="1:26" ht="15" customHeight="1" x14ac:dyDescent="0.45">
      <c r="A27" s="36"/>
      <c r="B27" s="71" t="s">
        <v>195</v>
      </c>
      <c r="C27" s="16"/>
      <c r="D27" s="72">
        <f>D36/D50</f>
        <v>0.54693396226415092</v>
      </c>
      <c r="E27" s="72">
        <f>E36/E50</f>
        <v>0.48930993000874884</v>
      </c>
      <c r="F27" s="72">
        <f>F36/F50</f>
        <v>0.69708574024793934</v>
      </c>
      <c r="G27" s="69">
        <v>0.7</v>
      </c>
      <c r="H27" s="69">
        <v>0.7</v>
      </c>
      <c r="I27" s="69">
        <v>0.7</v>
      </c>
      <c r="J27" s="69">
        <v>0.75</v>
      </c>
      <c r="K27" s="69">
        <v>0.8</v>
      </c>
      <c r="L27" s="69">
        <v>0.85</v>
      </c>
      <c r="M27" s="69">
        <v>0.9</v>
      </c>
      <c r="N27" s="69">
        <v>0.95</v>
      </c>
      <c r="O27" s="69">
        <v>0.95</v>
      </c>
      <c r="P27" s="16"/>
    </row>
    <row r="28" spans="1:26" ht="15" customHeight="1" x14ac:dyDescent="0.45">
      <c r="A28" s="36"/>
      <c r="B28" t="s">
        <v>184</v>
      </c>
      <c r="C28" s="16"/>
      <c r="D28" s="53"/>
      <c r="E28" s="72"/>
      <c r="F28" s="72"/>
      <c r="G28" s="69">
        <v>0.13500000000000001</v>
      </c>
      <c r="H28" s="69">
        <v>0.13500000000000001</v>
      </c>
      <c r="I28" s="69">
        <v>0.13500000000000001</v>
      </c>
      <c r="J28" s="69">
        <v>0.13500000000000001</v>
      </c>
      <c r="K28" s="69">
        <v>0.13500000000000001</v>
      </c>
      <c r="L28" s="69">
        <v>0.13500000000000001</v>
      </c>
      <c r="M28" s="69">
        <v>0.13500000000000001</v>
      </c>
      <c r="N28" s="69">
        <v>0.13500000000000001</v>
      </c>
      <c r="O28" s="69">
        <v>0.13500000000000001</v>
      </c>
      <c r="P28" s="16"/>
    </row>
    <row r="29" spans="1:26" ht="15" customHeight="1" x14ac:dyDescent="0.45">
      <c r="A29" s="37"/>
      <c r="B29" s="70" t="s">
        <v>71</v>
      </c>
      <c r="C29" s="16"/>
      <c r="D29" s="16"/>
      <c r="E29" s="16"/>
      <c r="F29" s="39"/>
      <c r="G29" s="69">
        <v>0.2</v>
      </c>
      <c r="H29" s="69">
        <v>0.2</v>
      </c>
      <c r="I29" s="69">
        <v>0.2</v>
      </c>
      <c r="J29" s="69">
        <v>0.2</v>
      </c>
      <c r="K29" s="69">
        <v>0.2</v>
      </c>
      <c r="L29" s="69">
        <v>0.2</v>
      </c>
      <c r="M29" s="69">
        <v>0.2</v>
      </c>
      <c r="N29" s="69">
        <v>0.2</v>
      </c>
      <c r="O29" s="69">
        <v>0.2</v>
      </c>
      <c r="P29" s="16"/>
    </row>
    <row r="30" spans="1:26" ht="15" customHeight="1" x14ac:dyDescent="0.45">
      <c r="A30" s="36"/>
      <c r="B30" s="71" t="s">
        <v>183</v>
      </c>
      <c r="C30" s="16"/>
      <c r="D30" s="53"/>
      <c r="E30" s="74">
        <v>159.38750000000002</v>
      </c>
      <c r="F30" s="74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0" t="s">
        <v>90</v>
      </c>
      <c r="C31" s="16"/>
      <c r="D31" s="16"/>
      <c r="E31" s="16"/>
      <c r="F31" s="16"/>
      <c r="G31" s="71">
        <f t="shared" ref="G31:O31" si="6">G35+G38</f>
        <v>371.69178750000003</v>
      </c>
      <c r="H31" s="71">
        <f t="shared" si="6"/>
        <v>405.14404837500007</v>
      </c>
      <c r="I31" s="71">
        <f t="shared" si="6"/>
        <v>437.55557224500006</v>
      </c>
      <c r="J31" s="71">
        <f t="shared" si="6"/>
        <v>468.18446230215011</v>
      </c>
      <c r="K31" s="71">
        <f t="shared" si="6"/>
        <v>496.27553004027914</v>
      </c>
      <c r="L31" s="71">
        <f t="shared" si="6"/>
        <v>521.08930654229312</v>
      </c>
      <c r="M31" s="71">
        <f t="shared" si="6"/>
        <v>541.93287880398486</v>
      </c>
      <c r="N31" s="71">
        <f t="shared" si="6"/>
        <v>558.19086516810432</v>
      </c>
      <c r="O31" s="71">
        <f t="shared" si="6"/>
        <v>569.35468247146639</v>
      </c>
      <c r="P31" s="16"/>
    </row>
    <row r="32" spans="1:26" ht="15" customHeight="1" x14ac:dyDescent="0.45">
      <c r="A32" s="36"/>
      <c r="B32" s="71"/>
      <c r="C32" s="16"/>
      <c r="D32" s="53"/>
      <c r="E32" s="74"/>
      <c r="F32" s="74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0" t="s">
        <v>42</v>
      </c>
      <c r="C34" s="16"/>
      <c r="D34" s="74">
        <v>1168.595</v>
      </c>
      <c r="E34" s="74">
        <v>1317.9849999999999</v>
      </c>
      <c r="F34" s="74">
        <v>1469.1375</v>
      </c>
      <c r="G34" s="71">
        <f t="shared" ref="G34:O34" si="7">+F34*(1+G23)</f>
        <v>1616.0512500000002</v>
      </c>
      <c r="H34" s="71">
        <f t="shared" si="7"/>
        <v>1761.4958625000004</v>
      </c>
      <c r="I34" s="71">
        <f t="shared" si="7"/>
        <v>1902.4155315000005</v>
      </c>
      <c r="J34" s="71">
        <f t="shared" si="7"/>
        <v>2035.5846187050006</v>
      </c>
      <c r="K34" s="71">
        <f t="shared" si="7"/>
        <v>2157.7196958273007</v>
      </c>
      <c r="L34" s="71">
        <f t="shared" si="7"/>
        <v>2265.6056806186657</v>
      </c>
      <c r="M34" s="71">
        <f t="shared" si="7"/>
        <v>2356.2299078434125</v>
      </c>
      <c r="N34" s="71">
        <f t="shared" si="7"/>
        <v>2426.9168050787148</v>
      </c>
      <c r="O34" s="71">
        <f t="shared" si="7"/>
        <v>2475.455141180289</v>
      </c>
      <c r="P34" s="16"/>
    </row>
    <row r="35" spans="1:26" ht="15" customHeight="1" x14ac:dyDescent="0.45">
      <c r="A35" s="37"/>
      <c r="B35" s="71" t="s">
        <v>24</v>
      </c>
      <c r="C35" s="16"/>
      <c r="D35" s="74">
        <v>250.96750000000009</v>
      </c>
      <c r="E35" s="74">
        <v>278.55749999999989</v>
      </c>
      <c r="F35" s="74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1" t="s">
        <v>63</v>
      </c>
      <c r="C36" s="16"/>
      <c r="D36" s="65">
        <v>-34.784999999999997</v>
      </c>
      <c r="E36" s="65">
        <v>-44.742499999999993</v>
      </c>
      <c r="F36" s="65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0" t="s">
        <v>91</v>
      </c>
      <c r="C37" s="16"/>
      <c r="D37" s="16"/>
      <c r="E37" s="16"/>
      <c r="F37" s="2"/>
      <c r="G37" s="71">
        <f>SUM(G35:G36)</f>
        <v>268.10290237499999</v>
      </c>
      <c r="H37" s="71">
        <f t="shared" ref="H37:O37" si="10">SUM(H35:H36)</f>
        <v>292.23216358875004</v>
      </c>
      <c r="I37" s="71">
        <f t="shared" si="10"/>
        <v>315.61073667585003</v>
      </c>
      <c r="J37" s="71">
        <f t="shared" si="10"/>
        <v>331.29139669423887</v>
      </c>
      <c r="K37" s="71">
        <f t="shared" si="10"/>
        <v>344.37206345403717</v>
      </c>
      <c r="L37" s="71">
        <f t="shared" si="10"/>
        <v>354.45400873279027</v>
      </c>
      <c r="M37" s="71">
        <f t="shared" si="10"/>
        <v>361.21004487239509</v>
      </c>
      <c r="N37" s="71">
        <f t="shared" si="10"/>
        <v>364.401558282569</v>
      </c>
      <c r="O37" s="71">
        <f t="shared" si="10"/>
        <v>371.68958944822032</v>
      </c>
      <c r="P37" s="16"/>
    </row>
    <row r="38" spans="1:26" ht="15" customHeight="1" x14ac:dyDescent="0.45">
      <c r="A38" s="37"/>
      <c r="B38" s="71" t="s">
        <v>89</v>
      </c>
      <c r="C38" s="16"/>
      <c r="D38" s="16"/>
      <c r="E38" s="16"/>
      <c r="F38" s="16"/>
      <c r="G38" s="71">
        <f t="shared" ref="G38:O38" si="11">+G25*G34</f>
        <v>32.321025000000006</v>
      </c>
      <c r="H38" s="71">
        <f t="shared" si="11"/>
        <v>35.229917250000007</v>
      </c>
      <c r="I38" s="71">
        <f t="shared" si="11"/>
        <v>38.04831063000001</v>
      </c>
      <c r="J38" s="71">
        <f t="shared" si="11"/>
        <v>40.711692374100011</v>
      </c>
      <c r="K38" s="71">
        <f t="shared" si="11"/>
        <v>43.154393916546013</v>
      </c>
      <c r="L38" s="71">
        <f t="shared" si="11"/>
        <v>45.312113612373317</v>
      </c>
      <c r="M38" s="71">
        <f t="shared" si="11"/>
        <v>47.124598156868252</v>
      </c>
      <c r="N38" s="71">
        <f t="shared" si="11"/>
        <v>48.538336101574295</v>
      </c>
      <c r="O38" s="71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1" t="s">
        <v>171</v>
      </c>
      <c r="C39" s="16"/>
      <c r="D39" s="16"/>
      <c r="E39" s="16"/>
      <c r="F39" s="16"/>
      <c r="G39" s="71">
        <f t="shared" ref="G39" si="12">SUM(G37:G38)</f>
        <v>300.42392737500001</v>
      </c>
      <c r="H39" s="71">
        <f t="shared" ref="H39:O39" si="13">SUM(H37:H38)</f>
        <v>327.46208083875007</v>
      </c>
      <c r="I39" s="71">
        <f t="shared" si="13"/>
        <v>353.65904730585004</v>
      </c>
      <c r="J39" s="71">
        <f t="shared" si="13"/>
        <v>372.00308906833891</v>
      </c>
      <c r="K39" s="71">
        <f t="shared" si="13"/>
        <v>387.52645737058322</v>
      </c>
      <c r="L39" s="71">
        <f t="shared" si="13"/>
        <v>399.76612234516358</v>
      </c>
      <c r="M39" s="71">
        <f t="shared" si="13"/>
        <v>408.33464302926336</v>
      </c>
      <c r="N39" s="71">
        <f t="shared" si="13"/>
        <v>412.93989438414332</v>
      </c>
      <c r="O39" s="71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0" t="s">
        <v>25</v>
      </c>
      <c r="C40" s="16"/>
      <c r="D40" s="16"/>
      <c r="E40" s="16"/>
      <c r="F40" s="16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16"/>
    </row>
    <row r="41" spans="1:26" ht="15" customHeight="1" x14ac:dyDescent="0.45">
      <c r="A41" s="37"/>
      <c r="B41" s="70" t="s">
        <v>66</v>
      </c>
      <c r="C41" s="16"/>
      <c r="D41" s="16"/>
      <c r="E41" s="16"/>
      <c r="F41" s="16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16"/>
    </row>
    <row r="42" spans="1:26" ht="15" customHeight="1" x14ac:dyDescent="0.45">
      <c r="A42" s="37"/>
      <c r="B42" s="70" t="s">
        <v>26</v>
      </c>
      <c r="C42" s="16"/>
      <c r="D42" s="16"/>
      <c r="E42" s="16"/>
      <c r="F42" s="2"/>
      <c r="G42" s="71">
        <f t="shared" ref="G42" si="17">SUM(G39:G41)</f>
        <v>300.42392737500001</v>
      </c>
      <c r="H42" s="71">
        <f t="shared" ref="H42:O42" si="18">SUM(H39:H41)</f>
        <v>327.46208083875007</v>
      </c>
      <c r="I42" s="71">
        <f t="shared" si="18"/>
        <v>353.65904730585004</v>
      </c>
      <c r="J42" s="71">
        <f t="shared" si="18"/>
        <v>372.00308906833891</v>
      </c>
      <c r="K42" s="71">
        <f t="shared" si="18"/>
        <v>387.52645737058322</v>
      </c>
      <c r="L42" s="71">
        <f t="shared" si="18"/>
        <v>399.76612234516358</v>
      </c>
      <c r="M42" s="71">
        <f t="shared" si="18"/>
        <v>408.33464302926336</v>
      </c>
      <c r="N42" s="71">
        <f t="shared" si="18"/>
        <v>412.93989438414332</v>
      </c>
      <c r="O42" s="71">
        <f t="shared" si="18"/>
        <v>421.19869227182608</v>
      </c>
      <c r="P42" s="16"/>
    </row>
    <row r="43" spans="1:26" ht="15" customHeight="1" x14ac:dyDescent="0.45">
      <c r="A43" s="37"/>
      <c r="B43" s="70" t="s">
        <v>27</v>
      </c>
      <c r="C43" s="16"/>
      <c r="D43" s="16"/>
      <c r="E43" s="16"/>
      <c r="F43" s="2"/>
      <c r="G43" s="71">
        <f t="shared" ref="G43:O43" si="19">-G29*G42</f>
        <v>-60.084785475000004</v>
      </c>
      <c r="H43" s="71">
        <f t="shared" si="19"/>
        <v>-65.492416167750022</v>
      </c>
      <c r="I43" s="71">
        <f t="shared" si="19"/>
        <v>-70.731809461170016</v>
      </c>
      <c r="J43" s="71">
        <f t="shared" si="19"/>
        <v>-74.400617813667779</v>
      </c>
      <c r="K43" s="71">
        <f t="shared" si="19"/>
        <v>-77.505291474116646</v>
      </c>
      <c r="L43" s="71">
        <f t="shared" si="19"/>
        <v>-79.953224469032719</v>
      </c>
      <c r="M43" s="71">
        <f t="shared" si="19"/>
        <v>-81.666928605852675</v>
      </c>
      <c r="N43" s="71">
        <f t="shared" si="19"/>
        <v>-82.587978876828672</v>
      </c>
      <c r="O43" s="71">
        <f t="shared" si="19"/>
        <v>-84.239738454365224</v>
      </c>
      <c r="P43" s="16"/>
    </row>
    <row r="44" spans="1:26" ht="15" customHeight="1" x14ac:dyDescent="0.45">
      <c r="A44" s="37"/>
      <c r="B44" s="70" t="s">
        <v>65</v>
      </c>
      <c r="C44" s="16"/>
      <c r="D44" s="16"/>
      <c r="E44" s="16"/>
      <c r="F44" s="2"/>
      <c r="G44" s="71">
        <f>SUM(G42:G43)</f>
        <v>240.33914190000002</v>
      </c>
      <c r="H44" s="71">
        <f t="shared" ref="H44:O44" si="20">SUM(H42:H43)</f>
        <v>261.96966467100003</v>
      </c>
      <c r="I44" s="71">
        <f t="shared" si="20"/>
        <v>282.92723784468001</v>
      </c>
      <c r="J44" s="71">
        <f t="shared" si="20"/>
        <v>297.60247125467112</v>
      </c>
      <c r="K44" s="71">
        <f t="shared" si="20"/>
        <v>310.02116589646658</v>
      </c>
      <c r="L44" s="71">
        <f t="shared" si="20"/>
        <v>319.81289787613088</v>
      </c>
      <c r="M44" s="71">
        <f t="shared" si="20"/>
        <v>326.6677144234107</v>
      </c>
      <c r="N44" s="71">
        <f t="shared" si="20"/>
        <v>330.35191550731463</v>
      </c>
      <c r="O44" s="71">
        <f t="shared" si="20"/>
        <v>336.95895381746084</v>
      </c>
      <c r="P44" s="16"/>
    </row>
    <row r="45" spans="1:26" ht="15" customHeight="1" x14ac:dyDescent="0.45">
      <c r="A45" s="37"/>
      <c r="B45" s="70"/>
      <c r="C45" s="16"/>
      <c r="D45" s="16"/>
      <c r="E45" s="16"/>
      <c r="F45" s="2"/>
      <c r="G45" s="71"/>
      <c r="H45" s="71"/>
      <c r="I45" s="71"/>
      <c r="J45" s="71"/>
      <c r="K45" s="71"/>
      <c r="L45" s="71"/>
      <c r="M45" s="71"/>
      <c r="N45" s="71"/>
      <c r="O45" s="71"/>
      <c r="P45" s="16"/>
    </row>
    <row r="46" spans="1:26" ht="15" customHeight="1" x14ac:dyDescent="0.45">
      <c r="A46" s="37" t="s">
        <v>92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0" t="s">
        <v>65</v>
      </c>
      <c r="C47" s="16"/>
      <c r="D47" s="16"/>
      <c r="E47" s="16"/>
      <c r="F47" s="2"/>
      <c r="G47" s="71">
        <f>+G44</f>
        <v>240.33914190000002</v>
      </c>
      <c r="H47" s="71">
        <f t="shared" ref="H47:O47" si="21">+H44</f>
        <v>261.96966467100003</v>
      </c>
      <c r="I47" s="71">
        <f t="shared" si="21"/>
        <v>282.92723784468001</v>
      </c>
      <c r="J47" s="71">
        <f t="shared" si="21"/>
        <v>297.60247125467112</v>
      </c>
      <c r="K47" s="71">
        <f t="shared" si="21"/>
        <v>310.02116589646658</v>
      </c>
      <c r="L47" s="71">
        <f t="shared" si="21"/>
        <v>319.81289787613088</v>
      </c>
      <c r="M47" s="71">
        <f t="shared" si="21"/>
        <v>326.6677144234107</v>
      </c>
      <c r="N47" s="71">
        <f t="shared" si="21"/>
        <v>330.35191550731463</v>
      </c>
      <c r="O47" s="71">
        <f t="shared" si="21"/>
        <v>336.95895381746084</v>
      </c>
      <c r="P47" s="16"/>
    </row>
    <row r="48" spans="1:26" ht="15" customHeight="1" x14ac:dyDescent="0.45">
      <c r="A48" s="37"/>
      <c r="B48" s="70" t="s">
        <v>63</v>
      </c>
      <c r="C48" s="16"/>
      <c r="D48" s="16"/>
      <c r="E48" s="16"/>
      <c r="F48" s="2"/>
      <c r="G48" s="71">
        <f>-G36</f>
        <v>71.267860124999999</v>
      </c>
      <c r="H48" s="71">
        <f t="shared" ref="H48:O48" si="22">-H36</f>
        <v>77.681967536250013</v>
      </c>
      <c r="I48" s="71">
        <f t="shared" si="22"/>
        <v>83.896524939150012</v>
      </c>
      <c r="J48" s="71">
        <f t="shared" si="22"/>
        <v>96.181373233811286</v>
      </c>
      <c r="K48" s="71">
        <f t="shared" si="22"/>
        <v>108.74907266969598</v>
      </c>
      <c r="L48" s="71">
        <f t="shared" si="22"/>
        <v>121.32318419712954</v>
      </c>
      <c r="M48" s="71">
        <f t="shared" si="22"/>
        <v>133.5982357747215</v>
      </c>
      <c r="N48" s="71">
        <f t="shared" si="22"/>
        <v>145.25097078396107</v>
      </c>
      <c r="O48" s="71">
        <f t="shared" si="22"/>
        <v>148.15599019964031</v>
      </c>
      <c r="P48" s="16"/>
    </row>
    <row r="49" spans="1:26" ht="15" customHeight="1" x14ac:dyDescent="0.45">
      <c r="A49" s="37"/>
      <c r="B49" s="70" t="s">
        <v>67</v>
      </c>
      <c r="C49" s="16"/>
      <c r="D49" s="16"/>
      <c r="E49" s="16"/>
      <c r="F49" s="50"/>
      <c r="G49" s="71">
        <f t="shared" ref="G49:O49" si="23">+F30-G30</f>
        <v>-33.709418749999998</v>
      </c>
      <c r="H49" s="71">
        <f t="shared" si="23"/>
        <v>-19.635022687500026</v>
      </c>
      <c r="I49" s="71">
        <f t="shared" si="23"/>
        <v>-19.024155315000002</v>
      </c>
      <c r="J49" s="71">
        <f t="shared" si="23"/>
        <v>-17.97782677267503</v>
      </c>
      <c r="K49" s="71">
        <f t="shared" si="23"/>
        <v>-16.488235411510516</v>
      </c>
      <c r="L49" s="71">
        <f t="shared" si="23"/>
        <v>-14.564607946834258</v>
      </c>
      <c r="M49" s="71">
        <f t="shared" si="23"/>
        <v>-12.234270675340838</v>
      </c>
      <c r="N49" s="71">
        <f t="shared" si="23"/>
        <v>-9.5427311267658297</v>
      </c>
      <c r="O49" s="71">
        <f t="shared" si="23"/>
        <v>-6.5526753737125318</v>
      </c>
      <c r="P49" s="16"/>
    </row>
    <row r="50" spans="1:26" ht="15" customHeight="1" x14ac:dyDescent="0.45">
      <c r="A50" s="37"/>
      <c r="B50" s="70" t="s">
        <v>68</v>
      </c>
      <c r="C50" s="16"/>
      <c r="D50" s="65">
        <v>-63.6</v>
      </c>
      <c r="E50" s="65">
        <v>-91.44</v>
      </c>
      <c r="F50" s="65">
        <v>-77.034999999999997</v>
      </c>
      <c r="G50" s="71">
        <f t="shared" ref="G50:O50" si="24">-G26*G34</f>
        <v>-101.81122875000001</v>
      </c>
      <c r="H50" s="71">
        <f t="shared" si="24"/>
        <v>-110.97423933750002</v>
      </c>
      <c r="I50" s="71">
        <f t="shared" si="24"/>
        <v>-119.85217848450003</v>
      </c>
      <c r="J50" s="71">
        <f t="shared" si="24"/>
        <v>-128.24183097841504</v>
      </c>
      <c r="K50" s="71">
        <f t="shared" si="24"/>
        <v>-135.93634083711996</v>
      </c>
      <c r="L50" s="71">
        <f t="shared" si="24"/>
        <v>-142.73315787897593</v>
      </c>
      <c r="M50" s="71">
        <f t="shared" si="24"/>
        <v>-148.44248419413501</v>
      </c>
      <c r="N50" s="71">
        <f t="shared" si="24"/>
        <v>-152.89575871995902</v>
      </c>
      <c r="O50" s="71">
        <f t="shared" si="24"/>
        <v>-155.95367389435822</v>
      </c>
      <c r="P50" s="16"/>
    </row>
    <row r="51" spans="1:26" ht="15" customHeight="1" x14ac:dyDescent="0.45">
      <c r="A51" s="37"/>
      <c r="B51" s="73" t="s">
        <v>93</v>
      </c>
      <c r="C51" s="16"/>
      <c r="D51" s="16"/>
      <c r="E51" s="16"/>
      <c r="F51" s="2"/>
      <c r="G51" s="71">
        <f t="shared" ref="G51:O51" si="25">SUM(G47:G50)</f>
        <v>176.08635452500005</v>
      </c>
      <c r="H51" s="71">
        <f t="shared" si="25"/>
        <v>209.04237018224995</v>
      </c>
      <c r="I51" s="71">
        <f t="shared" si="25"/>
        <v>227.94742898432997</v>
      </c>
      <c r="J51" s="71">
        <f t="shared" si="25"/>
        <v>247.5641867373923</v>
      </c>
      <c r="K51" s="71">
        <f t="shared" si="25"/>
        <v>266.34566231753206</v>
      </c>
      <c r="L51" s="71">
        <f t="shared" si="25"/>
        <v>283.83831624745022</v>
      </c>
      <c r="M51" s="71">
        <f t="shared" si="25"/>
        <v>299.58919532865639</v>
      </c>
      <c r="N51" s="71">
        <f t="shared" si="25"/>
        <v>313.16439644455085</v>
      </c>
      <c r="O51" s="71">
        <f t="shared" si="25"/>
        <v>322.60859474903043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1"/>
      <c r="H52" s="71"/>
      <c r="I52" s="71"/>
      <c r="J52" s="71"/>
      <c r="K52" s="71"/>
      <c r="L52" s="71"/>
      <c r="M52" s="71"/>
      <c r="N52" s="71"/>
      <c r="O52" s="71"/>
      <c r="P52" s="16"/>
    </row>
    <row r="53" spans="1:26" ht="15" customHeight="1" x14ac:dyDescent="0.45">
      <c r="A53" s="37"/>
      <c r="B53" s="71" t="s">
        <v>151</v>
      </c>
      <c r="C53" s="16"/>
      <c r="D53" s="16"/>
      <c r="E53" s="16"/>
      <c r="G53" s="71">
        <f>+F69</f>
        <v>0</v>
      </c>
      <c r="H53" s="71">
        <f t="shared" ref="H53:O53" si="26">+G69</f>
        <v>0</v>
      </c>
      <c r="I53" s="71">
        <f t="shared" si="26"/>
        <v>0</v>
      </c>
      <c r="J53" s="71">
        <f t="shared" si="26"/>
        <v>0</v>
      </c>
      <c r="K53" s="71">
        <f t="shared" si="26"/>
        <v>0</v>
      </c>
      <c r="L53" s="71">
        <f t="shared" si="26"/>
        <v>0</v>
      </c>
      <c r="M53" s="71">
        <f t="shared" si="26"/>
        <v>0</v>
      </c>
      <c r="N53" s="71">
        <f t="shared" si="26"/>
        <v>22.613514322610911</v>
      </c>
      <c r="O53" s="71">
        <f t="shared" si="26"/>
        <v>335.77791076716176</v>
      </c>
      <c r="P53" s="16"/>
    </row>
    <row r="54" spans="1:26" ht="15" customHeight="1" x14ac:dyDescent="0.45">
      <c r="A54" s="37"/>
      <c r="B54" s="73" t="s">
        <v>170</v>
      </c>
      <c r="C54" s="16"/>
      <c r="D54" s="16"/>
      <c r="E54" s="16"/>
      <c r="F54" s="16"/>
      <c r="G54" s="71">
        <f t="shared" ref="G54:O54" si="27">+G51+G53</f>
        <v>176.08635452500005</v>
      </c>
      <c r="H54" s="71">
        <f t="shared" si="27"/>
        <v>209.04237018224995</v>
      </c>
      <c r="I54" s="71">
        <f t="shared" si="27"/>
        <v>227.94742898432997</v>
      </c>
      <c r="J54" s="71">
        <f t="shared" si="27"/>
        <v>247.5641867373923</v>
      </c>
      <c r="K54" s="71">
        <f t="shared" si="27"/>
        <v>266.34566231753206</v>
      </c>
      <c r="L54" s="71">
        <f t="shared" si="27"/>
        <v>283.83831624745022</v>
      </c>
      <c r="M54" s="71">
        <f t="shared" si="27"/>
        <v>299.58919532865639</v>
      </c>
      <c r="N54" s="71">
        <f t="shared" si="27"/>
        <v>335.77791076716176</v>
      </c>
      <c r="O54" s="71">
        <f t="shared" si="27"/>
        <v>658.38650551619219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94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0" t="s">
        <v>95</v>
      </c>
      <c r="C57" s="71"/>
      <c r="D57" s="71"/>
      <c r="E57" s="71"/>
      <c r="F57" s="71"/>
      <c r="G57" s="71">
        <f>F59</f>
        <v>1125.2</v>
      </c>
      <c r="H57" s="71">
        <f t="shared" ref="H57:O57" si="28">G59</f>
        <v>949.113645475</v>
      </c>
      <c r="I57" s="71">
        <f t="shared" si="28"/>
        <v>740.07127529274999</v>
      </c>
      <c r="J57" s="71">
        <f t="shared" si="28"/>
        <v>512.12384630842007</v>
      </c>
      <c r="K57" s="71">
        <f t="shared" si="28"/>
        <v>264.55965957102774</v>
      </c>
      <c r="L57" s="71">
        <f t="shared" si="28"/>
        <v>0</v>
      </c>
      <c r="M57" s="71">
        <f t="shared" si="28"/>
        <v>0</v>
      </c>
      <c r="N57" s="71">
        <f t="shared" si="28"/>
        <v>0</v>
      </c>
      <c r="O57" s="71">
        <f t="shared" si="28"/>
        <v>0</v>
      </c>
      <c r="P57" s="16"/>
    </row>
    <row r="58" spans="1:26" ht="15" customHeight="1" x14ac:dyDescent="0.45">
      <c r="A58" s="37"/>
      <c r="B58" s="70" t="s">
        <v>70</v>
      </c>
      <c r="C58" s="71"/>
      <c r="D58" s="71"/>
      <c r="E58" s="71"/>
      <c r="F58" s="71"/>
      <c r="G58" s="71">
        <f>-MIN(MAX(G54,0),G57)</f>
        <v>-176.08635452500005</v>
      </c>
      <c r="H58" s="71">
        <f t="shared" ref="H58:O58" si="29">-MIN(MAX(H54,0),H57)</f>
        <v>-209.04237018224995</v>
      </c>
      <c r="I58" s="71">
        <f t="shared" si="29"/>
        <v>-227.94742898432997</v>
      </c>
      <c r="J58" s="71">
        <f t="shared" si="29"/>
        <v>-247.5641867373923</v>
      </c>
      <c r="K58" s="71">
        <f t="shared" si="29"/>
        <v>-264.55965957102774</v>
      </c>
      <c r="L58" s="71">
        <f t="shared" si="29"/>
        <v>0</v>
      </c>
      <c r="M58" s="71">
        <f t="shared" si="29"/>
        <v>0</v>
      </c>
      <c r="N58" s="71">
        <f t="shared" si="29"/>
        <v>0</v>
      </c>
      <c r="O58" s="71">
        <f t="shared" si="29"/>
        <v>0</v>
      </c>
      <c r="P58" s="16"/>
    </row>
    <row r="59" spans="1:26" ht="15" customHeight="1" x14ac:dyDescent="0.45">
      <c r="A59" s="37"/>
      <c r="B59" s="70" t="s">
        <v>96</v>
      </c>
      <c r="C59" s="71"/>
      <c r="D59" s="71"/>
      <c r="E59" s="71"/>
      <c r="F59" s="71">
        <f>+O7</f>
        <v>1125.2</v>
      </c>
      <c r="G59" s="71">
        <f>SUM(G57:G58)</f>
        <v>949.113645475</v>
      </c>
      <c r="H59" s="71">
        <f t="shared" ref="H59:O59" si="30">SUM(H57:H58)</f>
        <v>740.07127529274999</v>
      </c>
      <c r="I59" s="71">
        <f t="shared" si="30"/>
        <v>512.12384630842007</v>
      </c>
      <c r="J59" s="71">
        <f t="shared" si="30"/>
        <v>264.55965957102774</v>
      </c>
      <c r="K59" s="71">
        <f t="shared" si="30"/>
        <v>0</v>
      </c>
      <c r="L59" s="71">
        <f t="shared" si="30"/>
        <v>0</v>
      </c>
      <c r="M59" s="71">
        <f t="shared" si="30"/>
        <v>0</v>
      </c>
      <c r="N59" s="71">
        <f t="shared" si="30"/>
        <v>0</v>
      </c>
      <c r="O59" s="71">
        <f t="shared" si="30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 t="shared" ref="G60:O60" si="31">$F$14*AVERAGE(F59:G59)</f>
        <v>50.820684314137509</v>
      </c>
      <c r="H60" s="71">
        <f t="shared" si="31"/>
        <v>41.385030558809881</v>
      </c>
      <c r="I60" s="71">
        <f t="shared" si="31"/>
        <v>30.678780479228667</v>
      </c>
      <c r="J60" s="71">
        <f t="shared" si="31"/>
        <v>19.028745894046473</v>
      </c>
      <c r="K60" s="71">
        <f t="shared" si="31"/>
        <v>6.4817116594901796</v>
      </c>
      <c r="L60" s="71">
        <f t="shared" si="31"/>
        <v>0</v>
      </c>
      <c r="M60" s="71">
        <f t="shared" si="31"/>
        <v>0</v>
      </c>
      <c r="N60" s="71">
        <f t="shared" si="31"/>
        <v>0</v>
      </c>
      <c r="O60" s="71">
        <f t="shared" si="31"/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1" t="s">
        <v>167</v>
      </c>
      <c r="C62" s="71"/>
      <c r="D62" s="71"/>
      <c r="G62" s="71">
        <f t="shared" ref="G62:O62" si="32">G54+G58</f>
        <v>0</v>
      </c>
      <c r="H62" s="71">
        <f t="shared" si="32"/>
        <v>0</v>
      </c>
      <c r="I62" s="71">
        <f t="shared" si="32"/>
        <v>0</v>
      </c>
      <c r="J62" s="71">
        <f t="shared" si="32"/>
        <v>0</v>
      </c>
      <c r="K62" s="71">
        <f t="shared" si="32"/>
        <v>1.7860027465043231</v>
      </c>
      <c r="L62" s="71">
        <f t="shared" si="32"/>
        <v>283.83831624745022</v>
      </c>
      <c r="M62" s="71">
        <f t="shared" si="32"/>
        <v>299.58919532865639</v>
      </c>
      <c r="N62" s="71">
        <f t="shared" si="32"/>
        <v>335.77791076716176</v>
      </c>
      <c r="O62" s="71">
        <f t="shared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3">G66</f>
        <v>562.6</v>
      </c>
      <c r="I64" s="71">
        <f t="shared" si="33"/>
        <v>562.6</v>
      </c>
      <c r="J64" s="71">
        <f t="shared" si="33"/>
        <v>562.6</v>
      </c>
      <c r="K64" s="71">
        <f t="shared" si="33"/>
        <v>562.6</v>
      </c>
      <c r="L64" s="71">
        <f t="shared" si="33"/>
        <v>560.8139972534957</v>
      </c>
      <c r="M64" s="71">
        <f t="shared" si="33"/>
        <v>276.97568100604548</v>
      </c>
      <c r="N64" s="71">
        <f t="shared" si="33"/>
        <v>0</v>
      </c>
      <c r="O64" s="71">
        <f t="shared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4">-MIN(H62,H64)</f>
        <v>0</v>
      </c>
      <c r="I65" s="71">
        <f t="shared" si="34"/>
        <v>0</v>
      </c>
      <c r="J65" s="71">
        <f t="shared" si="34"/>
        <v>0</v>
      </c>
      <c r="K65" s="71">
        <f t="shared" si="34"/>
        <v>-1.7860027465043231</v>
      </c>
      <c r="L65" s="71">
        <f t="shared" si="34"/>
        <v>-283.83831624745022</v>
      </c>
      <c r="M65" s="71">
        <f t="shared" si="34"/>
        <v>-276.97568100604548</v>
      </c>
      <c r="N65" s="71">
        <f t="shared" si="34"/>
        <v>0</v>
      </c>
      <c r="O65" s="71">
        <f t="shared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+O8</f>
        <v>562.6</v>
      </c>
      <c r="G66" s="71">
        <f>SUM(G64:G65)</f>
        <v>562.6</v>
      </c>
      <c r="H66" s="71">
        <f t="shared" ref="H66:O66" si="35">SUM(H64:H65)</f>
        <v>562.6</v>
      </c>
      <c r="I66" s="71">
        <f t="shared" si="35"/>
        <v>562.6</v>
      </c>
      <c r="J66" s="71">
        <f t="shared" si="35"/>
        <v>562.6</v>
      </c>
      <c r="K66" s="71">
        <f t="shared" si="35"/>
        <v>560.8139972534957</v>
      </c>
      <c r="L66" s="71">
        <f t="shared" si="35"/>
        <v>276.97568100604548</v>
      </c>
      <c r="M66" s="71">
        <f t="shared" si="35"/>
        <v>0</v>
      </c>
      <c r="N66" s="71">
        <f t="shared" si="35"/>
        <v>0</v>
      </c>
      <c r="O66" s="71">
        <f t="shared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:O67" si="36">$F$15*AVERAGE(F66:G66)</f>
        <v>39.382000000000005</v>
      </c>
      <c r="H67" s="71">
        <f t="shared" si="36"/>
        <v>39.382000000000005</v>
      </c>
      <c r="I67" s="71">
        <f t="shared" si="36"/>
        <v>39.382000000000005</v>
      </c>
      <c r="J67" s="71">
        <f t="shared" si="36"/>
        <v>39.382000000000005</v>
      </c>
      <c r="K67" s="71">
        <f t="shared" si="36"/>
        <v>39.319489903872359</v>
      </c>
      <c r="L67" s="71">
        <f t="shared" si="36"/>
        <v>29.322638739083946</v>
      </c>
      <c r="M67" s="71">
        <f t="shared" si="36"/>
        <v>9.6941488352115925</v>
      </c>
      <c r="N67" s="71">
        <f t="shared" si="36"/>
        <v>0</v>
      </c>
      <c r="O67" s="71">
        <f t="shared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 s="65">
        <v>0</v>
      </c>
      <c r="G69" s="71">
        <f>G54+G58+G65</f>
        <v>0</v>
      </c>
      <c r="H69" s="71">
        <f t="shared" ref="H69:O69" si="37">H54+H58+H65</f>
        <v>0</v>
      </c>
      <c r="I69" s="71">
        <f t="shared" si="37"/>
        <v>0</v>
      </c>
      <c r="J69" s="71">
        <f t="shared" si="37"/>
        <v>0</v>
      </c>
      <c r="K69" s="71">
        <f t="shared" si="37"/>
        <v>0</v>
      </c>
      <c r="L69" s="71">
        <f t="shared" si="37"/>
        <v>0</v>
      </c>
      <c r="M69" s="71">
        <f t="shared" si="37"/>
        <v>22.613514322610911</v>
      </c>
      <c r="N69" s="71">
        <f t="shared" si="37"/>
        <v>335.77791076716176</v>
      </c>
      <c r="O69" s="71">
        <f t="shared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:O70" si="38">$F$16*AVERAGE(F69:G69)</f>
        <v>0</v>
      </c>
      <c r="H70" s="71">
        <f t="shared" si="38"/>
        <v>0</v>
      </c>
      <c r="I70" s="71">
        <f t="shared" si="38"/>
        <v>0</v>
      </c>
      <c r="J70" s="71">
        <f t="shared" si="38"/>
        <v>0</v>
      </c>
      <c r="K70" s="71">
        <f t="shared" si="38"/>
        <v>0</v>
      </c>
      <c r="L70" s="71">
        <f t="shared" si="38"/>
        <v>0</v>
      </c>
      <c r="M70" s="71">
        <f t="shared" si="38"/>
        <v>3.3920271483916367E-2</v>
      </c>
      <c r="N70" s="71">
        <f t="shared" si="38"/>
        <v>0.53758713763465904</v>
      </c>
      <c r="O70" s="71">
        <f t="shared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71"/>
      <c r="D72" s="71"/>
      <c r="E72" s="71"/>
      <c r="F72" s="71"/>
      <c r="G72" s="71">
        <f>F75</f>
        <v>0</v>
      </c>
      <c r="H72" s="71">
        <f t="shared" ref="H72:M72" si="39">G75</f>
        <v>176.08635452500005</v>
      </c>
      <c r="I72" s="71">
        <f t="shared" si="39"/>
        <v>385.12872470725</v>
      </c>
      <c r="J72" s="71">
        <f t="shared" si="39"/>
        <v>613.07615369157998</v>
      </c>
      <c r="K72" s="71">
        <f t="shared" si="39"/>
        <v>860.64034042897231</v>
      </c>
      <c r="L72" s="71">
        <f t="shared" si="39"/>
        <v>1126.9860027465043</v>
      </c>
      <c r="M72" s="71">
        <f t="shared" si="39"/>
        <v>1410.8243189939544</v>
      </c>
      <c r="N72" s="71">
        <f t="shared" ref="N72:O72" si="40">M75</f>
        <v>1687.8</v>
      </c>
      <c r="O72" s="71">
        <f t="shared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71"/>
      <c r="D73" s="71"/>
      <c r="E73" s="71"/>
      <c r="F73" s="71"/>
      <c r="G73" s="71">
        <f>-G58</f>
        <v>176.08635452500005</v>
      </c>
      <c r="H73" s="71">
        <f t="shared" ref="H73:M73" si="41">-H58</f>
        <v>209.04237018224995</v>
      </c>
      <c r="I73" s="71">
        <f t="shared" si="41"/>
        <v>227.94742898432997</v>
      </c>
      <c r="J73" s="71">
        <f t="shared" si="41"/>
        <v>247.5641867373923</v>
      </c>
      <c r="K73" s="71">
        <f t="shared" si="41"/>
        <v>264.55965957102774</v>
      </c>
      <c r="L73" s="71">
        <f t="shared" si="41"/>
        <v>0</v>
      </c>
      <c r="M73" s="71">
        <f t="shared" si="41"/>
        <v>0</v>
      </c>
      <c r="N73" s="71">
        <f t="shared" ref="N73:O73" si="42">-N58</f>
        <v>0</v>
      </c>
      <c r="O73" s="71">
        <f t="shared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1" t="s">
        <v>179</v>
      </c>
      <c r="C74" s="71"/>
      <c r="D74" s="71"/>
      <c r="E74" s="71"/>
      <c r="F74" s="71"/>
      <c r="G74" s="71">
        <f>-G65</f>
        <v>0</v>
      </c>
      <c r="H74" s="71">
        <f t="shared" ref="H74:M74" si="43">-H65</f>
        <v>0</v>
      </c>
      <c r="I74" s="71">
        <f t="shared" si="43"/>
        <v>0</v>
      </c>
      <c r="J74" s="71">
        <f t="shared" si="43"/>
        <v>0</v>
      </c>
      <c r="K74" s="71">
        <f t="shared" si="43"/>
        <v>1.7860027465043231</v>
      </c>
      <c r="L74" s="71">
        <f t="shared" si="43"/>
        <v>283.83831624745022</v>
      </c>
      <c r="M74" s="71">
        <f t="shared" si="43"/>
        <v>276.97568100604548</v>
      </c>
      <c r="N74" s="71">
        <f t="shared" ref="N74:O74" si="44">-N65</f>
        <v>0</v>
      </c>
      <c r="O74" s="71">
        <f t="shared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180</v>
      </c>
      <c r="C75" s="71"/>
      <c r="D75" s="71"/>
      <c r="E75" s="71"/>
      <c r="F75" s="65">
        <v>0</v>
      </c>
      <c r="G75" s="71">
        <f>SUM(G72:G74)</f>
        <v>176.08635452500005</v>
      </c>
      <c r="H75" s="71">
        <f t="shared" ref="H75:M75" si="45">SUM(H72:H74)</f>
        <v>385.12872470725</v>
      </c>
      <c r="I75" s="71">
        <f t="shared" si="45"/>
        <v>613.07615369157998</v>
      </c>
      <c r="J75" s="71">
        <f t="shared" si="45"/>
        <v>860.64034042897231</v>
      </c>
      <c r="K75" s="71">
        <f t="shared" si="45"/>
        <v>1126.9860027465043</v>
      </c>
      <c r="L75" s="71">
        <f t="shared" si="45"/>
        <v>1410.8243189939544</v>
      </c>
      <c r="M75" s="71">
        <f t="shared" si="45"/>
        <v>1687.8</v>
      </c>
      <c r="N75" s="71">
        <f t="shared" ref="N75" si="46">SUM(N72:N74)</f>
        <v>1687.8</v>
      </c>
      <c r="O75" s="71">
        <f t="shared" ref="O75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">
        <v>169</v>
      </c>
      <c r="C77" s="71"/>
      <c r="D77" s="71"/>
      <c r="E77" s="71"/>
      <c r="F77" s="71">
        <f>F59+F66</f>
        <v>1687.8000000000002</v>
      </c>
      <c r="G77" s="71">
        <f>G59+G66</f>
        <v>1511.713645475</v>
      </c>
      <c r="H77" s="71">
        <f t="shared" ref="H77:M77" si="48">H59+H66</f>
        <v>1302.6712752927501</v>
      </c>
      <c r="I77" s="71">
        <f t="shared" si="48"/>
        <v>1074.72384630842</v>
      </c>
      <c r="J77" s="71">
        <f t="shared" si="48"/>
        <v>827.15965957102776</v>
      </c>
      <c r="K77" s="71">
        <f t="shared" si="48"/>
        <v>560.8139972534957</v>
      </c>
      <c r="L77" s="71">
        <f t="shared" si="48"/>
        <v>276.97568100604548</v>
      </c>
      <c r="M77" s="71">
        <f t="shared" si="48"/>
        <v>0</v>
      </c>
      <c r="N77" s="71">
        <f t="shared" ref="N77:O77" si="49">N59+N66</f>
        <v>0</v>
      </c>
      <c r="O77" s="71">
        <f t="shared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176</v>
      </c>
      <c r="C78" s="71"/>
      <c r="D78" s="71"/>
      <c r="E78" s="71"/>
      <c r="F78" s="71"/>
      <c r="G78" s="76">
        <f>G75/$F$77</f>
        <v>0.10432892198423986</v>
      </c>
      <c r="H78" s="76">
        <f t="shared" ref="H78:M78" si="50">H75/$F$77</f>
        <v>0.22818386343598174</v>
      </c>
      <c r="I78" s="76">
        <f t="shared" si="50"/>
        <v>0.36323981140631584</v>
      </c>
      <c r="J78" s="76">
        <f t="shared" si="50"/>
        <v>0.50991843845773921</v>
      </c>
      <c r="K78" s="76">
        <f t="shared" si="50"/>
        <v>0.667724850543017</v>
      </c>
      <c r="L78" s="76">
        <f t="shared" si="50"/>
        <v>0.83589543725201698</v>
      </c>
      <c r="M78" s="76">
        <f t="shared" si="50"/>
        <v>0.99999999999999989</v>
      </c>
      <c r="N78" s="76">
        <f t="shared" ref="N78:O78" si="51">N75/$F$77</f>
        <v>0.99999999999999989</v>
      </c>
      <c r="O78" s="76">
        <f t="shared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181</v>
      </c>
      <c r="C79" s="71"/>
      <c r="D79" s="71"/>
      <c r="E79" s="71"/>
      <c r="F79" s="71"/>
      <c r="G79" s="77">
        <f t="shared" ref="G79:O79" si="52">G77/G31</f>
        <v>4.0671160792730721</v>
      </c>
      <c r="H79" s="77">
        <f t="shared" si="52"/>
        <v>3.2153286726478125</v>
      </c>
      <c r="I79" s="77">
        <f t="shared" si="52"/>
        <v>2.4561996566384736</v>
      </c>
      <c r="J79" s="77">
        <f t="shared" si="52"/>
        <v>1.7667388095361598</v>
      </c>
      <c r="K79" s="77">
        <f t="shared" si="52"/>
        <v>1.1300456365599538</v>
      </c>
      <c r="L79" s="77">
        <f t="shared" si="52"/>
        <v>0.53153207622687093</v>
      </c>
      <c r="M79" s="77">
        <f t="shared" si="52"/>
        <v>0</v>
      </c>
      <c r="N79" s="77">
        <f t="shared" si="52"/>
        <v>0</v>
      </c>
      <c r="O79" s="77">
        <f t="shared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99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0" t="s">
        <v>24</v>
      </c>
      <c r="C82" s="71"/>
      <c r="D82" s="71"/>
      <c r="E82" s="71"/>
      <c r="G82" s="71">
        <f t="shared" ref="G82:O82" si="53">G39+G48</f>
        <v>371.69178750000003</v>
      </c>
      <c r="H82" s="71">
        <f t="shared" si="53"/>
        <v>405.14404837500007</v>
      </c>
      <c r="I82" s="71">
        <f t="shared" si="53"/>
        <v>437.55557224500006</v>
      </c>
      <c r="J82" s="71">
        <f t="shared" si="53"/>
        <v>468.18446230215022</v>
      </c>
      <c r="K82" s="71">
        <f t="shared" si="53"/>
        <v>496.27553004027919</v>
      </c>
      <c r="L82" s="71">
        <f t="shared" si="53"/>
        <v>521.08930654229312</v>
      </c>
      <c r="M82" s="71">
        <f t="shared" si="53"/>
        <v>541.93287880398486</v>
      </c>
      <c r="N82" s="71">
        <f t="shared" si="53"/>
        <v>558.19086516810444</v>
      </c>
      <c r="O82" s="71">
        <f t="shared" si="53"/>
        <v>569.35468247146639</v>
      </c>
      <c r="P82" s="16"/>
    </row>
    <row r="83" spans="1:16" ht="15" customHeight="1" x14ac:dyDescent="0.45">
      <c r="A83" s="37"/>
      <c r="B83" s="70" t="s">
        <v>72</v>
      </c>
      <c r="C83" s="71"/>
      <c r="D83" s="71"/>
      <c r="E83" s="71"/>
      <c r="F83" s="70"/>
      <c r="G83" s="71">
        <f>$F$10*G82</f>
        <v>4088.6096625000005</v>
      </c>
      <c r="H83" s="71">
        <f t="shared" ref="H83:O83" si="54">$F$10*H82</f>
        <v>4456.5845321250008</v>
      </c>
      <c r="I83" s="71">
        <f t="shared" si="54"/>
        <v>4813.1112946950007</v>
      </c>
      <c r="J83" s="71">
        <f t="shared" si="54"/>
        <v>5150.0290853236529</v>
      </c>
      <c r="K83" s="71">
        <f t="shared" si="54"/>
        <v>5459.030830443071</v>
      </c>
      <c r="L83" s="71">
        <f t="shared" si="54"/>
        <v>5731.982371965224</v>
      </c>
      <c r="M83" s="71">
        <f t="shared" si="54"/>
        <v>5961.2616668438332</v>
      </c>
      <c r="N83" s="71">
        <f t="shared" si="54"/>
        <v>6140.099516849149</v>
      </c>
      <c r="O83" s="71">
        <f t="shared" si="54"/>
        <v>6262.9015071861304</v>
      </c>
      <c r="P83" s="16"/>
    </row>
    <row r="84" spans="1:16" ht="15" customHeight="1" x14ac:dyDescent="0.45">
      <c r="A84" s="37"/>
      <c r="B84" s="70" t="s">
        <v>30</v>
      </c>
      <c r="C84" s="71"/>
      <c r="D84" s="71"/>
      <c r="E84" s="71"/>
      <c r="F84" s="71"/>
      <c r="G84" s="71">
        <f t="shared" ref="G84:O84" si="55">G69-G59-G66</f>
        <v>-1511.713645475</v>
      </c>
      <c r="H84" s="71">
        <f t="shared" si="55"/>
        <v>-1302.6712752927501</v>
      </c>
      <c r="I84" s="71">
        <f t="shared" si="55"/>
        <v>-1074.72384630842</v>
      </c>
      <c r="J84" s="71">
        <f t="shared" si="55"/>
        <v>-827.15965957102776</v>
      </c>
      <c r="K84" s="71">
        <f t="shared" si="55"/>
        <v>-560.8139972534957</v>
      </c>
      <c r="L84" s="71">
        <f t="shared" si="55"/>
        <v>-276.97568100604548</v>
      </c>
      <c r="M84" s="71">
        <f t="shared" si="55"/>
        <v>22.613514322610911</v>
      </c>
      <c r="N84" s="71">
        <f t="shared" si="55"/>
        <v>335.77791076716176</v>
      </c>
      <c r="O84" s="71">
        <f t="shared" si="55"/>
        <v>658.38650551619219</v>
      </c>
      <c r="P84" s="16"/>
    </row>
    <row r="85" spans="1:16" ht="15" customHeight="1" x14ac:dyDescent="0.45">
      <c r="A85" s="37"/>
      <c r="B85" s="70" t="s">
        <v>101</v>
      </c>
      <c r="C85" s="71"/>
      <c r="D85" s="71"/>
      <c r="E85" s="71"/>
      <c r="F85" s="71"/>
      <c r="G85" s="71">
        <f>SUM(G83:G84)</f>
        <v>2576.8960170250002</v>
      </c>
      <c r="H85" s="71">
        <f t="shared" ref="H85:O85" si="56">SUM(H83:H84)</f>
        <v>3153.9132568322507</v>
      </c>
      <c r="I85" s="71">
        <f t="shared" si="56"/>
        <v>3738.3874483865807</v>
      </c>
      <c r="J85" s="71">
        <f t="shared" si="56"/>
        <v>4322.8694257526249</v>
      </c>
      <c r="K85" s="71">
        <f t="shared" si="56"/>
        <v>4898.2168331895755</v>
      </c>
      <c r="L85" s="71">
        <f t="shared" si="56"/>
        <v>5455.0066909591787</v>
      </c>
      <c r="M85" s="71">
        <f t="shared" si="56"/>
        <v>5983.8751811664442</v>
      </c>
      <c r="N85" s="71">
        <f t="shared" si="56"/>
        <v>6475.8774276163113</v>
      </c>
      <c r="O85" s="71">
        <f t="shared" si="56"/>
        <v>6921.2880127023227</v>
      </c>
      <c r="P85" s="16"/>
    </row>
    <row r="86" spans="1:16" ht="15" customHeight="1" x14ac:dyDescent="0.4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16" ht="15" customHeight="1" x14ac:dyDescent="0.45">
      <c r="A87" s="37"/>
      <c r="B87" s="70" t="s">
        <v>102</v>
      </c>
      <c r="C87" s="71"/>
      <c r="D87" s="71"/>
      <c r="E87" s="71"/>
      <c r="F87" s="71">
        <f>-O9</f>
        <v>-1437.4430000000004</v>
      </c>
      <c r="G87" s="71">
        <f t="shared" ref="G87:O87" si="57">IF($F$18=G20,G85,0)</f>
        <v>0</v>
      </c>
      <c r="H87" s="71">
        <f t="shared" si="57"/>
        <v>0</v>
      </c>
      <c r="I87" s="71">
        <f t="shared" si="57"/>
        <v>0</v>
      </c>
      <c r="J87" s="71">
        <f t="shared" si="57"/>
        <v>0</v>
      </c>
      <c r="K87" s="71">
        <f t="shared" si="57"/>
        <v>4898.2168331895755</v>
      </c>
      <c r="L87" s="71">
        <f t="shared" si="57"/>
        <v>0</v>
      </c>
      <c r="M87" s="71">
        <f t="shared" si="57"/>
        <v>0</v>
      </c>
      <c r="N87" s="71">
        <f t="shared" si="57"/>
        <v>0</v>
      </c>
      <c r="O87" s="71">
        <f t="shared" si="57"/>
        <v>0</v>
      </c>
      <c r="P87" s="16"/>
    </row>
    <row r="88" spans="1:16" ht="15" customHeight="1" x14ac:dyDescent="0.45">
      <c r="A88" s="37"/>
      <c r="B88" s="70" t="s">
        <v>103</v>
      </c>
      <c r="C88" s="71"/>
      <c r="D88" s="71"/>
      <c r="F88" s="76">
        <f>IRR(F87:O87)</f>
        <v>0.2778782396937125</v>
      </c>
      <c r="H88" s="16"/>
      <c r="I88" s="71"/>
      <c r="J88" s="71"/>
      <c r="K88" s="71"/>
      <c r="L88" s="71"/>
      <c r="M88" s="71"/>
      <c r="N88" s="71"/>
      <c r="O88" s="71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0" t="s">
        <v>105</v>
      </c>
      <c r="C91" s="71"/>
      <c r="D91" s="71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1"/>
      <c r="C92" s="71"/>
      <c r="D92" s="89" t="s">
        <v>88</v>
      </c>
      <c r="E92" s="90"/>
      <c r="F92" s="90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78">
        <f>F88</f>
        <v>0.2778782396937125</v>
      </c>
      <c r="D93" s="56">
        <v>3</v>
      </c>
      <c r="E93" s="56">
        <v>4</v>
      </c>
      <c r="F93" s="56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5">
        <v>9</v>
      </c>
      <c r="D94" s="39">
        <f t="dataTable" ref="D94:F111" dt2D="1" dtr="1" r1="F18" r2="F9"/>
        <v>0.62624272252512037</v>
      </c>
      <c r="E94" s="39">
        <v>0.49334783450141906</v>
      </c>
      <c r="F94" s="39">
        <v>0.41312948798363891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5">
        <f t="shared" ref="C95:C111" si="58">C94+0.5</f>
        <v>9.5</v>
      </c>
      <c r="D95" s="39">
        <v>0.5462221641711682</v>
      </c>
      <c r="E95" s="39">
        <v>0.43789069307554662</v>
      </c>
      <c r="F95" s="39">
        <v>0.37098870210254997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5">
        <f t="shared" si="58"/>
        <v>10</v>
      </c>
      <c r="D96" s="39">
        <v>0.47993817742758749</v>
      </c>
      <c r="E96" s="39">
        <v>0.39140843623367338</v>
      </c>
      <c r="F96" s="39">
        <v>0.33541694763118368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5">
        <f t="shared" si="58"/>
        <v>10.5</v>
      </c>
      <c r="D97" s="39">
        <v>0.42373222286313195</v>
      </c>
      <c r="E97" s="39">
        <v>0.35158445365579905</v>
      </c>
      <c r="F97" s="39">
        <v>0.30475126908207684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5">
        <f t="shared" si="58"/>
        <v>11</v>
      </c>
      <c r="D98" s="39">
        <v>0.3751958693302937</v>
      </c>
      <c r="E98" s="39">
        <v>0.31687748153778883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5">
        <f t="shared" si="58"/>
        <v>11.5</v>
      </c>
      <c r="D99" s="39">
        <v>0.33266688343883977</v>
      </c>
      <c r="E99" s="39">
        <v>0.28621377434514228</v>
      </c>
      <c r="F99" s="39">
        <v>0.25401780480278791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0" t="s">
        <v>106</v>
      </c>
      <c r="C100" s="55">
        <f t="shared" si="58"/>
        <v>12</v>
      </c>
      <c r="D100" s="39">
        <v>0.29495413036844376</v>
      </c>
      <c r="E100" s="39">
        <v>0.25881741020999804</v>
      </c>
      <c r="F100" s="39">
        <v>0.23260342577555226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f t="shared" si="58"/>
        <v>12.5</v>
      </c>
      <c r="D101" s="39">
        <v>0.26117755102909834</v>
      </c>
      <c r="E101" s="39">
        <v>0.23411072264491684</v>
      </c>
      <c r="F101" s="39">
        <v>0.2132113882995692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si="58"/>
        <v>13</v>
      </c>
      <c r="D102" s="39">
        <v>0.23067019460632032</v>
      </c>
      <c r="E102" s="39">
        <v>0.21165286599891653</v>
      </c>
      <c r="F102" s="39">
        <v>0.19551698023020703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58"/>
        <v>13.5</v>
      </c>
      <c r="D103" s="39">
        <v>0.20291566012684426</v>
      </c>
      <c r="E103" s="39">
        <v>0.19110030548125101</v>
      </c>
      <c r="F103" s="39">
        <v>0.179266187954777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58"/>
        <v>14</v>
      </c>
      <c r="D104" s="39">
        <v>0.17750671085157044</v>
      </c>
      <c r="E104" s="83">
        <v>0.17218050762349835</v>
      </c>
      <c r="F104" s="39">
        <v>0.16425677510710046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58"/>
        <v>14.5</v>
      </c>
      <c r="D105" s="39">
        <v>0.15411705808341902</v>
      </c>
      <c r="E105" s="39">
        <v>0.15467389400984</v>
      </c>
      <c r="F105" s="39">
        <v>0.15032525673399455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58"/>
        <v>15</v>
      </c>
      <c r="D106" s="39">
        <v>0.13248161740454112</v>
      </c>
      <c r="E106" s="39">
        <v>0.13840114230225553</v>
      </c>
      <c r="F106" s="39">
        <v>0.13733770222188513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5">
        <f t="shared" si="58"/>
        <v>15.5</v>
      </c>
      <c r="D107" s="39">
        <v>0.11238237690127084</v>
      </c>
      <c r="E107" s="39">
        <v>0.12321404882907316</v>
      </c>
      <c r="F107" s="39">
        <v>0.12518309663640448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58"/>
        <v>16</v>
      </c>
      <c r="D108" s="39">
        <v>9.3638078709990191E-2</v>
      </c>
      <c r="E108" s="39">
        <v>0.1089888237061245</v>
      </c>
      <c r="F108" s="39">
        <v>0.11376845490391996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58"/>
        <v>16.5</v>
      </c>
      <c r="D109" s="39">
        <v>7.6096550676699959E-2</v>
      </c>
      <c r="E109" s="39">
        <v>9.5621084646996479E-2</v>
      </c>
      <c r="F109" s="39">
        <v>0.10301516359604856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58"/>
        <v>17</v>
      </c>
      <c r="D110" s="39">
        <v>5.9628916899653994E-2</v>
      </c>
      <c r="E110" s="39">
        <v>8.3022060667708564E-2</v>
      </c>
      <c r="F110" s="39">
        <v>9.2856199455239707E-2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58"/>
        <v>17.5</v>
      </c>
      <c r="D111" s="39">
        <v>4.4125164472421652E-2</v>
      </c>
      <c r="E111" s="39">
        <v>7.111567283532394E-2</v>
      </c>
      <c r="F111" s="39">
        <v>8.3233985140167333E-2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79" t="s">
        <v>212</v>
      </c>
      <c r="B1" s="85"/>
      <c r="C1" s="85"/>
      <c r="D1" s="85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7" ht="15" customHeight="1" x14ac:dyDescent="0.55000000000000004">
      <c r="A2" s="80"/>
      <c r="B2" s="80"/>
      <c r="C2" s="1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</row>
    <row r="3" spans="1:17" ht="15" customHeight="1" x14ac:dyDescent="0.55000000000000004">
      <c r="A3" s="80"/>
      <c r="B3" s="80"/>
      <c r="C3" s="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17" ht="15" customHeight="1" x14ac:dyDescent="0.45">
      <c r="A4" s="70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6" t="s">
        <v>205</v>
      </c>
      <c r="H6" s="86" t="s">
        <v>77</v>
      </c>
      <c r="N6" s="70" t="s">
        <v>173</v>
      </c>
      <c r="Q6" s="81"/>
    </row>
    <row r="7" spans="1:17" ht="15" customHeight="1" x14ac:dyDescent="0.45">
      <c r="A7" s="86"/>
      <c r="B7" t="s">
        <v>204</v>
      </c>
      <c r="F7" s="87">
        <v>2</v>
      </c>
      <c r="H7" t="s">
        <v>72</v>
      </c>
      <c r="J7">
        <f>F10</f>
        <v>175.87206</v>
      </c>
      <c r="L7" t="s">
        <v>81</v>
      </c>
      <c r="N7" s="91">
        <v>5</v>
      </c>
      <c r="O7">
        <f>N7*F9</f>
        <v>146.56004999999999</v>
      </c>
    </row>
    <row r="8" spans="1:17" ht="15" customHeight="1" x14ac:dyDescent="0.45">
      <c r="A8" s="86"/>
      <c r="B8" t="s">
        <v>155</v>
      </c>
      <c r="F8" s="91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6"/>
      <c r="B9" t="s">
        <v>60</v>
      </c>
      <c r="F9" cm="1">
        <f t="array" ref="F9">INDEX(G30:O30,,F7)</f>
        <v>29.312010000000001</v>
      </c>
      <c r="H9" t="s">
        <v>174</v>
      </c>
      <c r="J9">
        <f>SUM(J7:J8)</f>
        <v>181.14822180000002</v>
      </c>
      <c r="L9" t="s">
        <v>156</v>
      </c>
      <c r="O9">
        <f>SUM(O7:O8)</f>
        <v>181.14822180000002</v>
      </c>
    </row>
    <row r="10" spans="1:17" ht="15" customHeight="1" x14ac:dyDescent="0.45">
      <c r="A10" s="86"/>
      <c r="B10" t="s">
        <v>76</v>
      </c>
      <c r="F10">
        <f>+F8*F9</f>
        <v>175.87206</v>
      </c>
    </row>
    <row r="11" spans="1:17" ht="15" customHeight="1" x14ac:dyDescent="0.45">
      <c r="A11" s="86"/>
      <c r="B11" s="70" t="s">
        <v>87</v>
      </c>
      <c r="F11" s="69">
        <v>0.03</v>
      </c>
    </row>
    <row r="12" spans="1:17" ht="15" customHeight="1" x14ac:dyDescent="0.45">
      <c r="A12" s="86"/>
      <c r="B12" s="70" t="s">
        <v>210</v>
      </c>
      <c r="F12" s="69">
        <v>0.06</v>
      </c>
    </row>
    <row r="13" spans="1:17" ht="15" customHeight="1" x14ac:dyDescent="0.45">
      <c r="A13" s="86"/>
      <c r="H13" s="81"/>
      <c r="I13" s="81"/>
    </row>
    <row r="14" spans="1:17" ht="15" customHeight="1" x14ac:dyDescent="0.45">
      <c r="A14" s="86"/>
      <c r="B14" t="s">
        <v>100</v>
      </c>
      <c r="F14" s="65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6"/>
      <c r="H15" s="81"/>
      <c r="I15" s="81"/>
    </row>
    <row r="16" spans="1:17" ht="15" customHeight="1" x14ac:dyDescent="0.45">
      <c r="A16" s="94" t="s">
        <v>207</v>
      </c>
    </row>
    <row r="17" spans="1:15" ht="15" customHeight="1" x14ac:dyDescent="0.45">
      <c r="A17" s="94"/>
      <c r="B17" t="s">
        <v>61</v>
      </c>
      <c r="E17" s="68">
        <f>E29/D29-1</f>
        <v>2.9398543558392554E-2</v>
      </c>
      <c r="F17" s="68">
        <f>F29/E29-1</f>
        <v>4.1921397379912628E-2</v>
      </c>
      <c r="G17" s="69">
        <v>0.05</v>
      </c>
      <c r="H17" s="69">
        <v>0.04</v>
      </c>
      <c r="I17" s="69">
        <v>0.03</v>
      </c>
      <c r="J17" s="69">
        <v>0.03</v>
      </c>
      <c r="K17" s="69">
        <v>2.5000000000000001E-2</v>
      </c>
      <c r="L17" s="69">
        <v>2.5000000000000001E-2</v>
      </c>
      <c r="M17" s="69">
        <v>2.5000000000000001E-2</v>
      </c>
      <c r="N17" s="69">
        <v>2.5000000000000001E-2</v>
      </c>
      <c r="O17" s="69">
        <v>2.5000000000000001E-2</v>
      </c>
    </row>
    <row r="18" spans="1:15" ht="15" customHeight="1" x14ac:dyDescent="0.45">
      <c r="A18" s="94"/>
      <c r="B18" t="s">
        <v>31</v>
      </c>
      <c r="D18" s="68">
        <f>+D30/D29</f>
        <v>0.2104573534889097</v>
      </c>
      <c r="E18" s="68">
        <f>+E30/E29</f>
        <v>0.20456781035558322</v>
      </c>
      <c r="F18" s="68">
        <f>+F30/F29</f>
        <v>0.20704107292539817</v>
      </c>
      <c r="G18" s="69">
        <v>0.22500000000000001</v>
      </c>
      <c r="H18" s="69">
        <v>0.22500000000000001</v>
      </c>
      <c r="I18" s="69">
        <v>0.22500000000000001</v>
      </c>
      <c r="J18" s="69">
        <v>0.22500000000000001</v>
      </c>
      <c r="K18" s="69">
        <v>0.22500000000000001</v>
      </c>
      <c r="L18" s="69">
        <v>0.22500000000000001</v>
      </c>
      <c r="M18" s="69">
        <v>0.22500000000000001</v>
      </c>
      <c r="N18" s="69">
        <v>0.22500000000000001</v>
      </c>
      <c r="O18" s="69">
        <v>0.22500000000000001</v>
      </c>
    </row>
    <row r="19" spans="1:15" ht="15" customHeight="1" x14ac:dyDescent="0.45">
      <c r="A19" s="94"/>
      <c r="B19" t="s">
        <v>152</v>
      </c>
      <c r="E19" s="82">
        <f>+E35/E29</f>
        <v>9.5321272613849053E-2</v>
      </c>
      <c r="F19" s="82">
        <f>+F35/F29</f>
        <v>8.5857981080110141E-2</v>
      </c>
      <c r="G19" s="69">
        <v>0.1</v>
      </c>
      <c r="H19" s="69">
        <v>0.1</v>
      </c>
      <c r="I19" s="69">
        <v>0.1</v>
      </c>
      <c r="J19" s="69">
        <v>0.1</v>
      </c>
      <c r="K19" s="69">
        <v>0.1</v>
      </c>
      <c r="L19" s="69">
        <v>0.1</v>
      </c>
      <c r="M19" s="69">
        <v>0.1</v>
      </c>
      <c r="N19" s="69">
        <v>0.1</v>
      </c>
      <c r="O19" s="69">
        <v>0.1</v>
      </c>
    </row>
    <row r="20" spans="1:15" ht="15" customHeight="1" x14ac:dyDescent="0.45">
      <c r="A20" s="94"/>
      <c r="B20" t="s">
        <v>192</v>
      </c>
      <c r="E20" s="68">
        <f>+E32/E29</f>
        <v>3.7554585152838424E-2</v>
      </c>
      <c r="F20" s="68">
        <f>+F32/F29</f>
        <v>3.8558256496227995E-2</v>
      </c>
      <c r="G20" s="69">
        <v>3.5000000000000003E-2</v>
      </c>
      <c r="H20" s="69">
        <v>0.04</v>
      </c>
      <c r="I20" s="69">
        <v>0.04</v>
      </c>
      <c r="J20" s="69">
        <v>0.04</v>
      </c>
      <c r="K20" s="69">
        <v>0.04</v>
      </c>
      <c r="L20" s="69">
        <v>0.04</v>
      </c>
      <c r="M20" s="69">
        <v>0.04</v>
      </c>
      <c r="N20" s="69">
        <v>0.04</v>
      </c>
      <c r="O20" s="69">
        <v>0.04</v>
      </c>
    </row>
    <row r="21" spans="1:15" ht="15" customHeight="1" x14ac:dyDescent="0.45">
      <c r="A21" s="94"/>
      <c r="B21" t="s">
        <v>191</v>
      </c>
      <c r="E21" s="68">
        <f>+E31/E32</f>
        <v>0.93023255813953487</v>
      </c>
      <c r="F21" s="68">
        <f>+F31/F32</f>
        <v>0.95652173913043492</v>
      </c>
      <c r="G21" s="69">
        <v>0.96</v>
      </c>
      <c r="H21" s="69">
        <v>0.96</v>
      </c>
      <c r="I21" s="69">
        <v>0.96</v>
      </c>
      <c r="J21" s="69">
        <v>0.96</v>
      </c>
      <c r="K21" s="69">
        <v>0.96</v>
      </c>
      <c r="L21" s="69">
        <v>0.96</v>
      </c>
      <c r="M21" s="69">
        <v>0.96</v>
      </c>
      <c r="N21" s="69">
        <v>0.96</v>
      </c>
      <c r="O21" s="69">
        <v>0.96</v>
      </c>
    </row>
    <row r="22" spans="1:15" ht="15" customHeight="1" x14ac:dyDescent="0.45"/>
    <row r="23" spans="1:15" ht="15" customHeight="1" x14ac:dyDescent="0.45">
      <c r="A23" s="94" t="s">
        <v>186</v>
      </c>
    </row>
    <row r="24" spans="1:15" ht="15" customHeight="1" x14ac:dyDescent="0.45">
      <c r="A24" s="94"/>
      <c r="B24" t="s">
        <v>187</v>
      </c>
      <c r="E24" s="68"/>
      <c r="F24" s="68"/>
      <c r="G24" s="69">
        <v>0.03</v>
      </c>
      <c r="H24" s="69">
        <v>0.05</v>
      </c>
      <c r="I24" s="69">
        <v>7.4999999999999997E-2</v>
      </c>
      <c r="J24" s="69">
        <v>7.4999999999999997E-2</v>
      </c>
      <c r="K24" s="69">
        <v>7.4999999999999997E-2</v>
      </c>
      <c r="L24" s="69">
        <v>7.4999999999999997E-2</v>
      </c>
      <c r="M24" s="69">
        <v>7.4999999999999997E-2</v>
      </c>
      <c r="N24" s="69">
        <v>7.4999999999999997E-2</v>
      </c>
      <c r="O24" s="69">
        <v>7.4999999999999997E-2</v>
      </c>
    </row>
    <row r="25" spans="1:15" ht="15" customHeight="1" x14ac:dyDescent="0.45">
      <c r="A25" s="94"/>
      <c r="B25" t="s">
        <v>196</v>
      </c>
      <c r="E25" s="68"/>
      <c r="F25" s="68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 x14ac:dyDescent="0.45">
      <c r="A26" s="94"/>
      <c r="B26" t="s">
        <v>185</v>
      </c>
      <c r="E26" s="68"/>
      <c r="F26" s="68"/>
      <c r="G26" s="93" cm="1">
        <f t="array" ref="G26">IF(G25=1,INDEX($G$24:$O$24,0,G14-AddonYear),0)</f>
        <v>0</v>
      </c>
      <c r="H26" s="93" cm="1">
        <f t="array" ref="H26">IF(H25=1,INDEX($G$24:$O$24,0,H14-AddonYear),0)</f>
        <v>0</v>
      </c>
      <c r="I26" s="93" cm="1">
        <f t="array" ref="I26">IF(I25=1,INDEX($G$24:$O$24,0,I14-AddonYear),0)</f>
        <v>0.03</v>
      </c>
      <c r="J26" s="93" cm="1">
        <f t="array" ref="J26">IF(J25=1,INDEX($G$24:$O$24,0,J14-AddonYear),0)</f>
        <v>0.05</v>
      </c>
      <c r="K26" s="93" cm="1">
        <f t="array" ref="K26">IF(K25=1,INDEX($G$24:$O$24,0,K14-AddonYear),0)</f>
        <v>7.4999999999999997E-2</v>
      </c>
      <c r="L26" s="93" cm="1">
        <f t="array" ref="L26">IF(L25=1,INDEX($G$24:$O$24,0,L14-AddonYear),0)</f>
        <v>7.4999999999999997E-2</v>
      </c>
      <c r="M26" s="93" cm="1">
        <f t="array" ref="M26">IF(M25=1,INDEX($G$24:$O$24,0,M14-AddonYear),0)</f>
        <v>7.4999999999999997E-2</v>
      </c>
      <c r="N26" s="93" cm="1">
        <f t="array" ref="N26">IF(N25=1,INDEX($G$24:$O$24,0,N14-AddonYear),0)</f>
        <v>7.4999999999999997E-2</v>
      </c>
      <c r="O26" s="93" cm="1">
        <f t="array" ref="O26">IF(O25=1,INDEX($G$24:$O$24,0,O14-AddonYear),0)</f>
        <v>7.4999999999999997E-2</v>
      </c>
    </row>
    <row r="27" spans="1:15" ht="15" customHeight="1" x14ac:dyDescent="0.45">
      <c r="A27" s="96"/>
    </row>
    <row r="28" spans="1:15" ht="15" customHeight="1" x14ac:dyDescent="0.45">
      <c r="A28" s="94" t="s">
        <v>208</v>
      </c>
    </row>
    <row r="29" spans="1:15" ht="15" customHeight="1" x14ac:dyDescent="0.45">
      <c r="A29" s="94"/>
      <c r="B29" t="s">
        <v>42</v>
      </c>
      <c r="D29" s="65">
        <v>111.23</v>
      </c>
      <c r="E29" s="65">
        <v>114.5</v>
      </c>
      <c r="F29" s="65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 x14ac:dyDescent="0.45">
      <c r="A30" s="94"/>
      <c r="B30" t="s">
        <v>24</v>
      </c>
      <c r="D30" s="65">
        <v>23.409171428571426</v>
      </c>
      <c r="E30" s="65">
        <v>23.423014285714277</v>
      </c>
      <c r="F30" s="65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 x14ac:dyDescent="0.45">
      <c r="A31" s="94"/>
      <c r="B31" t="s">
        <v>63</v>
      </c>
      <c r="D31" s="65">
        <v>3.7</v>
      </c>
      <c r="E31" s="65">
        <v>4</v>
      </c>
      <c r="F31" s="65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 x14ac:dyDescent="0.45">
      <c r="A32" s="94"/>
      <c r="B32" t="s">
        <v>193</v>
      </c>
      <c r="D32" s="65"/>
      <c r="E32" s="65">
        <v>4.3</v>
      </c>
      <c r="F32" s="65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 x14ac:dyDescent="0.45">
      <c r="A33" s="94"/>
      <c r="B33" t="s">
        <v>28</v>
      </c>
      <c r="E33" s="65">
        <v>23.114285714285717</v>
      </c>
      <c r="F33" s="65">
        <v>24.485714285714284</v>
      </c>
      <c r="G33" s="92"/>
      <c r="H33" s="92"/>
      <c r="I33" s="92"/>
      <c r="J33" s="92"/>
      <c r="K33" s="92"/>
      <c r="L33" s="92"/>
      <c r="M33" s="92"/>
      <c r="N33" s="92"/>
      <c r="O33" s="92"/>
    </row>
    <row r="34" spans="1:15" ht="15" customHeight="1" x14ac:dyDescent="0.45">
      <c r="A34" s="94"/>
      <c r="B34" t="s">
        <v>29</v>
      </c>
      <c r="E34" s="65">
        <v>-12.200000000000001</v>
      </c>
      <c r="F34" s="65">
        <v>-14.242857142857144</v>
      </c>
      <c r="G34" s="92"/>
      <c r="H34" s="92"/>
      <c r="I34" s="92"/>
      <c r="J34" s="92"/>
      <c r="K34" s="92"/>
      <c r="L34" s="92"/>
      <c r="M34" s="92"/>
      <c r="N34" s="92"/>
      <c r="O34" s="92"/>
    </row>
    <row r="35" spans="1:15" ht="15" customHeight="1" x14ac:dyDescent="0.45">
      <c r="A35" s="94"/>
      <c r="B35" t="s">
        <v>157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 x14ac:dyDescent="0.45">
      <c r="A36" s="94"/>
    </row>
    <row r="37" spans="1:15" ht="15" customHeight="1" x14ac:dyDescent="0.45">
      <c r="A37" s="94" t="s">
        <v>209</v>
      </c>
    </row>
    <row r="38" spans="1:15" ht="15" customHeight="1" x14ac:dyDescent="0.45">
      <c r="A38" s="94"/>
      <c r="B38" t="s">
        <v>42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 x14ac:dyDescent="0.45">
      <c r="A39" s="86"/>
      <c r="B39" t="s">
        <v>24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 x14ac:dyDescent="0.45">
      <c r="A40" s="86"/>
      <c r="B40" t="s">
        <v>74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 x14ac:dyDescent="0.45">
      <c r="A41" s="86"/>
      <c r="B41" t="s">
        <v>90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 x14ac:dyDescent="0.45">
      <c r="A42" s="86"/>
      <c r="B42" t="s">
        <v>63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 x14ac:dyDescent="0.45">
      <c r="A43" s="86"/>
      <c r="B43" t="s">
        <v>22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 x14ac:dyDescent="0.45">
      <c r="A44" s="86"/>
      <c r="B44" t="s">
        <v>193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 x14ac:dyDescent="0.45">
      <c r="A45" s="86"/>
      <c r="B45" t="s">
        <v>158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 x14ac:dyDescent="0.45">
      <c r="A46" s="86"/>
    </row>
    <row r="47" spans="1:15" ht="15.75" x14ac:dyDescent="0.45">
      <c r="A47" s="86" t="s">
        <v>32</v>
      </c>
    </row>
    <row r="48" spans="1:15" ht="15.75" x14ac:dyDescent="0.45">
      <c r="A48" s="86"/>
    </row>
    <row r="49" spans="1:1" ht="15.75" x14ac:dyDescent="0.45">
      <c r="A49" s="86"/>
    </row>
    <row r="50" spans="1:1" ht="15.75" x14ac:dyDescent="0.45">
      <c r="A50" s="86"/>
    </row>
    <row r="51" spans="1:1" ht="15.75" x14ac:dyDescent="0.45">
      <c r="A51" s="86"/>
    </row>
    <row r="52" spans="1:1" ht="15.75" x14ac:dyDescent="0.45">
      <c r="A52" s="8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28.5" x14ac:dyDescent="0.85">
      <c r="A1" s="85" t="str">
        <f>Info!N5&amp;" LBO Analysis &amp; Add-On Acquisition"</f>
        <v xml:space="preserve"> LBO Analysis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8" x14ac:dyDescent="0.55000000000000004">
      <c r="A2" s="48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x14ac:dyDescent="0.45">
      <c r="A3" s="48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0"/>
      <c r="B6" t="s">
        <v>168</v>
      </c>
      <c r="C6" s="87">
        <v>1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50"/>
    </row>
    <row r="7" spans="1:26" ht="15" customHeight="1" x14ac:dyDescent="0.45">
      <c r="B7" s="16"/>
      <c r="C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50"/>
    </row>
    <row r="8" spans="1:26" ht="15" customHeight="1" x14ac:dyDescent="0.45">
      <c r="A8" s="37" t="s">
        <v>203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50"/>
    </row>
    <row r="9" spans="1:26" ht="15" customHeight="1" x14ac:dyDescent="0.45">
      <c r="A9" s="37"/>
      <c r="B9" s="71" t="s">
        <v>83</v>
      </c>
      <c r="C9" s="16"/>
      <c r="D9" s="16"/>
      <c r="E9" s="40"/>
      <c r="F9" s="66">
        <v>11</v>
      </c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26" ht="15" customHeight="1" x14ac:dyDescent="0.45">
      <c r="A10" s="37"/>
      <c r="B10" s="71" t="s">
        <v>150</v>
      </c>
      <c r="F10" s="66">
        <v>11</v>
      </c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1:26" ht="15" customHeight="1" x14ac:dyDescent="0.45">
      <c r="A11" s="37"/>
      <c r="B11" s="70" t="s">
        <v>85</v>
      </c>
      <c r="C11" s="16"/>
      <c r="D11" s="16"/>
      <c r="F11" s="97">
        <f>'1 LBO Base Case'!F14</f>
        <v>4.9000000000000002E-2</v>
      </c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210</v>
      </c>
      <c r="C12" s="16"/>
      <c r="D12" s="16"/>
      <c r="F12" s="97">
        <f>'2 Add on'!F12</f>
        <v>0.06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86</v>
      </c>
      <c r="C13" s="16"/>
      <c r="D13" s="16"/>
      <c r="F13" s="68">
        <f>'1 LBO Base Case'!F15</f>
        <v>7.0000000000000007E-2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1" t="s">
        <v>62</v>
      </c>
      <c r="C14" s="16"/>
      <c r="D14" s="16"/>
      <c r="F14" s="68">
        <f>'1 LBO 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0" t="s">
        <v>87</v>
      </c>
      <c r="C15" s="16"/>
      <c r="D15" s="16"/>
      <c r="F15" s="68">
        <f>'1 LBO 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0" t="s">
        <v>88</v>
      </c>
      <c r="C16" s="16"/>
      <c r="D16" s="16"/>
      <c r="F16" s="44"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0" t="s">
        <v>71</v>
      </c>
      <c r="C17" s="16"/>
      <c r="D17" s="16"/>
      <c r="E17" s="16"/>
      <c r="F17" s="39"/>
      <c r="G17" s="69">
        <v>0.2</v>
      </c>
      <c r="H17" s="69">
        <v>0.2</v>
      </c>
      <c r="I17" s="69">
        <v>0.2</v>
      </c>
      <c r="J17" s="69">
        <v>0.2</v>
      </c>
      <c r="K17" s="69">
        <v>0.2</v>
      </c>
      <c r="L17" s="69">
        <v>0.2</v>
      </c>
      <c r="M17" s="69">
        <v>0.2</v>
      </c>
      <c r="N17" s="69">
        <v>0.2</v>
      </c>
      <c r="O17" s="69"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0" t="s">
        <v>100</v>
      </c>
      <c r="C19" s="71"/>
      <c r="D19" s="71"/>
      <c r="E19" s="71"/>
      <c r="F19" s="65">
        <v>0</v>
      </c>
      <c r="G19" s="71">
        <f>F19+1</f>
        <v>1</v>
      </c>
      <c r="H19" s="71">
        <f t="shared" ref="H19:O19" si="2">G19+1</f>
        <v>2</v>
      </c>
      <c r="I19" s="71">
        <f t="shared" si="2"/>
        <v>3</v>
      </c>
      <c r="J19" s="71">
        <f t="shared" si="2"/>
        <v>4</v>
      </c>
      <c r="K19" s="71">
        <f t="shared" si="2"/>
        <v>5</v>
      </c>
      <c r="L19" s="71">
        <f t="shared" si="2"/>
        <v>6</v>
      </c>
      <c r="M19" s="71">
        <f t="shared" si="2"/>
        <v>7</v>
      </c>
      <c r="N19" s="71">
        <f t="shared" si="2"/>
        <v>8</v>
      </c>
      <c r="O19" s="71">
        <f t="shared" si="2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0" t="s">
        <v>218</v>
      </c>
      <c r="C22" s="16"/>
      <c r="D22" s="16"/>
      <c r="E22" s="16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16"/>
    </row>
    <row r="23" spans="1:26" ht="15" customHeight="1" x14ac:dyDescent="0.45">
      <c r="A23" s="37"/>
      <c r="B23" s="70" t="s">
        <v>159</v>
      </c>
      <c r="C23" s="16"/>
      <c r="D23" s="16"/>
      <c r="E23" s="16"/>
      <c r="F23" s="2"/>
      <c r="G23">
        <f>'2 Add on'!G38*AddonSwitch</f>
        <v>0</v>
      </c>
      <c r="H23">
        <f>'2 Add on'!H38*AddonSwitch</f>
        <v>0</v>
      </c>
      <c r="I23">
        <f>'2 Add on'!I38*AddonSwitch</f>
        <v>134.18386799999999</v>
      </c>
      <c r="J23">
        <f>'2 Add on'!J38*AddonSwitch</f>
        <v>138.20938404</v>
      </c>
      <c r="K23">
        <f>'2 Add on'!K38*AddonSwitch</f>
        <v>141.664618641</v>
      </c>
      <c r="L23">
        <f>'2 Add on'!L38*AddonSwitch</f>
        <v>145.20623410702498</v>
      </c>
      <c r="M23">
        <f>'2 Add on'!M38*AddonSwitch</f>
        <v>148.8363899597006</v>
      </c>
      <c r="N23">
        <f>'2 Add on'!N38*AddonSwitch</f>
        <v>152.55729970869311</v>
      </c>
      <c r="O23">
        <f>'2 Add on'!O38*AddonSwitch</f>
        <v>156.37123220141044</v>
      </c>
      <c r="P23" s="16"/>
    </row>
    <row r="24" spans="1:26" ht="15" customHeight="1" x14ac:dyDescent="0.45">
      <c r="A24" s="37"/>
      <c r="B24" s="70" t="s">
        <v>160</v>
      </c>
      <c r="C24" s="16"/>
      <c r="D24" s="16"/>
      <c r="E24" s="16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2036.5993995000006</v>
      </c>
      <c r="J24">
        <f t="shared" si="3"/>
        <v>2173.7940027450004</v>
      </c>
      <c r="K24">
        <f t="shared" si="3"/>
        <v>2299.3843144683005</v>
      </c>
      <c r="L24">
        <f t="shared" si="3"/>
        <v>2410.8119147256907</v>
      </c>
      <c r="M24">
        <f t="shared" si="3"/>
        <v>2505.0662978031132</v>
      </c>
      <c r="N24">
        <f t="shared" si="3"/>
        <v>2579.4741047874077</v>
      </c>
      <c r="O24">
        <f t="shared" si="3"/>
        <v>2631.8263733816993</v>
      </c>
      <c r="P24" s="16"/>
    </row>
    <row r="25" spans="1:26" ht="15" customHeight="1" x14ac:dyDescent="0.45">
      <c r="A25" s="37"/>
      <c r="B25" s="70" t="s">
        <v>219</v>
      </c>
      <c r="C25" s="16"/>
      <c r="D25" s="16"/>
      <c r="E25" s="16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16"/>
    </row>
    <row r="26" spans="1:26" ht="15" customHeight="1" x14ac:dyDescent="0.45">
      <c r="A26" s="37"/>
      <c r="B26" s="71" t="s">
        <v>220</v>
      </c>
      <c r="C26" s="16"/>
      <c r="D26" s="16"/>
      <c r="E26" s="16"/>
      <c r="F26" s="16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1" t="s">
        <v>161</v>
      </c>
      <c r="C27" s="16"/>
      <c r="D27" s="16"/>
      <c r="E27" s="16"/>
      <c r="F27" s="16"/>
      <c r="G27">
        <f>'2 Add on'!G43*AddonSwitch</f>
        <v>0</v>
      </c>
      <c r="H27">
        <f>'2 Add on'!H43*AddonSwitch</f>
        <v>0</v>
      </c>
      <c r="I27">
        <f>'2 Add on'!I43*AddonSwitch</f>
        <v>28.946977768799997</v>
      </c>
      <c r="J27">
        <f>'2 Add on'!J43*AddonSwitch</f>
        <v>32.303651061864002</v>
      </c>
      <c r="K27">
        <f>'2 Add on'!K43*AddonSwitch</f>
        <v>36.205287838410605</v>
      </c>
      <c r="L27">
        <f>'2 Add on'!L43*AddonSwitch</f>
        <v>36.86615328437086</v>
      </c>
      <c r="M27">
        <f>'2 Add on'!M43*AddonSwitch</f>
        <v>37.543540366480137</v>
      </c>
      <c r="N27">
        <f>'2 Add on'!N43*AddonSwitch</f>
        <v>38.237862125642131</v>
      </c>
      <c r="O27">
        <f>'2 Add on'!O43*AddonSwitch</f>
        <v>38.949541928783184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1" t="s">
        <v>162</v>
      </c>
      <c r="C28" s="16"/>
      <c r="D28" s="16"/>
      <c r="E28" s="16"/>
      <c r="F28" s="16"/>
      <c r="G28">
        <f>SUM(G25:G27)</f>
        <v>300.42392737500001</v>
      </c>
      <c r="H28">
        <f t="shared" ref="H28:O28" si="4">SUM(H25:H27)</f>
        <v>327.46208083875007</v>
      </c>
      <c r="I28">
        <f t="shared" si="4"/>
        <v>382.60602507465001</v>
      </c>
      <c r="J28">
        <f t="shared" si="4"/>
        <v>404.30674013020291</v>
      </c>
      <c r="K28">
        <f t="shared" si="4"/>
        <v>423.7317452089938</v>
      </c>
      <c r="L28">
        <f t="shared" si="4"/>
        <v>436.63227562953443</v>
      </c>
      <c r="M28">
        <f t="shared" si="4"/>
        <v>445.87818339574352</v>
      </c>
      <c r="N28">
        <f t="shared" si="4"/>
        <v>451.17775650978547</v>
      </c>
      <c r="O28">
        <f t="shared" si="4"/>
        <v>460.14823420060924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0" t="s">
        <v>25</v>
      </c>
      <c r="C29" s="16"/>
      <c r="D29" s="16"/>
      <c r="E29" s="16"/>
      <c r="F29" s="16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16"/>
    </row>
    <row r="30" spans="1:26" ht="15" customHeight="1" x14ac:dyDescent="0.45">
      <c r="A30" s="37"/>
      <c r="B30" s="70" t="s">
        <v>66</v>
      </c>
      <c r="C30" s="16"/>
      <c r="D30" s="16"/>
      <c r="E30" s="16"/>
      <c r="F30" s="16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16"/>
    </row>
    <row r="31" spans="1:26" ht="15" customHeight="1" x14ac:dyDescent="0.45">
      <c r="A31" s="37"/>
      <c r="B31" s="70" t="s">
        <v>26</v>
      </c>
      <c r="C31" s="16"/>
      <c r="D31" s="16"/>
      <c r="E31" s="16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382.60602507465001</v>
      </c>
      <c r="J31">
        <f t="shared" si="9"/>
        <v>404.30674013020291</v>
      </c>
      <c r="K31">
        <f t="shared" si="9"/>
        <v>423.7317452089938</v>
      </c>
      <c r="L31">
        <f t="shared" si="9"/>
        <v>436.63227562953443</v>
      </c>
      <c r="M31">
        <f t="shared" si="9"/>
        <v>445.87818339574352</v>
      </c>
      <c r="N31">
        <f t="shared" si="9"/>
        <v>451.17775650978547</v>
      </c>
      <c r="O31">
        <f t="shared" si="9"/>
        <v>460.14823420060924</v>
      </c>
      <c r="P31" s="16"/>
    </row>
    <row r="32" spans="1:26" ht="15" customHeight="1" x14ac:dyDescent="0.45">
      <c r="A32" s="37"/>
      <c r="B32" s="70" t="s">
        <v>27</v>
      </c>
      <c r="C32" s="16"/>
      <c r="D32" s="16"/>
      <c r="E32" s="16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-76.521205014930004</v>
      </c>
      <c r="J32">
        <f t="shared" si="10"/>
        <v>-80.861348026040588</v>
      </c>
      <c r="K32">
        <f t="shared" si="10"/>
        <v>-84.746349041798766</v>
      </c>
      <c r="L32">
        <f t="shared" si="10"/>
        <v>-87.32645512590689</v>
      </c>
      <c r="M32">
        <f t="shared" si="10"/>
        <v>-89.17563667914871</v>
      </c>
      <c r="N32">
        <f t="shared" si="10"/>
        <v>-90.235551301957102</v>
      </c>
      <c r="O32">
        <f t="shared" si="10"/>
        <v>-92.029646840121856</v>
      </c>
      <c r="P32" s="16"/>
    </row>
    <row r="33" spans="1:16" ht="15" customHeight="1" x14ac:dyDescent="0.45">
      <c r="A33" s="37"/>
      <c r="B33" s="70" t="s">
        <v>65</v>
      </c>
      <c r="C33" s="16"/>
      <c r="D33" s="16"/>
      <c r="E33" s="16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306.08482005972002</v>
      </c>
      <c r="J33">
        <f t="shared" si="11"/>
        <v>323.44539210416235</v>
      </c>
      <c r="K33">
        <f t="shared" si="11"/>
        <v>338.98539616719506</v>
      </c>
      <c r="L33">
        <f t="shared" si="11"/>
        <v>349.30582050362756</v>
      </c>
      <c r="M33">
        <f t="shared" si="11"/>
        <v>356.70254671659484</v>
      </c>
      <c r="N33">
        <f t="shared" si="11"/>
        <v>360.94220520782835</v>
      </c>
      <c r="O33">
        <f t="shared" si="11"/>
        <v>368.11858736048737</v>
      </c>
      <c r="P33" s="16"/>
    </row>
    <row r="34" spans="1:16" ht="15" customHeight="1" x14ac:dyDescent="0.45">
      <c r="A34" s="37"/>
      <c r="B34" s="16"/>
      <c r="C34" s="16"/>
      <c r="D34" s="16"/>
      <c r="E34" s="16"/>
      <c r="F34" s="16"/>
      <c r="P34" s="16"/>
    </row>
    <row r="35" spans="1:16" ht="15" customHeight="1" x14ac:dyDescent="0.45">
      <c r="A35" s="37" t="s">
        <v>92</v>
      </c>
      <c r="B35" s="16"/>
      <c r="C35" s="16"/>
      <c r="D35" s="16"/>
      <c r="E35" s="16"/>
      <c r="F35" s="16"/>
      <c r="P35" s="16"/>
    </row>
    <row r="36" spans="1:16" ht="15" customHeight="1" x14ac:dyDescent="0.45">
      <c r="A36" s="37"/>
      <c r="B36" s="70" t="s">
        <v>65</v>
      </c>
      <c r="C36" s="16"/>
      <c r="D36" s="16"/>
      <c r="E36" s="16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306.08482005972002</v>
      </c>
      <c r="J36">
        <f t="shared" si="12"/>
        <v>323.44539210416235</v>
      </c>
      <c r="K36">
        <f t="shared" si="12"/>
        <v>338.98539616719506</v>
      </c>
      <c r="L36">
        <f t="shared" si="12"/>
        <v>349.30582050362756</v>
      </c>
      <c r="M36">
        <f t="shared" si="12"/>
        <v>356.70254671659484</v>
      </c>
      <c r="N36">
        <f t="shared" si="12"/>
        <v>360.94220520782835</v>
      </c>
      <c r="O36">
        <f t="shared" si="12"/>
        <v>368.11858736048737</v>
      </c>
      <c r="P36" s="16"/>
    </row>
    <row r="37" spans="1:16" ht="15" customHeight="1" x14ac:dyDescent="0.45">
      <c r="A37" s="37"/>
      <c r="B37" s="70" t="s">
        <v>221</v>
      </c>
      <c r="C37" s="16"/>
      <c r="D37" s="16"/>
      <c r="E37" s="16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16"/>
    </row>
    <row r="38" spans="1:16" ht="15" customHeight="1" x14ac:dyDescent="0.45">
      <c r="A38" s="37"/>
      <c r="B38" s="70" t="s">
        <v>164</v>
      </c>
      <c r="C38" s="16"/>
      <c r="D38" s="16"/>
      <c r="E38" s="16"/>
      <c r="F38" s="2"/>
      <c r="G38">
        <f>'2 Add on'!G42*AddonSwitch</f>
        <v>0</v>
      </c>
      <c r="H38">
        <f>'2 Add on'!H42*AddonSwitch</f>
        <v>0</v>
      </c>
      <c r="I38">
        <f>'2 Add on'!I42*AddonSwitch</f>
        <v>5.1526605311999996</v>
      </c>
      <c r="J38">
        <f>'2 Add on'!J42*AddonSwitch</f>
        <v>5.3072403471360001</v>
      </c>
      <c r="K38">
        <f>'2 Add on'!K42*AddonSwitch</f>
        <v>5.4399213558144002</v>
      </c>
      <c r="L38">
        <f>'2 Add on'!L42*AddonSwitch</f>
        <v>5.5759193897097585</v>
      </c>
      <c r="M38">
        <f>'2 Add on'!M42*AddonSwitch</f>
        <v>5.7153173744525034</v>
      </c>
      <c r="N38">
        <f>'2 Add on'!N42*AddonSwitch</f>
        <v>5.8582003088138155</v>
      </c>
      <c r="O38">
        <f>'2 Add on'!O42*AddonSwitch</f>
        <v>6.0046553165341612</v>
      </c>
      <c r="P38" s="16"/>
    </row>
    <row r="39" spans="1:16" ht="15" customHeight="1" x14ac:dyDescent="0.45">
      <c r="A39" s="37"/>
      <c r="B39" s="70" t="s">
        <v>222</v>
      </c>
      <c r="C39" s="16"/>
      <c r="D39" s="16"/>
      <c r="E39" s="16"/>
      <c r="F39" s="50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16"/>
    </row>
    <row r="40" spans="1:16" ht="15" customHeight="1" x14ac:dyDescent="0.45">
      <c r="A40" s="37"/>
      <c r="B40" s="70" t="s">
        <v>163</v>
      </c>
      <c r="C40" s="16"/>
      <c r="D40" s="16"/>
      <c r="E40" s="16"/>
      <c r="F40" s="50"/>
      <c r="G40">
        <f>'2 Add on'!G45*AddonSwitch</f>
        <v>0</v>
      </c>
      <c r="H40">
        <f>'2 Add on'!H45*AddonSwitch</f>
        <v>0</v>
      </c>
      <c r="I40">
        <f>'2 Add on'!I45*AddonSwitch</f>
        <v>-0.39082679999999925</v>
      </c>
      <c r="J40">
        <f>'2 Add on'!J45*AddonSwitch</f>
        <v>-0.40255160400000101</v>
      </c>
      <c r="K40">
        <f>'2 Add on'!K45*AddonSwitch</f>
        <v>-0.34552346009999901</v>
      </c>
      <c r="L40">
        <f>'2 Add on'!L45*AddonSwitch</f>
        <v>-0.35416154660249788</v>
      </c>
      <c r="M40">
        <f>'2 Add on'!M45*AddonSwitch</f>
        <v>-0.36301558526756139</v>
      </c>
      <c r="N40">
        <f>'2 Add on'!N45*AddonSwitch</f>
        <v>-0.37209097489925114</v>
      </c>
      <c r="O40">
        <f>'2 Add on'!O45*AddonSwitch</f>
        <v>-0.38139324927173313</v>
      </c>
      <c r="P40" s="16"/>
    </row>
    <row r="41" spans="1:16" ht="15" customHeight="1" x14ac:dyDescent="0.45">
      <c r="A41" s="37"/>
      <c r="B41" s="70" t="s">
        <v>223</v>
      </c>
      <c r="C41" s="16"/>
      <c r="D41" s="16"/>
      <c r="E41" s="16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16"/>
    </row>
    <row r="42" spans="1:16" ht="15" customHeight="1" x14ac:dyDescent="0.45">
      <c r="A42" s="37"/>
      <c r="B42" s="70" t="s">
        <v>165</v>
      </c>
      <c r="C42" s="16"/>
      <c r="D42" s="16"/>
      <c r="E42" s="16"/>
      <c r="F42" s="2"/>
      <c r="G42">
        <f>-'2 Add on'!G44*AddonSwitch</f>
        <v>0</v>
      </c>
      <c r="H42">
        <f>-'2 Add on'!H44*AddonSwitch</f>
        <v>0</v>
      </c>
      <c r="I42">
        <f>-'2 Add on'!I44*AddonSwitch</f>
        <v>-5.3673547199999998</v>
      </c>
      <c r="J42">
        <f>-'2 Add on'!J44*AddonSwitch</f>
        <v>-5.5283753616000002</v>
      </c>
      <c r="K42">
        <f>-'2 Add on'!K44*AddonSwitch</f>
        <v>-5.6665847456400007</v>
      </c>
      <c r="L42">
        <f>-'2 Add on'!L44*AddonSwitch</f>
        <v>-5.8082493642809991</v>
      </c>
      <c r="M42">
        <f>-'2 Add on'!M44*AddonSwitch</f>
        <v>-5.9534555983880244</v>
      </c>
      <c r="N42">
        <f>-'2 Add on'!N44*AddonSwitch</f>
        <v>-6.1022919883477247</v>
      </c>
      <c r="O42">
        <f>-'2 Add on'!O44*AddonSwitch</f>
        <v>-6.2548492880564179</v>
      </c>
      <c r="P42" s="16"/>
    </row>
    <row r="43" spans="1:16" ht="15" customHeight="1" x14ac:dyDescent="0.45">
      <c r="A43" s="37"/>
      <c r="B43" s="73" t="s">
        <v>93</v>
      </c>
      <c r="C43" s="16"/>
      <c r="D43" s="16"/>
      <c r="E43" s="16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250.49949021057003</v>
      </c>
      <c r="J43">
        <f t="shared" si="13"/>
        <v>272.78342096841953</v>
      </c>
      <c r="K43">
        <f t="shared" si="13"/>
        <v>294.73770573833491</v>
      </c>
      <c r="L43">
        <f t="shared" si="13"/>
        <v>312.74474735377322</v>
      </c>
      <c r="M43">
        <f t="shared" si="13"/>
        <v>329.0228738126375</v>
      </c>
      <c r="N43">
        <f t="shared" si="13"/>
        <v>343.13850349063142</v>
      </c>
      <c r="O43">
        <f t="shared" si="13"/>
        <v>353.136641071263</v>
      </c>
      <c r="P43" s="16"/>
    </row>
    <row r="44" spans="1:16" ht="15" customHeight="1" x14ac:dyDescent="0.45">
      <c r="A44" s="37"/>
      <c r="B44" s="16"/>
      <c r="C44" s="16"/>
      <c r="D44" s="16"/>
      <c r="E44" s="16"/>
      <c r="F44" s="2"/>
      <c r="P44" s="16"/>
    </row>
    <row r="45" spans="1:16" ht="15" customHeight="1" x14ac:dyDescent="0.45">
      <c r="A45" s="37"/>
      <c r="B45" s="71" t="s">
        <v>151</v>
      </c>
      <c r="C45" s="16"/>
      <c r="D45" s="16"/>
      <c r="E45" s="16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0</v>
      </c>
      <c r="M45">
        <f t="shared" si="14"/>
        <v>0</v>
      </c>
      <c r="N45">
        <f t="shared" si="14"/>
        <v>10.556912790985166</v>
      </c>
      <c r="O45">
        <f t="shared" si="14"/>
        <v>353.69541628161659</v>
      </c>
      <c r="P45" s="16"/>
    </row>
    <row r="46" spans="1:16" ht="15" customHeight="1" x14ac:dyDescent="0.45">
      <c r="A46" s="37"/>
      <c r="B46" s="73" t="s">
        <v>170</v>
      </c>
      <c r="C46" s="16"/>
      <c r="D46" s="16"/>
      <c r="E46" s="16"/>
      <c r="F46" s="16"/>
      <c r="G46" s="71">
        <f t="shared" ref="G46" si="15">+G43+G45</f>
        <v>176.08635452500005</v>
      </c>
      <c r="H46" s="71">
        <f t="shared" ref="H46:O46" si="16">+H43+H45</f>
        <v>209.04237018224995</v>
      </c>
      <c r="I46" s="71">
        <f t="shared" si="16"/>
        <v>250.49949021057003</v>
      </c>
      <c r="J46" s="71">
        <f t="shared" si="16"/>
        <v>272.78342096841953</v>
      </c>
      <c r="K46" s="71">
        <f t="shared" si="16"/>
        <v>294.73770573833491</v>
      </c>
      <c r="L46" s="71">
        <f t="shared" si="16"/>
        <v>312.74474735377322</v>
      </c>
      <c r="M46" s="71">
        <f t="shared" si="16"/>
        <v>329.0228738126375</v>
      </c>
      <c r="N46" s="71">
        <f t="shared" si="16"/>
        <v>353.69541628161659</v>
      </c>
      <c r="O46" s="71">
        <f t="shared" si="16"/>
        <v>706.83205735287959</v>
      </c>
      <c r="P46" s="16"/>
    </row>
    <row r="47" spans="1:16" ht="15" customHeight="1" x14ac:dyDescent="0.45">
      <c r="A47" s="37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0" t="s">
        <v>224</v>
      </c>
      <c r="C49" s="71"/>
      <c r="D49" s="71"/>
      <c r="E49" s="71"/>
      <c r="F49" s="71"/>
      <c r="G49" s="71">
        <f>F51</f>
        <v>1125.2</v>
      </c>
      <c r="H49" s="71">
        <f t="shared" ref="H49:O49" si="17">G51</f>
        <v>949.113645475</v>
      </c>
      <c r="I49" s="71">
        <f t="shared" si="17"/>
        <v>740.07127529274999</v>
      </c>
      <c r="J49" s="71">
        <f t="shared" si="17"/>
        <v>489.57178508217999</v>
      </c>
      <c r="K49" s="71">
        <f t="shared" si="17"/>
        <v>216.78836411376045</v>
      </c>
      <c r="L49" s="71">
        <f t="shared" si="17"/>
        <v>0</v>
      </c>
      <c r="M49" s="71">
        <f t="shared" si="17"/>
        <v>0</v>
      </c>
      <c r="N49" s="71">
        <f t="shared" si="17"/>
        <v>0</v>
      </c>
      <c r="O49" s="71">
        <f t="shared" si="17"/>
        <v>0</v>
      </c>
      <c r="P49" s="16"/>
    </row>
    <row r="50" spans="1:26" ht="15" customHeight="1" x14ac:dyDescent="0.45">
      <c r="A50" s="37"/>
      <c r="B50" s="70" t="s">
        <v>70</v>
      </c>
      <c r="C50" s="71"/>
      <c r="D50" s="71"/>
      <c r="E50" s="71"/>
      <c r="F50" s="71"/>
      <c r="G50" s="71">
        <f>-MIN(G46,G49)</f>
        <v>-176.08635452500005</v>
      </c>
      <c r="H50" s="71">
        <f t="shared" ref="H50:O50" si="18">-MIN(H46,H49)</f>
        <v>-209.04237018224995</v>
      </c>
      <c r="I50" s="71">
        <f t="shared" si="18"/>
        <v>-250.49949021057003</v>
      </c>
      <c r="J50" s="71">
        <f t="shared" si="18"/>
        <v>-272.78342096841953</v>
      </c>
      <c r="K50" s="71">
        <f t="shared" si="18"/>
        <v>-216.78836411376045</v>
      </c>
      <c r="L50" s="71">
        <f t="shared" si="18"/>
        <v>0</v>
      </c>
      <c r="M50" s="71">
        <f t="shared" si="18"/>
        <v>0</v>
      </c>
      <c r="N50" s="71">
        <f t="shared" si="18"/>
        <v>0</v>
      </c>
      <c r="O50" s="71">
        <f t="shared" si="18"/>
        <v>0</v>
      </c>
      <c r="P50" s="16"/>
    </row>
    <row r="51" spans="1:26" ht="15" customHeight="1" x14ac:dyDescent="0.45">
      <c r="A51" s="37"/>
      <c r="B51" s="70" t="s">
        <v>96</v>
      </c>
      <c r="C51" s="71"/>
      <c r="D51" s="71"/>
      <c r="E51" s="71"/>
      <c r="F51" s="71">
        <f>'1 LBO Base Case'!F59</f>
        <v>1125.2</v>
      </c>
      <c r="G51" s="71">
        <f>SUM(G49:G50)</f>
        <v>949.113645475</v>
      </c>
      <c r="H51" s="71">
        <f t="shared" ref="H51:O51" si="19">SUM(H49:H50)</f>
        <v>740.07127529274999</v>
      </c>
      <c r="I51" s="71">
        <f t="shared" si="19"/>
        <v>489.57178508217999</v>
      </c>
      <c r="J51" s="71">
        <f t="shared" si="19"/>
        <v>216.78836411376045</v>
      </c>
      <c r="K51" s="71">
        <f t="shared" si="19"/>
        <v>0</v>
      </c>
      <c r="L51" s="71">
        <f t="shared" si="19"/>
        <v>0</v>
      </c>
      <c r="M51" s="71">
        <f t="shared" si="19"/>
        <v>0</v>
      </c>
      <c r="N51" s="71">
        <f t="shared" si="19"/>
        <v>0</v>
      </c>
      <c r="O51" s="71">
        <f t="shared" si="19"/>
        <v>0</v>
      </c>
      <c r="P51" s="16"/>
    </row>
    <row r="52" spans="1:26" ht="15" customHeight="1" x14ac:dyDescent="0.45">
      <c r="A52" s="37"/>
      <c r="B52" s="70" t="s">
        <v>25</v>
      </c>
      <c r="C52" s="71"/>
      <c r="D52" s="71"/>
      <c r="E52" s="71"/>
      <c r="F52" s="71"/>
      <c r="G52" s="71">
        <f t="shared" ref="G52" si="20">$F$11*AVERAGE(F51:G51)</f>
        <v>50.820684314137509</v>
      </c>
      <c r="H52" s="71">
        <f t="shared" ref="H52" si="21">$F$11*AVERAGE(G51:H51)</f>
        <v>41.385030558809881</v>
      </c>
      <c r="I52" s="71">
        <f t="shared" ref="I52" si="22">$F$11*AVERAGE(H51:I51)</f>
        <v>30.126254979185784</v>
      </c>
      <c r="J52" s="71">
        <f t="shared" ref="J52" si="23">$F$11*AVERAGE(I51:J51)</f>
        <v>17.305823655300543</v>
      </c>
      <c r="K52" s="71">
        <f t="shared" ref="K52" si="24">$F$11*AVERAGE(J51:K51)</f>
        <v>5.3113149207871313</v>
      </c>
      <c r="L52" s="71">
        <f t="shared" ref="L52" si="25">$F$11*AVERAGE(K51:L51)</f>
        <v>0</v>
      </c>
      <c r="M52" s="71">
        <f t="shared" ref="M52" si="26">$F$11*AVERAGE(L51:M51)</f>
        <v>0</v>
      </c>
      <c r="N52" s="71">
        <f t="shared" ref="N52" si="27">$F$11*AVERAGE(M51:N51)</f>
        <v>0</v>
      </c>
      <c r="O52" s="71">
        <f t="shared" ref="O52" si="28">$F$11*AVERAGE(N51:O51)</f>
        <v>0</v>
      </c>
      <c r="P52" s="16"/>
    </row>
    <row r="53" spans="1:26" ht="15" customHeight="1" x14ac:dyDescent="0.45">
      <c r="A53" s="37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1" t="s">
        <v>190</v>
      </c>
      <c r="C54" s="71"/>
      <c r="D54" s="71"/>
      <c r="G54" s="71">
        <f t="shared" ref="G54" si="29">G46+G50</f>
        <v>0</v>
      </c>
      <c r="H54" s="71">
        <f t="shared" ref="H54:O54" si="30">H46+H50</f>
        <v>0</v>
      </c>
      <c r="I54" s="71">
        <f t="shared" si="30"/>
        <v>0</v>
      </c>
      <c r="J54" s="71">
        <f t="shared" si="30"/>
        <v>0</v>
      </c>
      <c r="K54" s="71">
        <f t="shared" si="30"/>
        <v>77.949341624574458</v>
      </c>
      <c r="L54" s="71">
        <f t="shared" si="30"/>
        <v>312.74474735377322</v>
      </c>
      <c r="M54" s="71">
        <f t="shared" si="30"/>
        <v>329.0228738126375</v>
      </c>
      <c r="N54" s="71">
        <f t="shared" si="30"/>
        <v>353.69541628161659</v>
      </c>
      <c r="O54" s="71">
        <f t="shared" si="30"/>
        <v>706.83205735287959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16"/>
    </row>
    <row r="56" spans="1:26" ht="15" customHeight="1" x14ac:dyDescent="0.45">
      <c r="A56" s="37"/>
      <c r="B56" s="70" t="s">
        <v>225</v>
      </c>
      <c r="C56" s="71"/>
      <c r="D56" s="71"/>
      <c r="E56" s="71"/>
      <c r="F56" s="71"/>
      <c r="G56" s="71">
        <f>F59</f>
        <v>0</v>
      </c>
      <c r="H56" s="71">
        <f t="shared" ref="H56:O56" si="31">G59</f>
        <v>0</v>
      </c>
      <c r="I56" s="71">
        <f t="shared" si="31"/>
        <v>146.56004999999999</v>
      </c>
      <c r="J56" s="71">
        <f t="shared" si="31"/>
        <v>146.56004999999999</v>
      </c>
      <c r="K56" s="71">
        <f t="shared" si="31"/>
        <v>146.56004999999999</v>
      </c>
      <c r="L56" s="71">
        <f t="shared" si="31"/>
        <v>68.610708375425531</v>
      </c>
      <c r="M56" s="71">
        <f t="shared" si="31"/>
        <v>0</v>
      </c>
      <c r="N56" s="71">
        <f t="shared" si="31"/>
        <v>0</v>
      </c>
      <c r="O56" s="71">
        <f t="shared" si="31"/>
        <v>0</v>
      </c>
      <c r="P56" s="16"/>
    </row>
    <row r="57" spans="1:26" ht="15" customHeight="1" x14ac:dyDescent="0.45">
      <c r="A57" s="37"/>
      <c r="B57" s="70" t="s">
        <v>188</v>
      </c>
      <c r="C57" s="71"/>
      <c r="D57" s="71"/>
      <c r="E57" s="71"/>
      <c r="F57" s="71"/>
      <c r="G57" s="71">
        <f>IF(G19=AddonYear,'2 Add on'!$O$7*AddonSwitch,0)</f>
        <v>0</v>
      </c>
      <c r="H57" s="71">
        <f>IF(H19=AddonYear,'2 Add on'!$O$7*AddonSwitch,0)</f>
        <v>146.56004999999999</v>
      </c>
      <c r="I57" s="71">
        <f>IF(I19=AddonYear,'2 Add on'!$O$7*AddonSwitch,0)</f>
        <v>0</v>
      </c>
      <c r="J57" s="71">
        <f>IF(J19=AddonYear,'2 Add on'!$O$7*AddonSwitch,0)</f>
        <v>0</v>
      </c>
      <c r="K57" s="71">
        <f>IF(K19=AddonYear,'2 Add on'!$O$7*AddonSwitch,0)</f>
        <v>0</v>
      </c>
      <c r="L57" s="71">
        <f>IF(L19=AddonYear,'2 Add on'!$O$7*AddonSwitch,0)</f>
        <v>0</v>
      </c>
      <c r="M57" s="71">
        <f>IF(M19=AddonYear,'2 Add on'!$O$7*AddonSwitch,0)</f>
        <v>0</v>
      </c>
      <c r="N57" s="71">
        <f>IF(N19=AddonYear,'2 Add on'!$O$7*AddonSwitch,0)</f>
        <v>0</v>
      </c>
      <c r="O57" s="71">
        <f>IF(O19=AddonYear,'2 Add on'!$O$7*AddonSwitch,0)</f>
        <v>0</v>
      </c>
      <c r="P57" s="16"/>
    </row>
    <row r="58" spans="1:26" ht="15" customHeight="1" x14ac:dyDescent="0.45">
      <c r="A58" s="37"/>
      <c r="B58" s="70" t="s">
        <v>189</v>
      </c>
      <c r="C58" s="71"/>
      <c r="D58" s="71"/>
      <c r="E58" s="71"/>
      <c r="F58" s="71"/>
      <c r="G58" s="71">
        <f>-MIN(G54,G56)</f>
        <v>0</v>
      </c>
      <c r="H58" s="71">
        <f t="shared" ref="H58:O58" si="32">-MIN(H54,H56)</f>
        <v>0</v>
      </c>
      <c r="I58" s="71">
        <f t="shared" si="32"/>
        <v>0</v>
      </c>
      <c r="J58" s="71">
        <f t="shared" si="32"/>
        <v>0</v>
      </c>
      <c r="K58" s="71">
        <f t="shared" si="32"/>
        <v>-77.949341624574458</v>
      </c>
      <c r="L58" s="71">
        <f t="shared" si="32"/>
        <v>-68.610708375425531</v>
      </c>
      <c r="M58" s="71">
        <f t="shared" si="32"/>
        <v>0</v>
      </c>
      <c r="N58" s="71">
        <f t="shared" si="32"/>
        <v>0</v>
      </c>
      <c r="O58" s="71">
        <f t="shared" si="32"/>
        <v>0</v>
      </c>
      <c r="P58" s="16"/>
    </row>
    <row r="59" spans="1:26" ht="15" customHeight="1" x14ac:dyDescent="0.45">
      <c r="A59" s="37"/>
      <c r="B59" s="70" t="s">
        <v>166</v>
      </c>
      <c r="C59" s="71"/>
      <c r="D59" s="71"/>
      <c r="E59" s="71"/>
      <c r="F59" s="65">
        <v>0</v>
      </c>
      <c r="G59" s="71">
        <f>SUM(G56:G58)</f>
        <v>0</v>
      </c>
      <c r="H59" s="71">
        <f t="shared" ref="H59:O59" si="33">SUM(H56:H58)</f>
        <v>146.56004999999999</v>
      </c>
      <c r="I59" s="71">
        <f t="shared" si="33"/>
        <v>146.56004999999999</v>
      </c>
      <c r="J59" s="71">
        <f t="shared" si="33"/>
        <v>146.56004999999999</v>
      </c>
      <c r="K59" s="71">
        <f t="shared" si="33"/>
        <v>68.610708375425531</v>
      </c>
      <c r="L59" s="71">
        <f t="shared" si="33"/>
        <v>0</v>
      </c>
      <c r="M59" s="71">
        <f t="shared" si="33"/>
        <v>0</v>
      </c>
      <c r="N59" s="71">
        <f t="shared" si="33"/>
        <v>0</v>
      </c>
      <c r="O59" s="71">
        <f t="shared" si="33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>IF(G19&gt;AddonYear,$F$12*AVERAGE(F59:G59),0)</f>
        <v>0</v>
      </c>
      <c r="H60" s="71">
        <f>IF(H19&gt;AddonYear,$F$12*AVERAGE(G59:H59),0)</f>
        <v>0</v>
      </c>
      <c r="I60" s="71">
        <f>IF(I19&gt;AddonYear,$F$12*AVERAGE(H59:I59),0)</f>
        <v>8.7936029999999992</v>
      </c>
      <c r="J60" s="71">
        <f>IF(J19&gt;AddonYear,$F$12*AVERAGE(I59:J59),0)</f>
        <v>8.7936029999999992</v>
      </c>
      <c r="K60" s="71">
        <f>IF(K19&gt;AddonYear,$F$12*AVERAGE(J59:K59),0)</f>
        <v>6.4551227512627651</v>
      </c>
      <c r="L60" s="71">
        <f>IF(L19&gt;AddonYear,$F$12*AVERAGE(K59:L59),0)</f>
        <v>2.058321251262766</v>
      </c>
      <c r="M60" s="71">
        <f>IF(M19&gt;AddonYear,$F$12*AVERAGE(L59:M59),0)</f>
        <v>0</v>
      </c>
      <c r="N60" s="71">
        <f>IF(N19&gt;AddonYear,$F$12*AVERAGE(M59:N59),0)</f>
        <v>0</v>
      </c>
      <c r="O60" s="71">
        <f>IF(O19&gt;AddonYear,$F$12*AVERAGE(N59:O59),0)</f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</row>
    <row r="62" spans="1:26" ht="15" customHeight="1" x14ac:dyDescent="0.45">
      <c r="A62" s="37"/>
      <c r="B62" s="71" t="s">
        <v>167</v>
      </c>
      <c r="C62" s="71"/>
      <c r="D62" s="71"/>
      <c r="E62" s="71"/>
      <c r="F62" s="71"/>
      <c r="G62" s="71">
        <f t="shared" ref="G62" si="34">G54+G58</f>
        <v>0</v>
      </c>
      <c r="H62" s="71">
        <f t="shared" ref="H62:O62" si="35">H54+H58</f>
        <v>0</v>
      </c>
      <c r="I62" s="71">
        <f t="shared" si="35"/>
        <v>0</v>
      </c>
      <c r="J62" s="71">
        <f t="shared" si="35"/>
        <v>0</v>
      </c>
      <c r="K62" s="71">
        <f t="shared" si="35"/>
        <v>0</v>
      </c>
      <c r="L62" s="71">
        <f t="shared" si="35"/>
        <v>244.13403897834769</v>
      </c>
      <c r="M62" s="71">
        <f t="shared" si="35"/>
        <v>329.0228738126375</v>
      </c>
      <c r="N62" s="71">
        <f t="shared" si="35"/>
        <v>353.69541628161659</v>
      </c>
      <c r="O62" s="71">
        <f t="shared" si="35"/>
        <v>706.83205735287959</v>
      </c>
      <c r="P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6">G66</f>
        <v>562.6</v>
      </c>
      <c r="I64" s="71">
        <f t="shared" si="36"/>
        <v>562.6</v>
      </c>
      <c r="J64" s="71">
        <f t="shared" si="36"/>
        <v>562.6</v>
      </c>
      <c r="K64" s="71">
        <f t="shared" si="36"/>
        <v>562.6</v>
      </c>
      <c r="L64" s="71">
        <f t="shared" si="36"/>
        <v>562.6</v>
      </c>
      <c r="M64" s="71">
        <f t="shared" si="36"/>
        <v>318.46596102165233</v>
      </c>
      <c r="N64" s="71">
        <f t="shared" si="36"/>
        <v>0</v>
      </c>
      <c r="O64" s="71">
        <f t="shared" si="36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7">-MIN(H62,H64)</f>
        <v>0</v>
      </c>
      <c r="I65" s="71">
        <f t="shared" si="37"/>
        <v>0</v>
      </c>
      <c r="J65" s="71">
        <f t="shared" si="37"/>
        <v>0</v>
      </c>
      <c r="K65" s="71">
        <f t="shared" si="37"/>
        <v>0</v>
      </c>
      <c r="L65" s="71">
        <f t="shared" si="37"/>
        <v>-244.13403897834769</v>
      </c>
      <c r="M65" s="71">
        <f t="shared" si="37"/>
        <v>-318.46596102165233</v>
      </c>
      <c r="N65" s="71">
        <f t="shared" si="37"/>
        <v>0</v>
      </c>
      <c r="O65" s="71">
        <f t="shared" si="37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'1 LBO Base Case'!F66</f>
        <v>562.6</v>
      </c>
      <c r="G66" s="71">
        <f>SUM(G64:G65)</f>
        <v>562.6</v>
      </c>
      <c r="H66" s="71">
        <f t="shared" ref="H66:O66" si="38">SUM(H64:H65)</f>
        <v>562.6</v>
      </c>
      <c r="I66" s="71">
        <f t="shared" si="38"/>
        <v>562.6</v>
      </c>
      <c r="J66" s="71">
        <f t="shared" si="38"/>
        <v>562.6</v>
      </c>
      <c r="K66" s="71">
        <f t="shared" si="38"/>
        <v>562.6</v>
      </c>
      <c r="L66" s="71">
        <f t="shared" si="38"/>
        <v>318.46596102165233</v>
      </c>
      <c r="M66" s="71">
        <f t="shared" si="38"/>
        <v>0</v>
      </c>
      <c r="N66" s="71">
        <f t="shared" si="38"/>
        <v>0</v>
      </c>
      <c r="O66" s="71">
        <f t="shared" si="38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" si="39">$F$13*AVERAGE(F66:G66)</f>
        <v>39.382000000000005</v>
      </c>
      <c r="H67" s="71">
        <f t="shared" ref="H67" si="40">$F$13*AVERAGE(G66:H66)</f>
        <v>39.382000000000005</v>
      </c>
      <c r="I67" s="71">
        <f t="shared" ref="I67" si="41">$F$13*AVERAGE(H66:I66)</f>
        <v>39.382000000000005</v>
      </c>
      <c r="J67" s="71">
        <f t="shared" ref="J67" si="42">$F$13*AVERAGE(I66:J66)</f>
        <v>39.382000000000005</v>
      </c>
      <c r="K67" s="71">
        <f t="shared" ref="K67" si="43">$F$13*AVERAGE(J66:K66)</f>
        <v>39.382000000000005</v>
      </c>
      <c r="L67" s="71">
        <f t="shared" ref="L67" si="44">$F$13*AVERAGE(K66:L66)</f>
        <v>30.837308635757836</v>
      </c>
      <c r="M67" s="71">
        <f t="shared" ref="M67" si="45">$F$13*AVERAGE(L66:M66)</f>
        <v>11.146308635757833</v>
      </c>
      <c r="N67" s="71">
        <f t="shared" ref="N67" si="46">$F$13*AVERAGE(M66:N66)</f>
        <v>0</v>
      </c>
      <c r="O67" s="71">
        <f t="shared" ref="O67" si="47">$F$13*AVERAGE(N66:O66)</f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>
        <f>'1 LBO Base Case'!F69</f>
        <v>0</v>
      </c>
      <c r="G69" s="71">
        <f>G46+G50+G58+G65</f>
        <v>0</v>
      </c>
      <c r="H69" s="71">
        <f t="shared" ref="H69:O69" si="48">H46+H50+H58+H65</f>
        <v>0</v>
      </c>
      <c r="I69" s="71">
        <f t="shared" si="48"/>
        <v>0</v>
      </c>
      <c r="J69" s="71">
        <f t="shared" si="48"/>
        <v>0</v>
      </c>
      <c r="K69" s="71">
        <f t="shared" si="48"/>
        <v>0</v>
      </c>
      <c r="L69" s="71">
        <f t="shared" si="48"/>
        <v>0</v>
      </c>
      <c r="M69" s="71">
        <f t="shared" si="48"/>
        <v>10.556912790985166</v>
      </c>
      <c r="N69" s="71">
        <f t="shared" si="48"/>
        <v>353.69541628161659</v>
      </c>
      <c r="O69" s="71">
        <f t="shared" si="48"/>
        <v>706.83205735287959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" si="49">$F$14*AVERAGE(F69:G69)</f>
        <v>0</v>
      </c>
      <c r="H70" s="71">
        <f t="shared" ref="H70" si="50">$F$14*AVERAGE(G69:H69)</f>
        <v>0</v>
      </c>
      <c r="I70" s="71">
        <f t="shared" ref="I70" si="51">$F$14*AVERAGE(H69:I69)</f>
        <v>0</v>
      </c>
      <c r="J70" s="71">
        <f t="shared" ref="J70" si="52">$F$14*AVERAGE(I69:J69)</f>
        <v>0</v>
      </c>
      <c r="K70" s="71">
        <f t="shared" ref="K70" si="53">$F$14*AVERAGE(J69:K69)</f>
        <v>0</v>
      </c>
      <c r="L70" s="71">
        <f t="shared" ref="L70" si="54">$F$14*AVERAGE(K69:L69)</f>
        <v>0</v>
      </c>
      <c r="M70" s="71">
        <f t="shared" ref="M70" si="55">$F$14*AVERAGE(L69:M69)</f>
        <v>1.5835369186477748E-2</v>
      </c>
      <c r="N70" s="71">
        <f t="shared" ref="N70" si="56">$F$14*AVERAGE(M69:N69)</f>
        <v>0.54637849360890267</v>
      </c>
      <c r="O70" s="71">
        <f t="shared" ref="O70" si="57">$F$14*AVERAGE(N69:O69)</f>
        <v>1.5907912104517443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16"/>
      <c r="D72" s="16"/>
      <c r="E72" s="16"/>
      <c r="G72">
        <f>F76</f>
        <v>0</v>
      </c>
      <c r="H72">
        <f t="shared" ref="H72:O72" si="58">G76</f>
        <v>176.08635452500005</v>
      </c>
      <c r="I72">
        <f t="shared" si="58"/>
        <v>385.12872470725</v>
      </c>
      <c r="J72">
        <f t="shared" si="58"/>
        <v>635.62821491782006</v>
      </c>
      <c r="K72">
        <f t="shared" si="58"/>
        <v>908.41163588623954</v>
      </c>
      <c r="L72">
        <f t="shared" si="58"/>
        <v>1203.1493416245744</v>
      </c>
      <c r="M72">
        <f t="shared" si="58"/>
        <v>1515.8940889783476</v>
      </c>
      <c r="N72">
        <f t="shared" si="58"/>
        <v>1834.3600499999998</v>
      </c>
      <c r="O72">
        <f t="shared" si="58"/>
        <v>1834.3600499999998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16"/>
      <c r="D73" s="16"/>
      <c r="E73" s="16"/>
      <c r="G73">
        <f>-G50</f>
        <v>176.08635452500005</v>
      </c>
      <c r="H73">
        <f t="shared" ref="H73:O73" si="59">-H50</f>
        <v>209.04237018224995</v>
      </c>
      <c r="I73">
        <f t="shared" si="59"/>
        <v>250.49949021057003</v>
      </c>
      <c r="J73">
        <f t="shared" si="59"/>
        <v>272.78342096841953</v>
      </c>
      <c r="K73">
        <f t="shared" ref="K73" si="60">-K50</f>
        <v>216.78836411376045</v>
      </c>
      <c r="L73">
        <f t="shared" si="59"/>
        <v>0</v>
      </c>
      <c r="M73">
        <f t="shared" si="59"/>
        <v>0</v>
      </c>
      <c r="N73">
        <f t="shared" si="59"/>
        <v>0</v>
      </c>
      <c r="O73">
        <f t="shared" si="59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182</v>
      </c>
      <c r="C74" s="16"/>
      <c r="D74" s="16"/>
      <c r="E74" s="16"/>
      <c r="G74">
        <f>-G58</f>
        <v>0</v>
      </c>
      <c r="H74">
        <f t="shared" ref="H74:O74" si="61">-H58</f>
        <v>0</v>
      </c>
      <c r="I74">
        <f t="shared" si="61"/>
        <v>0</v>
      </c>
      <c r="J74">
        <f t="shared" si="61"/>
        <v>0</v>
      </c>
      <c r="K74">
        <f t="shared" ref="K74" si="62">-K58</f>
        <v>77.949341624574458</v>
      </c>
      <c r="L74">
        <f t="shared" si="61"/>
        <v>68.610708375425531</v>
      </c>
      <c r="M74">
        <f t="shared" si="61"/>
        <v>0</v>
      </c>
      <c r="N74">
        <f t="shared" si="61"/>
        <v>0</v>
      </c>
      <c r="O74">
        <f t="shared" si="61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179</v>
      </c>
      <c r="C75" s="16"/>
      <c r="D75" s="16"/>
      <c r="E75" s="16"/>
      <c r="G75">
        <f>-G65</f>
        <v>0</v>
      </c>
      <c r="H75">
        <f t="shared" ref="H75:O75" si="63">-H65</f>
        <v>0</v>
      </c>
      <c r="I75">
        <f t="shared" si="63"/>
        <v>0</v>
      </c>
      <c r="J75">
        <f t="shared" si="63"/>
        <v>0</v>
      </c>
      <c r="K75">
        <f t="shared" ref="K75" si="64">-K65</f>
        <v>0</v>
      </c>
      <c r="L75">
        <f t="shared" si="63"/>
        <v>244.13403897834769</v>
      </c>
      <c r="M75">
        <f t="shared" si="63"/>
        <v>318.46596102165233</v>
      </c>
      <c r="N75">
        <f t="shared" si="63"/>
        <v>0</v>
      </c>
      <c r="O75">
        <f t="shared" si="63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 t="s">
        <v>180</v>
      </c>
      <c r="C76" s="16"/>
      <c r="D76" s="16"/>
      <c r="E76" s="16"/>
      <c r="F76" s="65">
        <v>0</v>
      </c>
      <c r="G76">
        <f>SUM(G72:G75)</f>
        <v>176.08635452500005</v>
      </c>
      <c r="H76">
        <f t="shared" ref="H76:O76" si="65">SUM(H72:H75)</f>
        <v>385.12872470725</v>
      </c>
      <c r="I76">
        <f t="shared" si="65"/>
        <v>635.62821491782006</v>
      </c>
      <c r="J76">
        <f t="shared" si="65"/>
        <v>908.41163588623954</v>
      </c>
      <c r="K76">
        <f t="shared" ref="K76" si="66">SUM(K72:K75)</f>
        <v>1203.1493416245744</v>
      </c>
      <c r="L76">
        <f t="shared" si="65"/>
        <v>1515.8940889783476</v>
      </c>
      <c r="M76">
        <f t="shared" si="65"/>
        <v>1834.3600499999998</v>
      </c>
      <c r="N76">
        <f t="shared" si="65"/>
        <v>1834.3600499999998</v>
      </c>
      <c r="O76">
        <f t="shared" si="65"/>
        <v>1834.3600499999998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227</v>
      </c>
      <c r="C78" s="16"/>
      <c r="D78" s="16"/>
      <c r="E78" s="16"/>
      <c r="G78">
        <f>$F$51+$F$66</f>
        <v>1687.8000000000002</v>
      </c>
      <c r="H78">
        <f>$F$51+$F$66</f>
        <v>1687.8000000000002</v>
      </c>
      <c r="I78">
        <f t="shared" ref="I78:O78" si="67">$F$51+$F$66</f>
        <v>1687.8000000000002</v>
      </c>
      <c r="J78">
        <f t="shared" si="67"/>
        <v>1687.8000000000002</v>
      </c>
      <c r="K78">
        <f t="shared" si="67"/>
        <v>1687.8000000000002</v>
      </c>
      <c r="L78">
        <f t="shared" si="67"/>
        <v>1687.8000000000002</v>
      </c>
      <c r="M78">
        <f t="shared" si="67"/>
        <v>1687.8000000000002</v>
      </c>
      <c r="N78">
        <f t="shared" si="67"/>
        <v>1687.8000000000002</v>
      </c>
      <c r="O78">
        <f t="shared" si="67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197</v>
      </c>
      <c r="C79" s="16"/>
      <c r="D79" s="16"/>
      <c r="E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1" t="s">
        <v>198</v>
      </c>
      <c r="C80" s="16"/>
      <c r="D80" s="16"/>
      <c r="E80" s="16"/>
      <c r="G80">
        <f>SUM(G78:G79)</f>
        <v>1687.8000000000002</v>
      </c>
      <c r="H80">
        <f>SUM(H78:H79)</f>
        <v>1687.8000000000002</v>
      </c>
      <c r="I80">
        <f t="shared" ref="I80:M80" si="68">SUM(I78:I79)</f>
        <v>1687.8000000000002</v>
      </c>
      <c r="J80">
        <f t="shared" si="68"/>
        <v>1687.8000000000002</v>
      </c>
      <c r="K80">
        <f t="shared" si="68"/>
        <v>1687.8000000000002</v>
      </c>
      <c r="L80">
        <f t="shared" si="68"/>
        <v>1687.8000000000002</v>
      </c>
      <c r="M80">
        <f t="shared" si="68"/>
        <v>1687.8000000000002</v>
      </c>
      <c r="N80">
        <f t="shared" ref="N80" si="69">SUM(N78:N79)</f>
        <v>1687.8000000000002</v>
      </c>
      <c r="O80">
        <f t="shared" ref="O80" si="70">SUM(O78:O79)</f>
        <v>1687.8000000000002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1" t="s">
        <v>176</v>
      </c>
      <c r="C81" s="16"/>
      <c r="D81" s="16"/>
      <c r="E81" s="16"/>
      <c r="G81" s="68">
        <f>G76/G80</f>
        <v>0.10432892198423986</v>
      </c>
      <c r="H81" s="68">
        <f>H76/H80</f>
        <v>0.22818386343598174</v>
      </c>
      <c r="I81" s="68">
        <f t="shared" ref="I81:M81" si="71">I76/I80</f>
        <v>0.37660162040396966</v>
      </c>
      <c r="J81" s="68">
        <f t="shared" si="71"/>
        <v>0.53822232248266344</v>
      </c>
      <c r="K81" s="68">
        <f t="shared" si="71"/>
        <v>0.7128506586233998</v>
      </c>
      <c r="L81" s="68">
        <f t="shared" si="71"/>
        <v>0.89814793753901379</v>
      </c>
      <c r="M81" s="68">
        <f t="shared" si="71"/>
        <v>1.0868349626733023</v>
      </c>
      <c r="N81" s="68">
        <f t="shared" ref="N81" si="72">N76/N80</f>
        <v>1.0868349626733023</v>
      </c>
      <c r="O81" s="68">
        <f t="shared" ref="O81" si="73">O76/O80</f>
        <v>1.0868349626733023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1"/>
      <c r="C82" s="16"/>
      <c r="D82" s="16"/>
      <c r="E82" s="16"/>
      <c r="G82" s="68"/>
      <c r="H82" s="68"/>
      <c r="I82" s="68"/>
      <c r="J82" s="68"/>
      <c r="K82" s="68"/>
      <c r="L82" s="68"/>
      <c r="M82" s="68"/>
      <c r="N82" s="68"/>
      <c r="O82" s="68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1" t="s">
        <v>199</v>
      </c>
      <c r="C83" s="16"/>
      <c r="D83" s="16"/>
      <c r="E83" s="16"/>
      <c r="G83">
        <f>G51+G59+G66</f>
        <v>1511.713645475</v>
      </c>
      <c r="H83">
        <f t="shared" ref="H83:J83" si="74">H51+H59+H66</f>
        <v>1449.2313252927502</v>
      </c>
      <c r="I83">
        <f t="shared" si="74"/>
        <v>1198.7318350821802</v>
      </c>
      <c r="J83">
        <f t="shared" si="74"/>
        <v>925.94841411376046</v>
      </c>
      <c r="K83">
        <f t="shared" ref="K83:O83" si="75">K51+K59+K66</f>
        <v>631.21070837542561</v>
      </c>
      <c r="L83">
        <f t="shared" si="75"/>
        <v>318.46596102165233</v>
      </c>
      <c r="M83">
        <f t="shared" si="75"/>
        <v>0</v>
      </c>
      <c r="N83">
        <f t="shared" si="75"/>
        <v>0</v>
      </c>
      <c r="O83">
        <f t="shared" si="75"/>
        <v>0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1" t="s">
        <v>200</v>
      </c>
      <c r="C84" s="16"/>
      <c r="D84" s="16"/>
      <c r="E84" s="16"/>
      <c r="G84">
        <f>G28+G37+G38</f>
        <v>371.69178750000003</v>
      </c>
      <c r="H84">
        <f t="shared" ref="H84:J84" si="76">H28+H37+H38</f>
        <v>405.14404837500007</v>
      </c>
      <c r="I84">
        <f t="shared" si="76"/>
        <v>471.65521054500005</v>
      </c>
      <c r="J84">
        <f t="shared" si="76"/>
        <v>505.7953537111502</v>
      </c>
      <c r="K84">
        <f t="shared" ref="K84:O84" si="77">K28+K37+K38</f>
        <v>537.92073923450414</v>
      </c>
      <c r="L84">
        <f t="shared" si="77"/>
        <v>563.53137921637369</v>
      </c>
      <c r="M84">
        <f t="shared" si="77"/>
        <v>585.1917365449176</v>
      </c>
      <c r="N84">
        <f t="shared" si="77"/>
        <v>602.28692760256035</v>
      </c>
      <c r="O84">
        <f t="shared" si="77"/>
        <v>614.30887971678362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1" t="s">
        <v>181</v>
      </c>
      <c r="C85" s="16"/>
      <c r="D85" s="16"/>
      <c r="E85" s="16"/>
      <c r="G85" s="88">
        <f>G83/G84</f>
        <v>4.0671160792730721</v>
      </c>
      <c r="H85" s="88">
        <f t="shared" ref="H85:K85" si="78">H83/H84</f>
        <v>3.5770766745938869</v>
      </c>
      <c r="I85" s="88">
        <f t="shared" si="78"/>
        <v>2.5415426529414131</v>
      </c>
      <c r="J85" s="88">
        <f t="shared" si="78"/>
        <v>1.8306779754298641</v>
      </c>
      <c r="K85" s="88">
        <f t="shared" si="78"/>
        <v>1.1734269797325143</v>
      </c>
      <c r="L85" s="88">
        <f t="shared" ref="L85" si="79">L83/L84</f>
        <v>0.56512551521886778</v>
      </c>
      <c r="M85" s="88">
        <f t="shared" ref="M85" si="80">M83/M84</f>
        <v>0</v>
      </c>
      <c r="N85" s="88">
        <f t="shared" ref="N85" si="81">N83/N84</f>
        <v>0</v>
      </c>
      <c r="O85" s="88">
        <f t="shared" ref="O85" si="82">O83/O84</f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5"/>
      <c r="H86" s="95"/>
      <c r="I86" s="95"/>
      <c r="J86" s="95"/>
      <c r="K86" s="95"/>
      <c r="L86" s="95"/>
      <c r="M86" s="95"/>
      <c r="N86" s="95"/>
      <c r="O86" s="95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99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0" t="s">
        <v>200</v>
      </c>
      <c r="C88" s="71"/>
      <c r="D88" s="71"/>
      <c r="E88" s="71"/>
      <c r="G88" s="71"/>
      <c r="H88" s="71"/>
      <c r="I88" s="71"/>
      <c r="J88" s="71"/>
      <c r="K88" s="71"/>
      <c r="L88" s="71"/>
      <c r="M88" s="71"/>
      <c r="N88" s="71"/>
      <c r="O88" s="71"/>
      <c r="P88" s="16"/>
    </row>
    <row r="89" spans="1:26" ht="15" customHeight="1" x14ac:dyDescent="0.45">
      <c r="A89" s="37"/>
      <c r="B89" s="70" t="s">
        <v>72</v>
      </c>
      <c r="C89" s="71"/>
      <c r="D89" s="71"/>
      <c r="E89" s="71"/>
      <c r="F89" s="70"/>
      <c r="G89" s="71"/>
      <c r="H89" s="71"/>
      <c r="I89" s="71"/>
      <c r="J89" s="71"/>
      <c r="K89" s="71"/>
      <c r="L89" s="71"/>
      <c r="M89" s="71"/>
      <c r="N89" s="71"/>
      <c r="O89" s="71"/>
      <c r="P89" s="16"/>
    </row>
    <row r="90" spans="1:26" ht="15" customHeight="1" x14ac:dyDescent="0.45">
      <c r="A90" s="37"/>
      <c r="B90" s="70" t="s">
        <v>201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16"/>
    </row>
    <row r="91" spans="1:26" ht="15" customHeight="1" x14ac:dyDescent="0.45">
      <c r="A91" s="37"/>
      <c r="B91" s="70" t="s">
        <v>101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16"/>
    </row>
    <row r="92" spans="1:26" ht="15" customHeight="1" x14ac:dyDescent="0.45">
      <c r="A92" s="37"/>
      <c r="B92" s="70" t="s">
        <v>202</v>
      </c>
      <c r="C92" s="71"/>
      <c r="D92" s="71"/>
      <c r="E92" s="71"/>
      <c r="F92" s="71"/>
      <c r="P92" s="16"/>
    </row>
    <row r="93" spans="1:26" ht="15" customHeight="1" x14ac:dyDescent="0.45">
      <c r="A93" s="37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16"/>
    </row>
    <row r="94" spans="1:26" ht="15" customHeight="1" x14ac:dyDescent="0.45">
      <c r="A94" s="37"/>
      <c r="B94" s="70" t="s">
        <v>102</v>
      </c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16"/>
    </row>
    <row r="95" spans="1:26" ht="15" customHeight="1" x14ac:dyDescent="0.45">
      <c r="A95" s="37"/>
      <c r="B95" s="70" t="s">
        <v>103</v>
      </c>
      <c r="C95" s="71"/>
      <c r="D95" s="71"/>
      <c r="F95" s="76"/>
      <c r="G95" s="71"/>
      <c r="H95" s="71"/>
      <c r="I95" s="71"/>
      <c r="J95" s="71"/>
      <c r="K95" s="71"/>
      <c r="L95" s="71"/>
      <c r="M95" s="71"/>
      <c r="N95" s="71"/>
      <c r="O95" s="71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 t="s">
        <v>104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70" t="s">
        <v>105</v>
      </c>
      <c r="C98" s="71"/>
      <c r="D98" s="71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71"/>
      <c r="C99" s="71"/>
      <c r="D99" s="89" t="s">
        <v>88</v>
      </c>
      <c r="E99" s="90"/>
      <c r="F99" s="90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16"/>
      <c r="C100" s="78">
        <f>F95</f>
        <v>0</v>
      </c>
      <c r="D100" s="56">
        <v>3</v>
      </c>
      <c r="E100" s="56">
        <v>4</v>
      </c>
      <c r="F100" s="56">
        <v>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v>9</v>
      </c>
      <c r="D101" s="39">
        <f t="dataTable" ref="D101:F118" dt2D="1" dtr="1" r1="F16" r2="F9"/>
        <v>0</v>
      </c>
      <c r="E101" s="39">
        <v>0</v>
      </c>
      <c r="F101" s="39">
        <v>0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ref="C102:C118" si="83">C101+0.5</f>
        <v>9.5</v>
      </c>
      <c r="D102" s="39">
        <v>0</v>
      </c>
      <c r="E102" s="39">
        <v>0</v>
      </c>
      <c r="F102" s="39">
        <v>0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83"/>
        <v>10</v>
      </c>
      <c r="D103" s="39">
        <v>0</v>
      </c>
      <c r="E103" s="39">
        <v>0</v>
      </c>
      <c r="F103" s="39">
        <v>0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83"/>
        <v>10.5</v>
      </c>
      <c r="D104" s="39">
        <v>0</v>
      </c>
      <c r="E104" s="39">
        <v>0</v>
      </c>
      <c r="F104" s="39">
        <v>0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83"/>
        <v>11</v>
      </c>
      <c r="D105" s="39">
        <v>0</v>
      </c>
      <c r="E105" s="39">
        <v>0</v>
      </c>
      <c r="F105" s="39">
        <v>0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83"/>
        <v>11.5</v>
      </c>
      <c r="D106" s="39">
        <v>0</v>
      </c>
      <c r="E106" s="39">
        <v>0</v>
      </c>
      <c r="F106" s="39">
        <v>0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0" t="s">
        <v>106</v>
      </c>
      <c r="C107" s="55">
        <f t="shared" si="83"/>
        <v>12</v>
      </c>
      <c r="D107" s="39">
        <v>0</v>
      </c>
      <c r="E107" s="39">
        <v>0</v>
      </c>
      <c r="F107" s="39">
        <v>0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83"/>
        <v>12.5</v>
      </c>
      <c r="D108" s="39">
        <v>0</v>
      </c>
      <c r="E108" s="39">
        <v>0</v>
      </c>
      <c r="F108" s="39">
        <v>0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83"/>
        <v>13</v>
      </c>
      <c r="D109" s="39">
        <v>0</v>
      </c>
      <c r="E109" s="39">
        <v>0</v>
      </c>
      <c r="F109" s="39">
        <v>0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83"/>
        <v>13.5</v>
      </c>
      <c r="D110" s="39">
        <v>0</v>
      </c>
      <c r="E110" s="39">
        <v>0</v>
      </c>
      <c r="F110" s="39">
        <v>0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83"/>
        <v>14</v>
      </c>
      <c r="D111" s="39">
        <v>0</v>
      </c>
      <c r="E111" s="83">
        <v>0</v>
      </c>
      <c r="F111" s="39">
        <v>0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83"/>
        <v>14.5</v>
      </c>
      <c r="D112" s="39">
        <v>0</v>
      </c>
      <c r="E112" s="39">
        <v>0</v>
      </c>
      <c r="F112" s="39">
        <v>0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83"/>
        <v>15</v>
      </c>
      <c r="D113" s="39">
        <v>0</v>
      </c>
      <c r="E113" s="39">
        <v>0</v>
      </c>
      <c r="F113" s="39">
        <v>0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83"/>
        <v>15.5</v>
      </c>
      <c r="D114" s="39">
        <v>0</v>
      </c>
      <c r="E114" s="39">
        <v>0</v>
      </c>
      <c r="F114" s="39">
        <v>0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83"/>
        <v>16</v>
      </c>
      <c r="D115" s="39">
        <v>0</v>
      </c>
      <c r="E115" s="39">
        <v>0</v>
      </c>
      <c r="F115" s="39">
        <v>0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16"/>
      <c r="C116" s="55">
        <f t="shared" si="83"/>
        <v>16.5</v>
      </c>
      <c r="D116" s="39">
        <v>0</v>
      </c>
      <c r="E116" s="39">
        <v>0</v>
      </c>
      <c r="F116" s="39">
        <v>0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83"/>
        <v>17</v>
      </c>
      <c r="D117" s="39">
        <v>0</v>
      </c>
      <c r="E117" s="39">
        <v>0</v>
      </c>
      <c r="F117" s="39">
        <v>0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83"/>
        <v>17.5</v>
      </c>
      <c r="D118" s="39">
        <v>0</v>
      </c>
      <c r="E118" s="39">
        <v>0</v>
      </c>
      <c r="F118" s="39">
        <v>0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108</v>
      </c>
      <c r="D2" s="43"/>
      <c r="T2" s="43" t="s">
        <v>109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7" t="s">
        <v>33</v>
      </c>
      <c r="B4" s="57"/>
      <c r="C4" s="57"/>
      <c r="D4" s="57"/>
    </row>
    <row r="5" spans="1:26" ht="15" customHeight="1" x14ac:dyDescent="0.45">
      <c r="A5" s="36"/>
      <c r="B5" s="2" t="s">
        <v>34</v>
      </c>
      <c r="D5" s="38" t="s">
        <v>110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8">
        <v>42482</v>
      </c>
    </row>
    <row r="8" spans="1:26" ht="15" customHeight="1" x14ac:dyDescent="0.45">
      <c r="A8" s="36"/>
      <c r="B8" s="2" t="s">
        <v>40</v>
      </c>
      <c r="D8" s="38" t="s">
        <v>111</v>
      </c>
    </row>
    <row r="9" spans="1:26" ht="15" customHeight="1" x14ac:dyDescent="0.45">
      <c r="A9" s="37"/>
      <c r="B9" s="2" t="s">
        <v>112</v>
      </c>
      <c r="D9" s="38" t="s">
        <v>113</v>
      </c>
    </row>
    <row r="10" spans="1:26" ht="15" customHeight="1" x14ac:dyDescent="0.45">
      <c r="A10" s="36"/>
      <c r="B10" s="2" t="s">
        <v>38</v>
      </c>
      <c r="D10" s="58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114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115</v>
      </c>
      <c r="D16" s="38" t="e">
        <v>#N/A</v>
      </c>
    </row>
    <row r="17" spans="1:4" ht="15" customHeight="1" x14ac:dyDescent="0.45">
      <c r="A17" s="36"/>
      <c r="B17" s="2" t="s">
        <v>116</v>
      </c>
      <c r="D17" s="38" t="s">
        <v>59</v>
      </c>
    </row>
    <row r="18" spans="1:4" ht="15" customHeight="1" x14ac:dyDescent="0.45">
      <c r="A18" s="36"/>
      <c r="B18" s="2" t="s">
        <v>117</v>
      </c>
      <c r="D18" s="38">
        <v>0.6389551</v>
      </c>
    </row>
    <row r="19" spans="1:4" ht="15" customHeight="1" x14ac:dyDescent="0.45">
      <c r="A19" s="36"/>
      <c r="B19" s="2" t="s">
        <v>39</v>
      </c>
      <c r="D19" s="49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118</v>
      </c>
    </row>
    <row r="22" spans="1:4" ht="15" customHeight="1" x14ac:dyDescent="0.45">
      <c r="A22" s="36"/>
      <c r="B22" s="2" t="s">
        <v>46</v>
      </c>
      <c r="D22" s="49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7" t="s">
        <v>119</v>
      </c>
      <c r="B24" s="57"/>
      <c r="C24" s="57"/>
      <c r="D24" s="57"/>
    </row>
    <row r="25" spans="1:4" ht="15" customHeight="1" x14ac:dyDescent="0.45">
      <c r="A25" s="36"/>
      <c r="B25" s="2" t="s">
        <v>120</v>
      </c>
      <c r="D25" s="59">
        <v>0</v>
      </c>
    </row>
    <row r="26" spans="1:4" ht="15" customHeight="1" x14ac:dyDescent="0.45">
      <c r="A26" s="36"/>
      <c r="B26" s="2" t="s">
        <v>121</v>
      </c>
      <c r="D26" s="59">
        <v>0</v>
      </c>
    </row>
    <row r="27" spans="1:4" ht="15" customHeight="1" x14ac:dyDescent="0.45">
      <c r="A27" s="36"/>
      <c r="B27" s="2" t="s">
        <v>49</v>
      </c>
      <c r="D27" s="59">
        <v>67.661361999999997</v>
      </c>
    </row>
    <row r="28" spans="1:4" ht="15" customHeight="1" x14ac:dyDescent="0.45">
      <c r="A28" s="36"/>
      <c r="B28" s="2" t="s">
        <v>51</v>
      </c>
      <c r="D28" s="59">
        <v>510.95299999999997</v>
      </c>
    </row>
    <row r="29" spans="1:4" ht="15" customHeight="1" x14ac:dyDescent="0.45">
      <c r="A29" s="36"/>
      <c r="B29" s="2" t="s">
        <v>122</v>
      </c>
      <c r="D29" s="59">
        <v>6.6109999999999998</v>
      </c>
    </row>
    <row r="30" spans="1:4" ht="15" customHeight="1" x14ac:dyDescent="0.45">
      <c r="A30" s="36"/>
      <c r="B30" s="2" t="s">
        <v>123</v>
      </c>
      <c r="D30" s="59">
        <v>0</v>
      </c>
    </row>
    <row r="31" spans="1:4" ht="15" customHeight="1" x14ac:dyDescent="0.45">
      <c r="A31" s="36"/>
      <c r="B31" s="2" t="s">
        <v>124</v>
      </c>
      <c r="D31" s="60">
        <v>0</v>
      </c>
    </row>
    <row r="32" spans="1:4" ht="15" customHeight="1" x14ac:dyDescent="0.45">
      <c r="A32" s="36"/>
      <c r="B32" s="2" t="s">
        <v>50</v>
      </c>
      <c r="D32" s="61">
        <v>0</v>
      </c>
    </row>
    <row r="33" spans="1:18" ht="15" customHeight="1" x14ac:dyDescent="0.45">
      <c r="A33" s="36"/>
      <c r="B33" s="2" t="s">
        <v>125</v>
      </c>
      <c r="D33" s="59">
        <v>113.08199999999999</v>
      </c>
    </row>
    <row r="34" spans="1:18" ht="15" customHeight="1" x14ac:dyDescent="0.45">
      <c r="A34" s="36"/>
      <c r="B34" s="2" t="s">
        <v>126</v>
      </c>
      <c r="D34" s="59">
        <v>0</v>
      </c>
    </row>
    <row r="35" spans="1:18" ht="15" customHeight="1" x14ac:dyDescent="0.45">
      <c r="A35" s="36"/>
      <c r="B35" s="2" t="s">
        <v>127</v>
      </c>
      <c r="D35" s="59">
        <v>1.84</v>
      </c>
    </row>
    <row r="36" spans="1:18" ht="15" customHeight="1" x14ac:dyDescent="0.45">
      <c r="A36" s="36"/>
      <c r="B36" s="2" t="s">
        <v>128</v>
      </c>
      <c r="D36" s="47">
        <v>0</v>
      </c>
    </row>
    <row r="37" spans="1:18" ht="15.75" customHeight="1" x14ac:dyDescent="0.45">
      <c r="A37" s="36"/>
    </row>
    <row r="38" spans="1:18" ht="15" customHeight="1" x14ac:dyDescent="0.45">
      <c r="A38" s="57" t="s">
        <v>129</v>
      </c>
      <c r="B38" s="57"/>
      <c r="C38" s="57"/>
      <c r="D38" s="57"/>
    </row>
    <row r="39" spans="1:18" ht="15.75" customHeight="1" x14ac:dyDescent="0.45">
      <c r="A39" s="36"/>
      <c r="D39" s="62" t="s">
        <v>130</v>
      </c>
      <c r="F39" s="63" t="s">
        <v>53</v>
      </c>
      <c r="G39" s="63"/>
      <c r="H39" s="63" t="s">
        <v>54</v>
      </c>
      <c r="I39" s="63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6" t="str">
        <f>D8</f>
        <v>31/12/2015</v>
      </c>
      <c r="F40" s="45">
        <f>EDATE(H40,-12)</f>
        <v>42094</v>
      </c>
      <c r="H40" s="64">
        <v>42460</v>
      </c>
      <c r="L40" s="45">
        <f>EDATE(D40,12)</f>
        <v>42735</v>
      </c>
      <c r="M40" s="45"/>
      <c r="N40" s="45">
        <f>EDATE(L40,12)</f>
        <v>43100</v>
      </c>
      <c r="O40" s="45"/>
      <c r="P40" s="45">
        <f>EDATE(N40,12)</f>
        <v>43465</v>
      </c>
      <c r="Q40" s="45"/>
      <c r="R40" s="45">
        <f>EDATE(P40,12)</f>
        <v>43830</v>
      </c>
    </row>
    <row r="41" spans="1:18" ht="15" customHeight="1" x14ac:dyDescent="0.45">
      <c r="A41" s="36"/>
      <c r="B41" s="2" t="s">
        <v>21</v>
      </c>
      <c r="D41" s="59">
        <v>547.65499999999997</v>
      </c>
      <c r="F41" s="59">
        <v>138.52000000000001</v>
      </c>
      <c r="H41" s="59">
        <v>147.517</v>
      </c>
      <c r="L41" s="59" t="e">
        <v>#N/A</v>
      </c>
      <c r="N41" s="59" t="e">
        <v>#N/A</v>
      </c>
      <c r="P41" s="59" t="e">
        <v>#N/A</v>
      </c>
      <c r="R41" s="59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59" t="e">
        <v>#N/A</v>
      </c>
      <c r="N42" s="59" t="e">
        <v>#N/A</v>
      </c>
      <c r="P42" s="59" t="e">
        <v>#N/A</v>
      </c>
      <c r="R42" s="59" t="e">
        <v>#N/A</v>
      </c>
    </row>
    <row r="43" spans="1:18" ht="15" customHeight="1" x14ac:dyDescent="0.45">
      <c r="A43" s="36"/>
      <c r="B43" s="2" t="s">
        <v>23</v>
      </c>
      <c r="D43" s="59">
        <v>21.494</v>
      </c>
      <c r="F43" s="59">
        <v>5.0670000000000002</v>
      </c>
      <c r="H43" s="59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59">
        <f>D42+D43</f>
        <v>121.63500000000001</v>
      </c>
      <c r="F44" s="59">
        <f>F42+F43</f>
        <v>30.986000000000001</v>
      </c>
      <c r="H44" s="59">
        <f>H42+H43</f>
        <v>28.420999999999999</v>
      </c>
      <c r="L44" s="61" t="e">
        <v>#N/A</v>
      </c>
      <c r="N44" s="61" t="e">
        <v>#N/A</v>
      </c>
      <c r="P44" s="61" t="e">
        <v>#N/A</v>
      </c>
      <c r="R44" s="61" t="e">
        <v>#N/A</v>
      </c>
    </row>
    <row r="45" spans="1:18" ht="15" customHeight="1" x14ac:dyDescent="0.45">
      <c r="A45" s="36"/>
      <c r="B45" s="2" t="s">
        <v>131</v>
      </c>
      <c r="D45" s="59">
        <v>0.34699999999999998</v>
      </c>
      <c r="F45" s="59">
        <v>0.08</v>
      </c>
      <c r="H45" s="59">
        <v>0</v>
      </c>
      <c r="L45" s="59" t="e">
        <v>#N/A</v>
      </c>
      <c r="N45" s="59" t="e">
        <v>#N/A</v>
      </c>
      <c r="P45" s="59" t="e">
        <v>#N/A</v>
      </c>
      <c r="R45" s="59" t="e">
        <v>#N/A</v>
      </c>
    </row>
    <row r="46" spans="1:18" ht="15" customHeight="1" x14ac:dyDescent="0.45">
      <c r="A46" s="36"/>
      <c r="B46" s="2" t="s">
        <v>132</v>
      </c>
      <c r="D46" s="59">
        <v>50.619</v>
      </c>
      <c r="F46" s="59">
        <v>16.303000000000001</v>
      </c>
      <c r="H46" s="59">
        <v>50.619</v>
      </c>
      <c r="L46" s="59" t="e">
        <v>#N/A</v>
      </c>
      <c r="N46" s="59" t="e">
        <v>#N/A</v>
      </c>
      <c r="P46" s="59" t="e">
        <v>#N/A</v>
      </c>
      <c r="R46" s="59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7" t="s">
        <v>133</v>
      </c>
      <c r="B49" s="57"/>
      <c r="C49" s="57"/>
      <c r="D49" s="57"/>
      <c r="E49" s="57"/>
      <c r="F49" s="57"/>
      <c r="G49" s="57"/>
    </row>
    <row r="50" spans="1:7" ht="15" customHeight="1" x14ac:dyDescent="0.45">
      <c r="A50" s="36"/>
      <c r="B50" s="2" t="s">
        <v>47</v>
      </c>
      <c r="D50" s="2" t="s">
        <v>48</v>
      </c>
      <c r="F50" s="2" t="s">
        <v>134</v>
      </c>
    </row>
    <row r="51" spans="1:7" ht="15" customHeight="1" x14ac:dyDescent="0.45">
      <c r="A51" s="36"/>
      <c r="B51" s="2" t="s">
        <v>135</v>
      </c>
      <c r="D51" s="60">
        <v>0</v>
      </c>
      <c r="F51" s="47">
        <v>0</v>
      </c>
    </row>
    <row r="52" spans="1:7" ht="15" customHeight="1" x14ac:dyDescent="0.45">
      <c r="A52" s="36"/>
      <c r="B52" s="2" t="s">
        <v>136</v>
      </c>
      <c r="D52" s="60">
        <v>0</v>
      </c>
      <c r="F52" s="47">
        <v>0</v>
      </c>
    </row>
    <row r="53" spans="1:7" ht="15" customHeight="1" x14ac:dyDescent="0.45">
      <c r="A53" s="36"/>
      <c r="B53" s="2" t="s">
        <v>137</v>
      </c>
      <c r="D53" s="60">
        <v>0</v>
      </c>
      <c r="F53" s="47">
        <v>0</v>
      </c>
    </row>
    <row r="54" spans="1:7" ht="15" customHeight="1" x14ac:dyDescent="0.45">
      <c r="A54" s="36"/>
      <c r="B54" s="2" t="s">
        <v>138</v>
      </c>
      <c r="D54" s="60">
        <v>0</v>
      </c>
      <c r="F54" s="47">
        <v>0</v>
      </c>
    </row>
    <row r="55" spans="1:7" ht="15" customHeight="1" x14ac:dyDescent="0.45">
      <c r="A55" s="36"/>
      <c r="B55" s="2" t="s">
        <v>139</v>
      </c>
      <c r="D55" s="60">
        <v>0</v>
      </c>
      <c r="F55" s="47">
        <v>0</v>
      </c>
    </row>
    <row r="56" spans="1:7" ht="15" customHeight="1" x14ac:dyDescent="0.45">
      <c r="A56" s="36"/>
      <c r="B56" s="2" t="s">
        <v>140</v>
      </c>
      <c r="D56" s="60">
        <v>0</v>
      </c>
      <c r="F56" s="47">
        <v>0</v>
      </c>
    </row>
    <row r="57" spans="1:7" ht="15" customHeight="1" x14ac:dyDescent="0.45">
      <c r="A57" s="36"/>
      <c r="B57" s="2" t="s">
        <v>141</v>
      </c>
      <c r="D57" s="60">
        <v>0</v>
      </c>
      <c r="F57" s="47">
        <v>0</v>
      </c>
    </row>
    <row r="58" spans="1:7" ht="15" customHeight="1" x14ac:dyDescent="0.45">
      <c r="A58" s="36"/>
      <c r="B58" s="2" t="s">
        <v>142</v>
      </c>
      <c r="D58" s="60">
        <v>0</v>
      </c>
      <c r="F58" s="47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143</v>
      </c>
      <c r="F61" s="47">
        <v>0</v>
      </c>
    </row>
    <row r="62" spans="1:7" ht="15" customHeight="1" x14ac:dyDescent="0.45">
      <c r="A62" s="36"/>
      <c r="B62" s="2" t="s">
        <v>144</v>
      </c>
      <c r="F62" s="47">
        <v>0</v>
      </c>
    </row>
    <row r="63" spans="1:7" ht="15" customHeight="1" x14ac:dyDescent="0.45">
      <c r="A63" s="36"/>
      <c r="B63" s="2" t="s">
        <v>145</v>
      </c>
      <c r="F63" s="47">
        <v>0</v>
      </c>
    </row>
    <row r="64" spans="1:7" ht="15" customHeight="1" x14ac:dyDescent="0.45">
      <c r="A64" s="36"/>
      <c r="B64" s="2" t="s">
        <v>146</v>
      </c>
      <c r="F64" s="47">
        <v>0</v>
      </c>
    </row>
    <row r="65" spans="1:6" ht="15" customHeight="1" x14ac:dyDescent="0.45">
      <c r="A65" s="36"/>
      <c r="B65" s="2" t="s">
        <v>25</v>
      </c>
      <c r="F65" s="47">
        <v>0</v>
      </c>
    </row>
    <row r="66" spans="1:6" ht="15" customHeight="1" x14ac:dyDescent="0.45">
      <c r="A66" s="36"/>
      <c r="B66" s="2" t="s">
        <v>147</v>
      </c>
      <c r="F66" s="47">
        <v>0</v>
      </c>
    </row>
    <row r="67" spans="1:6" ht="15" customHeight="1" x14ac:dyDescent="0.45">
      <c r="A67" s="36"/>
      <c r="B67" s="2" t="s">
        <v>148</v>
      </c>
      <c r="F67" s="47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Props1.xml><?xml version="1.0" encoding="utf-8"?>
<ds:datastoreItem xmlns:ds="http://schemas.openxmlformats.org/officeDocument/2006/customXml" ds:itemID="{AC7FD711-19F0-49FB-A060-5B65E107B674}"/>
</file>

<file path=customXml/itemProps2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31</vt:i4>
      </vt:variant>
    </vt:vector>
  </HeadingPairs>
  <TitlesOfParts>
    <vt:vector size="37" baseType="lpstr">
      <vt:lpstr>Welcome</vt:lpstr>
      <vt:lpstr>Info</vt:lpstr>
      <vt:lpstr>1 LBO Base Case</vt:lpstr>
      <vt:lpstr>2 Add on</vt:lpstr>
      <vt:lpstr>3 Base Case + Add on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Alastair Matchett</dc:creator>
  <cp:lastModifiedBy>Gerard Kelly</cp:lastModifiedBy>
  <cp:lastPrinted>2022-05-09T16:07:09Z</cp:lastPrinted>
  <dcterms:created xsi:type="dcterms:W3CDTF">2016-02-03T14:06:14Z</dcterms:created>
  <dcterms:modified xsi:type="dcterms:W3CDTF">2026-01-13T17:12:09Z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3693100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MediaServiceImageTags">
    <vt:lpwstr/>
  </property>
</Properties>
</file>