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erard Kelly\Google Drive\Materials\Analyst Materials\7000s Deal Analysis\7020 Private Equity Acquisition Analysis - Final_\"/>
    </mc:Choice>
  </mc:AlternateContent>
  <bookViews>
    <workbookView xWindow="0" yWindow="0" windowWidth="20520" windowHeight="10695"/>
  </bookViews>
  <sheets>
    <sheet name="Welcome" sheetId="1" r:id="rId1"/>
    <sheet name="Info" sheetId="6" r:id="rId2"/>
    <sheet name="Workout" sheetId="7" r:id="rId3"/>
  </sheets>
  <definedNames>
    <definedName name="_xlnm.Print_Area" localSheetId="2">Workout!$A$1:$J$447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4" i="7" l="1"/>
  <c r="C299" i="7" l="1"/>
  <c r="C298" i="7"/>
  <c r="C294" i="7"/>
  <c r="C290" i="7"/>
  <c r="C409" i="7"/>
  <c r="C408" i="7"/>
  <c r="C407" i="7"/>
  <c r="C406" i="7"/>
  <c r="C410" i="7" s="1"/>
  <c r="C411" i="7" s="1"/>
  <c r="C434" i="7" l="1"/>
  <c r="C433" i="7"/>
  <c r="C421" i="7"/>
  <c r="C416" i="7"/>
  <c r="C232" i="7"/>
  <c r="A7" i="1" l="1"/>
  <c r="C80" i="7" l="1"/>
  <c r="C79" i="7"/>
  <c r="C85" i="7"/>
  <c r="C75" i="7"/>
  <c r="C84" i="7" s="1"/>
  <c r="H173" i="7" l="1"/>
  <c r="H176" i="7" s="1"/>
  <c r="F173" i="7"/>
  <c r="F176" i="7" s="1"/>
  <c r="D168" i="7"/>
  <c r="H169" i="7"/>
  <c r="H172" i="7" s="1"/>
  <c r="G169" i="7"/>
  <c r="F169" i="7"/>
  <c r="E169" i="7"/>
  <c r="E173" i="7" s="1"/>
  <c r="E176" i="7" s="1"/>
  <c r="D169" i="7"/>
  <c r="D170" i="7" s="1"/>
  <c r="H168" i="7"/>
  <c r="C138" i="7"/>
  <c r="D136" i="7" s="1"/>
  <c r="C132" i="7"/>
  <c r="D130" i="7" s="1"/>
  <c r="D133" i="7" s="1"/>
  <c r="D114" i="7" s="1"/>
  <c r="C126" i="7"/>
  <c r="D124" i="7" s="1"/>
  <c r="D127" i="7" s="1"/>
  <c r="D113" i="7" s="1"/>
  <c r="E110" i="7"/>
  <c r="F110" i="7" s="1"/>
  <c r="E109" i="7"/>
  <c r="F109" i="7" s="1"/>
  <c r="E108" i="7"/>
  <c r="F108" i="7" s="1"/>
  <c r="E107" i="7"/>
  <c r="F107" i="7" s="1"/>
  <c r="D111" i="7"/>
  <c r="E105" i="7"/>
  <c r="F105" i="7" s="1"/>
  <c r="G336" i="7"/>
  <c r="F336" i="7"/>
  <c r="E336" i="7"/>
  <c r="D336" i="7"/>
  <c r="G332" i="7"/>
  <c r="F332" i="7"/>
  <c r="E332" i="7"/>
  <c r="D332" i="7"/>
  <c r="C443" i="7"/>
  <c r="B443" i="7"/>
  <c r="C442" i="7"/>
  <c r="B442" i="7"/>
  <c r="C428" i="7"/>
  <c r="C432" i="7" s="1"/>
  <c r="G326" i="7"/>
  <c r="G325" i="7"/>
  <c r="F326" i="7"/>
  <c r="E326" i="7"/>
  <c r="D326" i="7"/>
  <c r="F325" i="7"/>
  <c r="E325" i="7"/>
  <c r="D325" i="7"/>
  <c r="D38" i="7"/>
  <c r="E21" i="7"/>
  <c r="D37" i="7"/>
  <c r="D36" i="7"/>
  <c r="D32" i="7"/>
  <c r="D33" i="7" s="1"/>
  <c r="C32" i="7"/>
  <c r="C33" i="7" s="1"/>
  <c r="G177" i="7" l="1"/>
  <c r="F177" i="7"/>
  <c r="H174" i="7"/>
  <c r="H177" i="7"/>
  <c r="H178" i="7" s="1"/>
  <c r="D115" i="7"/>
  <c r="D117" i="7" s="1"/>
  <c r="D118" i="7" s="1"/>
  <c r="D131" i="7" s="1"/>
  <c r="D132" i="7" s="1"/>
  <c r="E130" i="7" s="1"/>
  <c r="E133" i="7" s="1"/>
  <c r="E114" i="7" s="1"/>
  <c r="D177" i="7"/>
  <c r="F170" i="7"/>
  <c r="E168" i="7"/>
  <c r="E177" i="7"/>
  <c r="E178" i="7" s="1"/>
  <c r="G170" i="7"/>
  <c r="D137" i="7"/>
  <c r="D138" i="7" s="1"/>
  <c r="E136" i="7" s="1"/>
  <c r="H170" i="7"/>
  <c r="G168" i="7"/>
  <c r="D172" i="7"/>
  <c r="F168" i="7"/>
  <c r="G173" i="7"/>
  <c r="G176" i="7" s="1"/>
  <c r="F172" i="7"/>
  <c r="F174" i="7" s="1"/>
  <c r="E170" i="7"/>
  <c r="D173" i="7"/>
  <c r="D176" i="7" s="1"/>
  <c r="E172" i="7"/>
  <c r="E174" i="7" s="1"/>
  <c r="G172" i="7"/>
  <c r="F178" i="7"/>
  <c r="F111" i="7"/>
  <c r="E111" i="7"/>
  <c r="D39" i="7"/>
  <c r="C444" i="7"/>
  <c r="C415" i="7"/>
  <c r="G327" i="7"/>
  <c r="G328" i="7" s="1"/>
  <c r="E327" i="7"/>
  <c r="E328" i="7" s="1"/>
  <c r="D327" i="7"/>
  <c r="D328" i="7" s="1"/>
  <c r="F327" i="7"/>
  <c r="F328" i="7" s="1"/>
  <c r="D34" i="7"/>
  <c r="D35" i="7"/>
  <c r="D178" i="7" l="1"/>
  <c r="G178" i="7"/>
  <c r="D125" i="7"/>
  <c r="D126" i="7" s="1"/>
  <c r="E124" i="7" s="1"/>
  <c r="E127" i="7" s="1"/>
  <c r="E113" i="7" s="1"/>
  <c r="E115" i="7" s="1"/>
  <c r="E117" i="7" s="1"/>
  <c r="E118" i="7" s="1"/>
  <c r="G174" i="7"/>
  <c r="E137" i="7"/>
  <c r="E138" i="7" s="1"/>
  <c r="F136" i="7" s="1"/>
  <c r="F137" i="7" s="1"/>
  <c r="F138" i="7" s="1"/>
  <c r="D174" i="7"/>
  <c r="D119" i="7"/>
  <c r="D121" i="7" s="1"/>
  <c r="G337" i="7"/>
  <c r="G338" i="7" s="1"/>
  <c r="G331" i="7" s="1"/>
  <c r="F337" i="7"/>
  <c r="F338" i="7" s="1"/>
  <c r="F331" i="7" s="1"/>
  <c r="D337" i="7"/>
  <c r="D338" i="7" s="1"/>
  <c r="D331" i="7" s="1"/>
  <c r="E337" i="7"/>
  <c r="E338" i="7" s="1"/>
  <c r="E331" i="7" s="1"/>
  <c r="C417" i="7"/>
  <c r="C420" i="7" s="1"/>
  <c r="C422" i="7" s="1"/>
  <c r="C439" i="7" s="1"/>
  <c r="C438" i="7"/>
  <c r="C440" i="7" l="1"/>
  <c r="C435" i="7" s="1"/>
  <c r="C431" i="7" s="1"/>
  <c r="C445" i="7" s="1"/>
  <c r="C446" i="7" s="1"/>
  <c r="E125" i="7"/>
  <c r="E126" i="7" s="1"/>
  <c r="F124" i="7" s="1"/>
  <c r="F127" i="7" s="1"/>
  <c r="F113" i="7" s="1"/>
  <c r="E119" i="7"/>
  <c r="E121" i="7" s="1"/>
  <c r="E131" i="7"/>
  <c r="E132" i="7" s="1"/>
  <c r="F130" i="7" s="1"/>
  <c r="F133" i="7" s="1"/>
  <c r="F114" i="7" s="1"/>
  <c r="F340" i="7"/>
  <c r="F341" i="7" s="1"/>
  <c r="F333" i="7"/>
  <c r="E340" i="7"/>
  <c r="E341" i="7" s="1"/>
  <c r="E333" i="7"/>
  <c r="D340" i="7"/>
  <c r="D341" i="7" s="1"/>
  <c r="D333" i="7"/>
  <c r="G340" i="7"/>
  <c r="G341" i="7" s="1"/>
  <c r="G333" i="7"/>
  <c r="F115" i="7" l="1"/>
  <c r="F117" i="7" s="1"/>
  <c r="F118" i="7" s="1"/>
  <c r="C60" i="7"/>
  <c r="C61" i="7" s="1"/>
  <c r="C58" i="7"/>
  <c r="C59" i="7" s="1"/>
  <c r="B301" i="7"/>
  <c r="B300" i="7"/>
  <c r="B299" i="7"/>
  <c r="B298" i="7"/>
  <c r="B270" i="7"/>
  <c r="B294" i="7"/>
  <c r="B305" i="7" s="1"/>
  <c r="B275" i="7"/>
  <c r="F125" i="7" l="1"/>
  <c r="F126" i="7" s="1"/>
  <c r="F119" i="7"/>
  <c r="F121" i="7" s="1"/>
  <c r="F131" i="7"/>
  <c r="F132" i="7" s="1"/>
  <c r="C62" i="7"/>
  <c r="C64" i="7" s="1"/>
  <c r="C264" i="7" l="1"/>
  <c r="C267" i="7" s="1"/>
  <c r="C271" i="7"/>
  <c r="C222" i="7"/>
  <c r="C193" i="7"/>
  <c r="C194" i="7" s="1"/>
  <c r="C195" i="7" l="1"/>
  <c r="C196" i="7" s="1"/>
  <c r="C197" i="7" s="1"/>
  <c r="E226" i="7"/>
  <c r="E227" i="7"/>
  <c r="E225" i="7"/>
  <c r="C275" i="7"/>
  <c r="E228" i="7" l="1"/>
  <c r="C230" i="7" s="1"/>
  <c r="C231" i="7" s="1"/>
  <c r="C295" i="7"/>
  <c r="C301" i="7" s="1"/>
  <c r="C305" i="7"/>
  <c r="C81" i="7"/>
  <c r="A1" i="7"/>
  <c r="A1" i="6"/>
  <c r="C233" i="7" l="1"/>
  <c r="C291" i="7" s="1"/>
  <c r="C270" i="7"/>
  <c r="C272" i="7" s="1"/>
  <c r="C276" i="7" s="1"/>
  <c r="C86" i="7"/>
  <c r="C87" i="7" s="1"/>
  <c r="G20" i="7"/>
  <c r="F20" i="7"/>
  <c r="E20" i="7"/>
  <c r="D20" i="7"/>
  <c r="G21" i="7"/>
  <c r="F21" i="7"/>
  <c r="D21" i="7"/>
  <c r="G19" i="7"/>
  <c r="F19" i="7"/>
  <c r="E19" i="7"/>
  <c r="D19" i="7"/>
  <c r="C300" i="7" l="1"/>
  <c r="C302" i="7" s="1"/>
  <c r="C306" i="7" s="1"/>
  <c r="C307" i="7" s="1"/>
  <c r="C308" i="7" s="1"/>
  <c r="C277" i="7"/>
  <c r="C278" i="7" s="1"/>
  <c r="F22" i="7"/>
  <c r="G22" i="7"/>
  <c r="E22" i="7"/>
  <c r="D22" i="7"/>
  <c r="G12" i="7"/>
  <c r="F12" i="7"/>
  <c r="E12" i="7"/>
  <c r="D12" i="7"/>
  <c r="C12" i="7"/>
  <c r="G10" i="7"/>
  <c r="G13" i="7" s="1"/>
  <c r="F10" i="7" l="1"/>
  <c r="F13" i="7" s="1"/>
  <c r="E10" i="7"/>
  <c r="E13" i="7" s="1"/>
  <c r="D10" i="7"/>
  <c r="D13" i="7" s="1"/>
  <c r="C10" i="7"/>
  <c r="C13" i="7" s="1"/>
  <c r="G15" i="7" s="1"/>
  <c r="E16" i="7" l="1"/>
  <c r="F16" i="7"/>
  <c r="D16" i="7"/>
  <c r="G16" i="7"/>
  <c r="D15" i="7"/>
  <c r="E15" i="7"/>
  <c r="F15" i="7"/>
</calcChain>
</file>

<file path=xl/sharedStrings.xml><?xml version="1.0" encoding="utf-8"?>
<sst xmlns="http://schemas.openxmlformats.org/spreadsheetml/2006/main" count="364" uniqueCount="260">
  <si>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</si>
  <si>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</si>
  <si>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</si>
  <si>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</si>
  <si>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</si>
  <si>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</si>
  <si>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</si>
  <si>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</si>
  <si>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</si>
  <si>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</si>
  <si>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</si>
  <si>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</si>
  <si>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</si>
  <si>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</si>
  <si>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</si>
  <si>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</si>
  <si>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</si>
  <si>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</si>
  <si>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</si>
  <si>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Workout 1</t>
  </si>
  <si>
    <t>Equity</t>
  </si>
  <si>
    <t>Enterprise value</t>
  </si>
  <si>
    <t>Entry</t>
  </si>
  <si>
    <t>Exit Case 1</t>
  </si>
  <si>
    <t>Exit Case 2</t>
  </si>
  <si>
    <t>Exit Case 3</t>
  </si>
  <si>
    <t>EBITDA</t>
  </si>
  <si>
    <t>EBITDA multiple</t>
  </si>
  <si>
    <t>Debt amount</t>
  </si>
  <si>
    <t>IRR</t>
  </si>
  <si>
    <t>Exit Case 4</t>
  </si>
  <si>
    <t>Exit year</t>
  </si>
  <si>
    <t>Debt/EBITDA multiple</t>
  </si>
  <si>
    <t>Value created</t>
  </si>
  <si>
    <t xml:space="preserve">Debt repayment </t>
  </si>
  <si>
    <t xml:space="preserve">EBITDA improvement </t>
  </si>
  <si>
    <t xml:space="preserve">Multiple expansion/(contraction) </t>
  </si>
  <si>
    <t>Private Equity Acquisition Analysis</t>
  </si>
  <si>
    <t>Acquisition assumptions</t>
  </si>
  <si>
    <t>Sources and uses of funds</t>
  </si>
  <si>
    <t>Returns to equity holders</t>
  </si>
  <si>
    <t>Credit ratios</t>
  </si>
  <si>
    <t>Its LTM EBITDA is 1,200.0 and the total amount of net debt to be refinanced as a result of the acquisition is 3,560.0</t>
  </si>
  <si>
    <t>Uses of funds</t>
  </si>
  <si>
    <t>Equity purchase price</t>
  </si>
  <si>
    <t>Refinanced net debt</t>
  </si>
  <si>
    <t>Total uses of funds</t>
  </si>
  <si>
    <t>Sources of funds</t>
  </si>
  <si>
    <t>Senior debt financing</t>
  </si>
  <si>
    <t>Mezzanine loan</t>
  </si>
  <si>
    <t>Calculate the required equity financing to complete the transaction.</t>
  </si>
  <si>
    <t>Equity financing</t>
  </si>
  <si>
    <t>Total sources of funds</t>
  </si>
  <si>
    <t>A private equity firm is looking into acquiring Indigo Plc.</t>
  </si>
  <si>
    <t>Indigo's share price</t>
  </si>
  <si>
    <t>Acquisition premium</t>
  </si>
  <si>
    <t>Basic shares outstanding</t>
  </si>
  <si>
    <t>Options outstanding</t>
  </si>
  <si>
    <t>Options strike price</t>
  </si>
  <si>
    <t>Acquisition share price</t>
  </si>
  <si>
    <t>Dilution from options</t>
  </si>
  <si>
    <t>Diluted shares outstanding</t>
  </si>
  <si>
    <t>Net debt</t>
  </si>
  <si>
    <t>Acquisition enterprise value</t>
  </si>
  <si>
    <t>Private equity fund acquired the equity of Pumpkin Co for 10,000.0.</t>
  </si>
  <si>
    <t>State your answer in millions.</t>
  </si>
  <si>
    <t>Current share price</t>
  </si>
  <si>
    <t>Options calculations</t>
  </si>
  <si>
    <t>Tranche 1</t>
  </si>
  <si>
    <t>Number</t>
  </si>
  <si>
    <t>Strike price</t>
  </si>
  <si>
    <t>Dilution</t>
  </si>
  <si>
    <t>Tranche 2</t>
  </si>
  <si>
    <t>Tranche 3</t>
  </si>
  <si>
    <t>Total dilution</t>
  </si>
  <si>
    <t>Operating income</t>
  </si>
  <si>
    <t>Impairment charges and lease termination costs</t>
  </si>
  <si>
    <t>LTM EBITDA</t>
  </si>
  <si>
    <t>Debt financing available</t>
  </si>
  <si>
    <t>Required equity check</t>
  </si>
  <si>
    <t>Percentage of equity to total consideration</t>
  </si>
  <si>
    <t>Advisory fees</t>
  </si>
  <si>
    <t>Debt issuance fees</t>
  </si>
  <si>
    <t>Below are Creamy Delights options outstanding schedule.</t>
  </si>
  <si>
    <t>Cash and equivalents</t>
  </si>
  <si>
    <t>Finance leases and long term debt</t>
  </si>
  <si>
    <t>Short term debt</t>
  </si>
  <si>
    <t>***** for instructors.</t>
  </si>
  <si>
    <t>the gains and losses here are a good teaching point</t>
  </si>
  <si>
    <t>A nice thing to do here would be to recalculate the equity consideration with and without these included</t>
  </si>
  <si>
    <t>in EBITDA</t>
  </si>
  <si>
    <t>Workout 2</t>
  </si>
  <si>
    <t>Workout 3</t>
  </si>
  <si>
    <t>A private equity fund is looking at acquiring PetsRus, a pet supplies retailer.</t>
  </si>
  <si>
    <t>and raised 5.5x debt / EBITDA in debt financing.</t>
  </si>
  <si>
    <t>Debt raised in transaction</t>
  </si>
  <si>
    <t>Assume the relative valuation of PetsRus is not going to change.</t>
  </si>
  <si>
    <t>Total debt repaid</t>
  </si>
  <si>
    <t>Total debt remaining at exit</t>
  </si>
  <si>
    <t>EBITDA growth rate</t>
  </si>
  <si>
    <t>Transaction time horizon, years</t>
  </si>
  <si>
    <t>EBITDA, exit</t>
  </si>
  <si>
    <t>EV/EBITDA valuation multiple, exit</t>
  </si>
  <si>
    <t>Required IRR</t>
  </si>
  <si>
    <t>Equity, exit</t>
  </si>
  <si>
    <t>Equity, entry</t>
  </si>
  <si>
    <t>Calculate the IRR, value from EBITDA improvement, value from multiple expansion and value from debt repayment for the leveraged buy out transaction below.</t>
  </si>
  <si>
    <t>Exit</t>
  </si>
  <si>
    <t>EV/ EBITDA multiple</t>
  </si>
  <si>
    <t>Debt</t>
  </si>
  <si>
    <t>Value from debt repayment</t>
  </si>
  <si>
    <t>Total value created</t>
  </si>
  <si>
    <t>Value created from EBITDA improvement</t>
  </si>
  <si>
    <t>Value created from multiple expansion</t>
  </si>
  <si>
    <t>HackneyTulips current share price</t>
  </si>
  <si>
    <t>Fully diluted number of shares outstanding</t>
  </si>
  <si>
    <t>Exit 1</t>
  </si>
  <si>
    <t>Exit 2</t>
  </si>
  <si>
    <t>Exit 3</t>
  </si>
  <si>
    <t>Debt repaid</t>
  </si>
  <si>
    <t>Enterprise value, exit</t>
  </si>
  <si>
    <t>Debt, exit</t>
  </si>
  <si>
    <t>Equity value, exit</t>
  </si>
  <si>
    <t>Maximum purchase price</t>
  </si>
  <si>
    <t>Maximum premium</t>
  </si>
  <si>
    <t>Operating profit</t>
  </si>
  <si>
    <t>Restructuring costs in COGS and SG&amp;A</t>
  </si>
  <si>
    <t>Latest balance sheet at the time of the transaction.</t>
  </si>
  <si>
    <t>Cash</t>
  </si>
  <si>
    <t>Short term borrowings</t>
  </si>
  <si>
    <t>Current maturities of long term debt</t>
  </si>
  <si>
    <t>Long term debt</t>
  </si>
  <si>
    <t>Debt financing fees</t>
  </si>
  <si>
    <t>Depreciation and amortization</t>
  </si>
  <si>
    <t>% of debt repaid</t>
  </si>
  <si>
    <t>Exit multiple</t>
  </si>
  <si>
    <t>Transaction time frame, years</t>
  </si>
  <si>
    <t>Equity value, entry</t>
  </si>
  <si>
    <t>Debt financing</t>
  </si>
  <si>
    <t>% premium</t>
  </si>
  <si>
    <t>Debt financing available, as a multiple of LTM EBITDA</t>
  </si>
  <si>
    <t>Advisory fees, million</t>
  </si>
  <si>
    <t>Debt issuance fees, million</t>
  </si>
  <si>
    <t>Exit multiple (EV/EBITDA)</t>
  </si>
  <si>
    <t>EBITDA % growth per year</t>
  </si>
  <si>
    <t>of restructuring costs in operating expenses, and depreciation and amortization was 139.9 million</t>
  </si>
  <si>
    <t>Debt, entry and exit</t>
  </si>
  <si>
    <t>Equity value, exit and entry</t>
  </si>
  <si>
    <t>EBITDA, entry and exit</t>
  </si>
  <si>
    <t>Exit 4</t>
  </si>
  <si>
    <t>Equity check</t>
  </si>
  <si>
    <t>Workout 4</t>
  </si>
  <si>
    <t>Workout 5</t>
  </si>
  <si>
    <t>Workout 6</t>
  </si>
  <si>
    <t>Workout 7</t>
  </si>
  <si>
    <t>Workout 8</t>
  </si>
  <si>
    <t>Workout 9</t>
  </si>
  <si>
    <t>Workout 10</t>
  </si>
  <si>
    <t>Workout 11</t>
  </si>
  <si>
    <t>Sources of funds at acquisition</t>
  </si>
  <si>
    <t>Term loan A</t>
  </si>
  <si>
    <t>Amount</t>
  </si>
  <si>
    <t>Interest</t>
  </si>
  <si>
    <t>Cash / PIK</t>
  </si>
  <si>
    <t>Interest rate</t>
  </si>
  <si>
    <t>Term loan B</t>
  </si>
  <si>
    <t>Term loan C</t>
  </si>
  <si>
    <t>PIK</t>
  </si>
  <si>
    <t>Cash flows available for debt service</t>
  </si>
  <si>
    <t>Year 1</t>
  </si>
  <si>
    <t>Cash taxes</t>
  </si>
  <si>
    <t>CAPEX</t>
  </si>
  <si>
    <t>Interest on term A</t>
  </si>
  <si>
    <t>Cash flow available for debt repayment</t>
  </si>
  <si>
    <t>Repayment of term A</t>
  </si>
  <si>
    <t>Repayment of term B</t>
  </si>
  <si>
    <t>Net cash flow</t>
  </si>
  <si>
    <t>Cash balance</t>
  </si>
  <si>
    <t>Term A</t>
  </si>
  <si>
    <t>Beginning balance</t>
  </si>
  <si>
    <t>Repayment</t>
  </si>
  <si>
    <t>Ending balance</t>
  </si>
  <si>
    <t>Interest expense</t>
  </si>
  <si>
    <t>Term B</t>
  </si>
  <si>
    <t>PIK interest</t>
  </si>
  <si>
    <t>Workout 12</t>
  </si>
  <si>
    <t>Covenants</t>
  </si>
  <si>
    <t>Debt / EBITDA</t>
  </si>
  <si>
    <t>Total assets / total debt</t>
  </si>
  <si>
    <t>Year 2</t>
  </si>
  <si>
    <t>Year 3</t>
  </si>
  <si>
    <t>Year 4</t>
  </si>
  <si>
    <t>Year 5</t>
  </si>
  <si>
    <t>Balance sheet extract</t>
  </si>
  <si>
    <t>Total assets</t>
  </si>
  <si>
    <t>Senior unsecured notes</t>
  </si>
  <si>
    <t>Revolver</t>
  </si>
  <si>
    <t>Total debt</t>
  </si>
  <si>
    <t>Income statement extract</t>
  </si>
  <si>
    <t>Interest on term loan A</t>
  </si>
  <si>
    <t>Interest on term loan B</t>
  </si>
  <si>
    <t>Mezzanine (PIK)</t>
  </si>
  <si>
    <t>Interest on term loan C</t>
  </si>
  <si>
    <t>Interest on mezzanine (PIK)</t>
  </si>
  <si>
    <t>Interest on senior unsecured notes</t>
  </si>
  <si>
    <t>Interest on revolver</t>
  </si>
  <si>
    <t>Interest cover (EBITDA /cash interest expense)</t>
  </si>
  <si>
    <t>Total debt / EBITDA</t>
  </si>
  <si>
    <t>Total cash interest expense</t>
  </si>
  <si>
    <t>EBITDA / total cash interest expense</t>
  </si>
  <si>
    <t>Calculate acquisition enterprise value.</t>
  </si>
  <si>
    <t>Using the following information calculate the acquisition enterprise value for CreamyDelights Inc.</t>
  </si>
  <si>
    <t>Time horizon, years</t>
  </si>
  <si>
    <t>Debt financing multiple</t>
  </si>
  <si>
    <t>non recurring items are really negotiated with the banks, and private equity firms</t>
  </si>
  <si>
    <t>Debt / LTM EBITDA multiple</t>
  </si>
  <si>
    <t>Using information below calculate the maximum premium a private equity firm will be willing to pay in a leveraged buyout of HackneyTulips Plc.</t>
  </si>
  <si>
    <t>Net debt (to be refinanced)</t>
  </si>
  <si>
    <t>Multiple of debt financing available</t>
  </si>
  <si>
    <t>PetsRus have a LTM EBITDA of 1,100 and similar companies have been recently sold at 9.5x EBITDA multiple,</t>
  </si>
  <si>
    <t>End</t>
  </si>
  <si>
    <t>Calculate IRRs and fill in the table for the four scenarios below.</t>
  </si>
  <si>
    <t>Calculate the extent to which each variable below has contributed to value creation.</t>
  </si>
  <si>
    <t>What is the maximum amount of equity consideration the private equity house will be willing to contribute on entry?</t>
  </si>
  <si>
    <t>The banks have agreed to provide 4.5 x EBITDA senior debt and 1.0 x mezzanine financing.</t>
  </si>
  <si>
    <t>Mezzanine EBITDA multiple</t>
  </si>
  <si>
    <t>Senior debt EBITDA multiple</t>
  </si>
  <si>
    <t>Calculate the ending balance of term loan A, term loan B and mezzanine loan at the end of year 3.</t>
  </si>
  <si>
    <t xml:space="preserve">Assume there are no mandated repayments scheduled for any of the debt tranches. </t>
  </si>
  <si>
    <t xml:space="preserve">PE Co is considering acquiring ExaCo. Extracts from ExaCo's forecast figures are given below. </t>
  </si>
  <si>
    <t>PE Co has provided you with the sources of funds it would use to acquire ExaCo.</t>
  </si>
  <si>
    <t>PE Co would like to know how much of the acquisition debt could be paid down over the intended ownership period of 3 years.</t>
  </si>
  <si>
    <t>Assume all cash flows available for debt repayment will be directed towards paying off debt via a cash sweep.</t>
  </si>
  <si>
    <t>Assume interest is calculated on the beginning debt balances.</t>
  </si>
  <si>
    <t>Cash flow statement extract</t>
  </si>
  <si>
    <t>Using the operating forecast below determine the year in which each covenant might be breached.</t>
  </si>
  <si>
    <t>&lt; 4.5x</t>
  </si>
  <si>
    <t>&gt; 3.5x</t>
  </si>
  <si>
    <t>&gt; 120%</t>
  </si>
  <si>
    <t>MarbleWorks Plc is financed with bank loans that require adherence to 3 covenants.</t>
  </si>
  <si>
    <t>Both the debt / EBITDA and interest cover covenants are breached in year 3.</t>
  </si>
  <si>
    <t>Delete when creating empty</t>
  </si>
  <si>
    <t>Shares outstanding MM</t>
  </si>
  <si>
    <t>Assume the acquirer will refinance CreamyDelights' net debt.</t>
  </si>
  <si>
    <t xml:space="preserve">Using your answer to the previous workout and LTM income statement below, calculate the percentage of consideration that </t>
  </si>
  <si>
    <t xml:space="preserve">will be accounted for by equity, to complete the acquisition of CreamyDelights.  Assume the banks are willing to lend at </t>
  </si>
  <si>
    <t>7.0x debt / LTM EBITDA and (gains) and losses on commodity derivatives are recurring items.</t>
  </si>
  <si>
    <t>Maximum equity entry</t>
  </si>
  <si>
    <t>There are 4 potential scenarios. Assume no transaction fees.</t>
  </si>
  <si>
    <t>Using information below calculate the offer premium a private equity firm will be willing to pay for PadlockSecurity in a leveraged buy out transaction.</t>
  </si>
  <si>
    <t>PadlockSecurity does not have any dilutive securities, its existing debt will be refinanced in the transaction.</t>
  </si>
  <si>
    <t xml:space="preserve">LTM income statement extract. Assume other operating expense is core, continuing and controlled, and Padlock Security had 15.3 million </t>
  </si>
  <si>
    <t>Market capitalization</t>
  </si>
  <si>
    <t>All income statement numbers are in thousands. Present your workings in millions.</t>
  </si>
  <si>
    <t xml:space="preserve">The CreamyDelights deal now includes fees. Using the figures below, restate the percentage of equity to total consideration required </t>
  </si>
  <si>
    <t xml:space="preserve">to complete the transaction (from the previous question), if advisory fees are 1.5% of acquisition enterprise value and debt financing fees are 2% of debt issued. </t>
  </si>
  <si>
    <t>Changes in operating working capital</t>
  </si>
  <si>
    <t>Interest on term B</t>
  </si>
  <si>
    <t>The private equity fund believes that PetsRus will be able to pay down 1,400.0 of debt and grow its EBITDA at an average rate of 5.0% per year.</t>
  </si>
  <si>
    <t xml:space="preserve">The required return on the transaction is 25.0%, the investment horizon is 5 years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</si>
</sst>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0.0%"/>
    <numFmt numFmtId="176" formatCode="#,##0.00_);\(#,##0.00\);0.00_);@_)"/>
    <numFmt numFmtId="177" formatCode="#,##0.000_);\(#,##0.000\);0.000_);@_)"/>
    <numFmt numFmtId="178" formatCode="#,##0.0000_);\(#,##0.0000\);0.0000_);@_)"/>
    <numFmt numFmtId="179" formatCode="&quot;Year &quot;0"/>
  </numFmts>
  <fonts count="34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2" applyNumberFormat="0">
      <protection locked="0"/>
    </xf>
    <xf numFmtId="0" fontId="2" fillId="5" borderId="11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101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1" xfId="62" applyFont="1" applyAlignment="1">
      <alignment vertical="top"/>
    </xf>
    <xf numFmtId="0" fontId="3" fillId="5" borderId="11" xfId="62" applyFont="1" applyAlignment="1">
      <alignment horizontal="center" vertical="top"/>
    </xf>
    <xf numFmtId="0" fontId="2" fillId="5" borderId="11" xfId="62" applyFont="1" applyAlignment="1"/>
    <xf numFmtId="0" fontId="5" fillId="5" borderId="11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1" xfId="62" applyFont="1" applyAlignment="1"/>
    <xf numFmtId="0" fontId="2" fillId="5" borderId="11" xfId="62" applyFont="1" applyAlignment="1">
      <alignment horizontal="left"/>
    </xf>
    <xf numFmtId="0" fontId="7" fillId="5" borderId="11" xfId="62" applyFont="1" applyAlignment="1">
      <alignment horizontal="center" vertical="center" wrapText="1"/>
    </xf>
    <xf numFmtId="0" fontId="7" fillId="5" borderId="11" xfId="62" applyFont="1" applyAlignment="1">
      <alignment vertical="center" wrapText="1"/>
    </xf>
    <xf numFmtId="170" fontId="30" fillId="37" borderId="12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1" xfId="62" applyFont="1" applyAlignment="1"/>
    <xf numFmtId="174" fontId="4" fillId="5" borderId="0" xfId="51" applyNumberFormat="1" applyFont="1" applyAlignment="1">
      <alignment vertical="center"/>
    </xf>
    <xf numFmtId="0" fontId="3" fillId="5" borderId="11" xfId="62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2" fontId="0" fillId="0" borderId="0" xfId="57" applyFont="1" applyFill="1"/>
    <xf numFmtId="174" fontId="30" fillId="0" borderId="0" xfId="58" applyNumberFormat="1" applyFill="1"/>
    <xf numFmtId="172" fontId="30" fillId="0" borderId="0" xfId="58" applyNumberFormat="1" applyFill="1"/>
    <xf numFmtId="175" fontId="0" fillId="0" borderId="0" xfId="0" applyNumberFormat="1"/>
    <xf numFmtId="170" fontId="2" fillId="5" borderId="0" xfId="51" applyNumberFormat="1" applyFont="1" applyAlignment="1">
      <alignment horizontal="left"/>
    </xf>
    <xf numFmtId="171" fontId="0" fillId="0" borderId="0" xfId="56" applyFont="1"/>
    <xf numFmtId="171" fontId="30" fillId="0" borderId="0" xfId="56" applyFont="1" applyFill="1"/>
    <xf numFmtId="9" fontId="0" fillId="0" borderId="0" xfId="0" applyNumberFormat="1"/>
    <xf numFmtId="176" fontId="30" fillId="0" borderId="0" xfId="58" applyNumberFormat="1" applyFill="1"/>
    <xf numFmtId="176" fontId="0" fillId="0" borderId="0" xfId="0" applyNumberFormat="1"/>
    <xf numFmtId="170" fontId="3" fillId="0" borderId="0" xfId="54" applyFill="1">
      <alignment vertical="top"/>
    </xf>
    <xf numFmtId="177" fontId="30" fillId="0" borderId="0" xfId="58" applyNumberFormat="1" applyFill="1"/>
    <xf numFmtId="172" fontId="30" fillId="0" borderId="0" xfId="57" applyFont="1" applyFill="1"/>
    <xf numFmtId="177" fontId="0" fillId="0" borderId="0" xfId="0" applyNumberFormat="1"/>
    <xf numFmtId="170" fontId="30" fillId="0" borderId="0" xfId="58" applyFill="1" applyAlignment="1">
      <alignment vertical="top"/>
    </xf>
    <xf numFmtId="174" fontId="0" fillId="0" borderId="0" xfId="0" applyFont="1"/>
    <xf numFmtId="171" fontId="30" fillId="0" borderId="0" xfId="56" applyFont="1" applyFill="1" applyAlignment="1">
      <alignment vertical="top"/>
    </xf>
    <xf numFmtId="174" fontId="0" fillId="39" borderId="0" xfId="0" applyFill="1"/>
    <xf numFmtId="171" fontId="30" fillId="0" borderId="0" xfId="58" applyNumberFormat="1" applyFill="1"/>
    <xf numFmtId="178" fontId="30" fillId="0" borderId="0" xfId="58" applyNumberFormat="1" applyFill="1"/>
    <xf numFmtId="170" fontId="3" fillId="0" borderId="0" xfId="54" applyFont="1">
      <alignment vertical="top"/>
    </xf>
    <xf numFmtId="179" fontId="0" fillId="0" borderId="0" xfId="0" applyNumberFormat="1"/>
    <xf numFmtId="174" fontId="29" fillId="0" borderId="0" xfId="58" applyNumberFormat="1" applyFont="1" applyFill="1"/>
    <xf numFmtId="174" fontId="30" fillId="0" borderId="0" xfId="58" quotePrefix="1" applyNumberFormat="1" applyFill="1"/>
    <xf numFmtId="174" fontId="33" fillId="0" borderId="0" xfId="0" applyFont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/>
    <cellStyle name="Bad" xfId="13" builtinId="27" hidden="1"/>
    <cellStyle name="BG Border" xfId="62"/>
    <cellStyle name="Blank" xfId="60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/>
    <cellStyle name="Currency" xfId="4" builtinId="4" hidden="1"/>
    <cellStyle name="Currency [0]" xfId="5" builtinId="7" hidden="1"/>
    <cellStyle name="Date" xfId="55"/>
    <cellStyle name="Date Heading" xfId="52"/>
    <cellStyle name="Explanatory Text" xfId="22" builtinId="53" hidden="1"/>
    <cellStyle name="Good" xfId="12" builtinId="26" hidden="1"/>
    <cellStyle name="Hard Coded Number" xfId="58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/>
    <cellStyle name="Hist Proj Title" xfId="53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/>
    <cellStyle name="Neutral" xfId="14" builtinId="28" hidden="1"/>
    <cellStyle name="Normal" xfId="0" builtinId="0" customBuiltin="1"/>
    <cellStyle name="Note" xfId="21" builtinId="10" hidden="1"/>
    <cellStyle name="Notes and Comments" xfId="59"/>
    <cellStyle name="Output" xfId="16" builtinId="21" hidden="1"/>
    <cellStyle name="Percent" xfId="6" builtinId="5" hidden="1"/>
    <cellStyle name="Percent" xfId="57" builtinId="5" customBuiltin="1"/>
    <cellStyle name="Primary Title" xfId="48"/>
    <cellStyle name="Row Label" xfId="54"/>
    <cellStyle name="Secondary Title" xfId="49"/>
    <cellStyle name="Tertiary Title" xfId="50"/>
    <cellStyle name="Title" xfId="7" builtinId="15" hidden="1"/>
    <cellStyle name="Total" xfId="23" builtinId="25" hidden="1"/>
    <cellStyle name="Warning Text" xfId="20" builtinId="11" hidden="1"/>
  </cellStyles>
  <dxfs count="4">
    <dxf>
      <font>
        <color rgb="FFC00000"/>
      </font>
      <fill>
        <patternFill>
          <bgColor theme="2"/>
        </patternFill>
      </fill>
    </dxf>
    <dxf>
      <font>
        <color rgb="FFC00000"/>
      </font>
      <fill>
        <patternFill>
          <bgColor theme="2"/>
        </patternFill>
      </fill>
    </dxf>
    <dxf>
      <font>
        <color rgb="FFC00000"/>
      </font>
      <fill>
        <patternFill>
          <bgColor theme="2"/>
        </patternFill>
      </fill>
    </dxf>
    <dxf>
      <font>
        <color rgb="FFC00000"/>
      </font>
      <fill>
        <patternFill>
          <bgColor theme="2"/>
        </patternFill>
      </fill>
    </dxf>
  </dxfs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211</xdr:row>
      <xdr:rowOff>47625</xdr:rowOff>
    </xdr:from>
    <xdr:to>
      <xdr:col>9</xdr:col>
      <xdr:colOff>170374</xdr:colOff>
      <xdr:row>219</xdr:row>
      <xdr:rowOff>161720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2430125"/>
          <a:ext cx="8609524" cy="1638095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15240</xdr:colOff>
      <xdr:row>241</xdr:row>
      <xdr:rowOff>7620</xdr:rowOff>
    </xdr:from>
    <xdr:to>
      <xdr:col>6</xdr:col>
      <xdr:colOff>309698</xdr:colOff>
      <xdr:row>259</xdr:row>
      <xdr:rowOff>7191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46489620"/>
          <a:ext cx="6710498" cy="3428571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21853</xdr:colOff>
      <xdr:row>359</xdr:row>
      <xdr:rowOff>95250</xdr:rowOff>
    </xdr:from>
    <xdr:to>
      <xdr:col>6</xdr:col>
      <xdr:colOff>653865</xdr:colOff>
      <xdr:row>369</xdr:row>
      <xdr:rowOff>123826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-12" b="57077"/>
        <a:stretch/>
      </xdr:blipFill>
      <xdr:spPr>
        <a:xfrm>
          <a:off x="120465" y="67509838"/>
          <a:ext cx="7041776" cy="1911164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21853</xdr:colOff>
      <xdr:row>371</xdr:row>
      <xdr:rowOff>47625</xdr:rowOff>
    </xdr:from>
    <xdr:to>
      <xdr:col>6</xdr:col>
      <xdr:colOff>653689</xdr:colOff>
      <xdr:row>399</xdr:row>
      <xdr:rowOff>71825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465" y="69721319"/>
          <a:ext cx="7041600" cy="5295447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1" customWidth="1"/>
    <col min="2" max="13" width="9.265625" style="31" customWidth="1"/>
    <col min="14" max="14" width="9.86328125" style="31" customWidth="1"/>
    <col min="15" max="26" width="9.1328125" style="31" customWidth="1"/>
    <col min="27" max="16384" width="9.1328125" style="31"/>
  </cols>
  <sheetData>
    <row r="1" spans="1:14" s="35" customFormat="1" ht="189.75" customHeight="1" x14ac:dyDescent="0.8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21" customFormat="1" ht="75" customHeight="1" x14ac:dyDescent="0.45">
      <c r="A2" s="92" t="s">
        <v>37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8"/>
      <c r="B4" s="39"/>
      <c r="C4" s="91"/>
      <c r="D4" s="91"/>
      <c r="E4" s="40"/>
      <c r="F4" s="41"/>
      <c r="G4" s="41"/>
      <c r="H4" s="41"/>
      <c r="I4" s="41"/>
      <c r="J4" s="41"/>
      <c r="K4" s="41"/>
      <c r="L4" s="40"/>
      <c r="M4" s="40"/>
      <c r="N4" s="40"/>
    </row>
    <row r="5" spans="1:14" s="22" customFormat="1" ht="15" customHeight="1" x14ac:dyDescent="0.45">
      <c r="A5" s="93" t="s">
        <v>11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4" s="22" customFormat="1" ht="15" customHeight="1" x14ac:dyDescent="0.4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4" s="22" customFormat="1" ht="15" customHeight="1" x14ac:dyDescent="0.45">
      <c r="A7" s="93" t="str">
        <f ca="1">"© "&amp;YEAR(TODAY())&amp;" Financial Edge Training"</f>
        <v>© 2016 Financial Edge Training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s="22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2" customFormat="1" ht="15" customHeight="1" x14ac:dyDescent="0.45">
      <c r="F9" s="27"/>
      <c r="G9" s="94"/>
      <c r="H9" s="94"/>
      <c r="I9" s="94"/>
      <c r="J9" s="94"/>
      <c r="K9" s="27"/>
    </row>
    <row r="10" spans="1:14" s="22" customFormat="1" ht="15" customHeight="1" x14ac:dyDescent="0.45">
      <c r="B10" s="23"/>
      <c r="C10" s="23"/>
      <c r="F10" s="27"/>
      <c r="G10" s="94"/>
      <c r="H10" s="94"/>
      <c r="I10" s="94"/>
      <c r="J10" s="94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90"/>
      <c r="H12" s="90"/>
      <c r="I12" s="90"/>
      <c r="J12" s="90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90"/>
      <c r="H13" s="90"/>
      <c r="I13" s="90"/>
      <c r="J13" s="90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90"/>
      <c r="H14" s="90"/>
      <c r="I14" s="90"/>
      <c r="J14" s="90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90"/>
      <c r="H16" s="90"/>
      <c r="I16" s="90"/>
      <c r="J16" s="90"/>
      <c r="K16" s="24"/>
    </row>
    <row r="17" spans="1:12" s="22" customFormat="1" ht="15" customHeight="1" x14ac:dyDescent="0.45">
      <c r="A17" s="21"/>
      <c r="B17" s="32"/>
      <c r="C17" s="33"/>
      <c r="D17" s="30"/>
      <c r="F17" s="24"/>
      <c r="G17" s="24"/>
      <c r="H17" s="24"/>
      <c r="I17" s="24"/>
      <c r="J17" s="24"/>
      <c r="K17" s="24"/>
    </row>
    <row r="18" spans="1:12" ht="15" customHeight="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4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5" customFormat="1" ht="45" customHeight="1" x14ac:dyDescent="0.85">
      <c r="A1" s="12" t="str">
        <f>Welcome!A2</f>
        <v>Private Equity Acquisition Analysis</v>
      </c>
      <c r="B1" s="12"/>
      <c r="C1" s="12"/>
      <c r="D1" s="12"/>
      <c r="E1" s="1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</row>
    <row r="2" spans="1:18" s="36" customFormat="1" ht="30" customHeight="1" x14ac:dyDescent="0.6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96" t="s">
        <v>0</v>
      </c>
      <c r="C4" s="96"/>
      <c r="D4" s="96"/>
      <c r="E4" s="96"/>
      <c r="F4" s="96"/>
      <c r="G4" s="96"/>
      <c r="H4" s="96"/>
      <c r="I4" s="96"/>
      <c r="K4" s="1"/>
      <c r="L4" s="96" t="s">
        <v>2</v>
      </c>
      <c r="M4" s="96"/>
      <c r="N4" s="96"/>
      <c r="O4" s="96"/>
      <c r="P4" s="96"/>
      <c r="Q4" s="44"/>
      <c r="R4" s="44"/>
    </row>
    <row r="5" spans="1:18" s="2" customFormat="1" ht="15" customHeight="1" x14ac:dyDescent="0.45">
      <c r="A5" s="16"/>
      <c r="B5" s="7" t="s">
        <v>1</v>
      </c>
      <c r="C5" s="68" t="s">
        <v>40</v>
      </c>
      <c r="D5" s="17"/>
      <c r="E5" s="17"/>
      <c r="F5" s="17"/>
      <c r="G5" s="17"/>
      <c r="H5" s="17"/>
      <c r="I5" s="17"/>
      <c r="K5" s="1"/>
      <c r="L5" s="8" t="s">
        <v>3</v>
      </c>
      <c r="M5" s="8"/>
      <c r="N5" s="98" t="s">
        <v>9</v>
      </c>
      <c r="O5" s="98"/>
      <c r="P5" s="98"/>
      <c r="Q5" s="98"/>
      <c r="R5" s="44"/>
    </row>
    <row r="6" spans="1:18" s="2" customFormat="1" ht="15" customHeight="1" x14ac:dyDescent="0.45">
      <c r="A6" s="3"/>
      <c r="B6" s="7" t="s">
        <v>1</v>
      </c>
      <c r="C6" s="68" t="s">
        <v>38</v>
      </c>
      <c r="D6" s="17"/>
      <c r="E6" s="17"/>
      <c r="F6" s="17"/>
      <c r="G6" s="17"/>
      <c r="H6" s="17"/>
      <c r="I6" s="17"/>
      <c r="K6" s="16"/>
      <c r="L6" s="8" t="s">
        <v>4</v>
      </c>
      <c r="M6" s="8"/>
      <c r="N6" s="99">
        <v>42369</v>
      </c>
      <c r="O6" s="99"/>
      <c r="P6" s="99"/>
      <c r="Q6" s="99"/>
      <c r="R6" s="44"/>
    </row>
    <row r="7" spans="1:18" s="2" customFormat="1" ht="15" customHeight="1" x14ac:dyDescent="0.45">
      <c r="A7" s="17"/>
      <c r="B7" s="7" t="s">
        <v>1</v>
      </c>
      <c r="C7" s="68" t="s">
        <v>39</v>
      </c>
      <c r="D7" s="17"/>
      <c r="E7" s="17"/>
      <c r="F7" s="17"/>
      <c r="G7" s="17"/>
      <c r="H7" s="17"/>
      <c r="I7" s="17"/>
      <c r="K7" s="3"/>
      <c r="L7" s="8" t="s">
        <v>5</v>
      </c>
      <c r="M7" s="8"/>
      <c r="N7" s="98"/>
      <c r="O7" s="98"/>
      <c r="P7" s="98"/>
      <c r="Q7" s="98"/>
      <c r="R7" s="44"/>
    </row>
    <row r="8" spans="1:18" s="2" customFormat="1" ht="15" customHeight="1" x14ac:dyDescent="0.45">
      <c r="A8" s="17"/>
      <c r="B8" s="7" t="s">
        <v>1</v>
      </c>
      <c r="C8" s="68" t="s">
        <v>41</v>
      </c>
      <c r="D8" s="17"/>
      <c r="E8" s="17"/>
      <c r="F8" s="17"/>
      <c r="G8" s="17"/>
      <c r="H8" s="17"/>
      <c r="I8" s="17"/>
      <c r="K8" s="17"/>
      <c r="L8" s="8" t="s">
        <v>6</v>
      </c>
      <c r="M8" s="8"/>
      <c r="N8" s="98"/>
      <c r="O8" s="98"/>
      <c r="P8" s="98"/>
      <c r="Q8" s="98"/>
      <c r="R8" s="44"/>
    </row>
    <row r="9" spans="1:18" s="2" customFormat="1" ht="15" customHeight="1" x14ac:dyDescent="0.45">
      <c r="A9" s="42"/>
      <c r="B9" s="7" t="s">
        <v>1</v>
      </c>
      <c r="C9" s="68"/>
      <c r="D9" s="42"/>
      <c r="E9" s="42"/>
      <c r="F9" s="42"/>
      <c r="G9" s="42"/>
      <c r="H9" s="42"/>
      <c r="I9" s="42"/>
      <c r="K9" s="17"/>
      <c r="L9" s="8" t="s">
        <v>7</v>
      </c>
      <c r="M9" s="8"/>
      <c r="N9" s="98" t="s">
        <v>10</v>
      </c>
      <c r="O9" s="98"/>
      <c r="P9" s="98"/>
      <c r="Q9" s="98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7"/>
      <c r="L10" s="8" t="s">
        <v>8</v>
      </c>
      <c r="M10" s="8"/>
      <c r="N10" s="100">
        <v>0</v>
      </c>
      <c r="O10" s="100"/>
      <c r="P10" s="100"/>
      <c r="Q10" s="100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8"/>
      <c r="B13" s="97" t="s">
        <v>17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N13" s="1"/>
      <c r="O13" s="96" t="s">
        <v>12</v>
      </c>
      <c r="P13" s="96"/>
      <c r="Q13" s="96"/>
      <c r="R13" s="61"/>
    </row>
    <row r="14" spans="1:18" s="2" customFormat="1" ht="15" customHeight="1" x14ac:dyDescent="0.45">
      <c r="A14" s="59"/>
      <c r="B14" s="95" t="s">
        <v>18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N14" s="16"/>
      <c r="O14" s="26"/>
      <c r="P14" s="21"/>
      <c r="Q14" s="21"/>
      <c r="R14" s="59"/>
    </row>
    <row r="15" spans="1:18" s="2" customFormat="1" ht="15" customHeight="1" x14ac:dyDescent="0.45">
      <c r="A15" s="59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N15" s="3"/>
      <c r="O15" s="26"/>
      <c r="P15" s="55" t="s">
        <v>13</v>
      </c>
      <c r="Q15" s="21"/>
      <c r="R15" s="59"/>
    </row>
    <row r="16" spans="1:18" s="2" customFormat="1" ht="15" customHeight="1" x14ac:dyDescent="0.45">
      <c r="A16" s="59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N16" s="17"/>
      <c r="O16" s="26"/>
      <c r="P16" s="37" t="s">
        <v>14</v>
      </c>
      <c r="Q16" s="21"/>
      <c r="R16" s="59"/>
    </row>
    <row r="17" spans="1:18" s="2" customFormat="1" ht="15" customHeight="1" x14ac:dyDescent="0.45">
      <c r="A17" s="59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N17" s="17"/>
      <c r="O17" s="26"/>
      <c r="P17" t="s">
        <v>15</v>
      </c>
      <c r="Q17" s="21"/>
      <c r="R17" s="59"/>
    </row>
    <row r="18" spans="1:18" s="2" customFormat="1" ht="15" customHeight="1" x14ac:dyDescent="0.45">
      <c r="A18" s="43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4"/>
    </row>
    <row r="21" spans="1:18" x14ac:dyDescent="0.45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45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45">
      <c r="F23" s="34"/>
      <c r="G23" s="34"/>
      <c r="H23" s="34"/>
      <c r="I23" s="34"/>
      <c r="J23" s="34"/>
      <c r="K23" s="34"/>
      <c r="L23" s="34"/>
      <c r="M23" s="34"/>
      <c r="N23" s="31"/>
      <c r="O23" s="31"/>
      <c r="P23" s="31"/>
      <c r="Q23" s="31"/>
    </row>
    <row r="24" spans="1:18" x14ac:dyDescent="0.4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4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x14ac:dyDescent="0.4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447"/>
  <sheetViews>
    <sheetView zoomScaleNormal="100" workbookViewId="0"/>
  </sheetViews>
  <sheetFormatPr defaultColWidth="9.1328125" defaultRowHeight="15" customHeight="1" x14ac:dyDescent="0.45"/>
  <cols>
    <col min="1" max="1" width="1.3984375" style="14" customWidth="1"/>
    <col min="2" max="2" width="49.59765625" style="15" customWidth="1"/>
    <col min="3" max="10" width="11" customWidth="1"/>
    <col min="11" max="12" width="9.265625" customWidth="1"/>
  </cols>
  <sheetData>
    <row r="1" spans="1:10" s="49" customFormat="1" ht="45" customHeight="1" x14ac:dyDescent="0.85">
      <c r="A1" s="12" t="str">
        <f>Welcome!A2</f>
        <v>Private Equity Acquisition Analysis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16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19</v>
      </c>
    </row>
    <row r="5" spans="1:10" ht="15" customHeight="1" x14ac:dyDescent="0.45">
      <c r="B5" s="15" t="s">
        <v>221</v>
      </c>
    </row>
    <row r="7" spans="1:10" ht="15" customHeight="1" x14ac:dyDescent="0.45">
      <c r="C7" t="s">
        <v>22</v>
      </c>
      <c r="D7" t="s">
        <v>23</v>
      </c>
      <c r="E7" t="s">
        <v>24</v>
      </c>
      <c r="F7" t="s">
        <v>25</v>
      </c>
      <c r="G7" t="s">
        <v>30</v>
      </c>
    </row>
    <row r="8" spans="1:10" ht="15" customHeight="1" x14ac:dyDescent="0.45">
      <c r="B8" s="15" t="s">
        <v>26</v>
      </c>
      <c r="C8" s="65">
        <v>300</v>
      </c>
      <c r="D8" s="65">
        <v>340</v>
      </c>
      <c r="E8" s="65">
        <v>300</v>
      </c>
      <c r="F8" s="65">
        <v>340</v>
      </c>
      <c r="G8" s="65">
        <v>340</v>
      </c>
    </row>
    <row r="9" spans="1:10" ht="15" customHeight="1" x14ac:dyDescent="0.45">
      <c r="A9" s="63"/>
      <c r="B9" s="15" t="s">
        <v>27</v>
      </c>
      <c r="C9" s="70">
        <v>7</v>
      </c>
      <c r="D9" s="70">
        <v>7</v>
      </c>
      <c r="E9" s="70">
        <v>8</v>
      </c>
      <c r="F9" s="70">
        <v>7</v>
      </c>
      <c r="G9" s="70">
        <v>6</v>
      </c>
    </row>
    <row r="10" spans="1:10" ht="15" customHeight="1" x14ac:dyDescent="0.45">
      <c r="B10" s="15" t="s">
        <v>21</v>
      </c>
      <c r="C10">
        <f>C9*C8</f>
        <v>2100</v>
      </c>
      <c r="D10">
        <f>D9*D8</f>
        <v>2380</v>
      </c>
      <c r="E10">
        <f>E9*E8</f>
        <v>2400</v>
      </c>
      <c r="F10">
        <f>F9*F8</f>
        <v>2380</v>
      </c>
      <c r="G10">
        <f>G9*G8</f>
        <v>2040</v>
      </c>
    </row>
    <row r="11" spans="1:10" ht="15" customHeight="1" x14ac:dyDescent="0.45">
      <c r="B11" s="15" t="s">
        <v>28</v>
      </c>
      <c r="C11" s="65">
        <v>1500</v>
      </c>
      <c r="D11" s="65">
        <v>1500</v>
      </c>
      <c r="E11" s="65">
        <v>1200</v>
      </c>
      <c r="F11" s="65">
        <v>1000</v>
      </c>
      <c r="G11" s="65">
        <v>1500</v>
      </c>
    </row>
    <row r="12" spans="1:10" ht="15" customHeight="1" x14ac:dyDescent="0.45">
      <c r="B12" s="15" t="s">
        <v>32</v>
      </c>
      <c r="C12" s="69">
        <f>C11/C8</f>
        <v>5</v>
      </c>
      <c r="D12" s="69">
        <f>D11/D8</f>
        <v>4.4117647058823533</v>
      </c>
      <c r="E12" s="69">
        <f>E11/E8</f>
        <v>4</v>
      </c>
      <c r="F12" s="69">
        <f>F11/F8</f>
        <v>2.9411764705882355</v>
      </c>
      <c r="G12" s="69">
        <f>G11/G8</f>
        <v>4.4117647058823533</v>
      </c>
    </row>
    <row r="13" spans="1:10" ht="15" customHeight="1" x14ac:dyDescent="0.45">
      <c r="B13" s="15" t="s">
        <v>20</v>
      </c>
      <c r="C13">
        <f>C10-C11</f>
        <v>600</v>
      </c>
      <c r="D13">
        <f>D10-D11</f>
        <v>880</v>
      </c>
      <c r="E13">
        <f>E10-E11</f>
        <v>1200</v>
      </c>
      <c r="F13">
        <f>F10-F11</f>
        <v>1380</v>
      </c>
      <c r="G13">
        <f>G10-G11</f>
        <v>540</v>
      </c>
    </row>
    <row r="14" spans="1:10" ht="15" customHeight="1" x14ac:dyDescent="0.45">
      <c r="B14" s="15" t="s">
        <v>31</v>
      </c>
      <c r="D14" s="65">
        <v>3</v>
      </c>
      <c r="E14" s="65">
        <v>3</v>
      </c>
      <c r="F14" s="65">
        <v>3</v>
      </c>
      <c r="G14" s="65">
        <v>3</v>
      </c>
    </row>
    <row r="15" spans="1:10" ht="15" customHeight="1" x14ac:dyDescent="0.45">
      <c r="B15" s="15" t="s">
        <v>29</v>
      </c>
      <c r="D15" s="64">
        <f>(D13/$C$13)^(1/D14)-1</f>
        <v>0.13617128057248995</v>
      </c>
      <c r="E15" s="64">
        <f>(E13/$C$13)^(1/E14)-1</f>
        <v>0.25992104989487319</v>
      </c>
      <c r="F15" s="64">
        <f>(F13/$C$13)^(1/F14)-1</f>
        <v>0.32000612179591226</v>
      </c>
      <c r="G15" s="64">
        <f>(G13/$C$13)^(1/G14)-1</f>
        <v>-3.4510615394370281E-2</v>
      </c>
      <c r="I15" s="67"/>
    </row>
    <row r="16" spans="1:10" ht="15" customHeight="1" x14ac:dyDescent="0.45">
      <c r="B16" s="15" t="s">
        <v>33</v>
      </c>
      <c r="D16">
        <f>D13-$C$13</f>
        <v>280</v>
      </c>
      <c r="E16">
        <f>E13-$C$13</f>
        <v>600</v>
      </c>
      <c r="F16">
        <f>F13-$C$13</f>
        <v>780</v>
      </c>
      <c r="G16">
        <f>G13-$C$13</f>
        <v>-60</v>
      </c>
      <c r="I16" s="67"/>
    </row>
    <row r="17" spans="1:9" ht="15" customHeight="1" x14ac:dyDescent="0.45">
      <c r="I17" s="67"/>
    </row>
    <row r="18" spans="1:9" ht="15" customHeight="1" x14ac:dyDescent="0.45">
      <c r="B18" s="15" t="s">
        <v>222</v>
      </c>
      <c r="I18" s="67"/>
    </row>
    <row r="19" spans="1:9" ht="15" customHeight="1" x14ac:dyDescent="0.45">
      <c r="B19" s="15" t="s">
        <v>34</v>
      </c>
      <c r="D19">
        <f>$C$11-D11</f>
        <v>0</v>
      </c>
      <c r="E19">
        <f>$C$11-E11</f>
        <v>300</v>
      </c>
      <c r="F19">
        <f>$C$11-F11</f>
        <v>500</v>
      </c>
      <c r="G19">
        <f>$C$11-G11</f>
        <v>0</v>
      </c>
      <c r="I19" s="67"/>
    </row>
    <row r="20" spans="1:9" ht="15" customHeight="1" x14ac:dyDescent="0.45">
      <c r="B20" s="15" t="s">
        <v>35</v>
      </c>
      <c r="D20">
        <f>(D8-$C$8)*$C$9</f>
        <v>280</v>
      </c>
      <c r="E20">
        <f>(E8-$C$8)*$C$9</f>
        <v>0</v>
      </c>
      <c r="F20">
        <f>(F8-$C$8)*$C$9</f>
        <v>280</v>
      </c>
      <c r="G20">
        <f>(G8-$C$8)*$C$9</f>
        <v>280</v>
      </c>
      <c r="I20" s="67"/>
    </row>
    <row r="21" spans="1:9" ht="15" customHeight="1" x14ac:dyDescent="0.45">
      <c r="B21" s="15" t="s">
        <v>36</v>
      </c>
      <c r="D21">
        <f>(D9-$C$9)*D8</f>
        <v>0</v>
      </c>
      <c r="E21">
        <f>(E9-$C$9)*E8</f>
        <v>300</v>
      </c>
      <c r="F21">
        <f>(F9-$C$9)*F8</f>
        <v>0</v>
      </c>
      <c r="G21">
        <f>(G9-$C$9)*G8</f>
        <v>-340</v>
      </c>
      <c r="I21" s="67"/>
    </row>
    <row r="22" spans="1:9" ht="15" customHeight="1" x14ac:dyDescent="0.45">
      <c r="B22" s="15" t="s">
        <v>33</v>
      </c>
      <c r="D22">
        <f>SUM(D19:D21)</f>
        <v>280</v>
      </c>
      <c r="E22">
        <f>SUM(E19:E21)</f>
        <v>600</v>
      </c>
      <c r="F22">
        <f>SUM(F19:F21)</f>
        <v>780</v>
      </c>
      <c r="G22">
        <f>SUM(G19:G21)</f>
        <v>-60</v>
      </c>
      <c r="I22" s="67"/>
    </row>
    <row r="23" spans="1:9" ht="15" customHeight="1" x14ac:dyDescent="0.45">
      <c r="I23" s="67"/>
    </row>
    <row r="24" spans="1:9" ht="15" customHeight="1" x14ac:dyDescent="0.45">
      <c r="A24" s="14" t="s">
        <v>91</v>
      </c>
      <c r="I24" s="67"/>
    </row>
    <row r="25" spans="1:9" ht="15" customHeight="1" x14ac:dyDescent="0.45">
      <c r="B25" s="15" t="s">
        <v>106</v>
      </c>
      <c r="I25" s="67"/>
    </row>
    <row r="26" spans="1:9" ht="15" customHeight="1" x14ac:dyDescent="0.45">
      <c r="I26" s="67"/>
    </row>
    <row r="27" spans="1:9" ht="15" customHeight="1" x14ac:dyDescent="0.45">
      <c r="C27" t="s">
        <v>22</v>
      </c>
      <c r="D27" t="s">
        <v>107</v>
      </c>
      <c r="I27" s="67"/>
    </row>
    <row r="28" spans="1:9" ht="15" customHeight="1" x14ac:dyDescent="0.45">
      <c r="B28" s="15" t="s">
        <v>108</v>
      </c>
      <c r="C28" s="70">
        <v>6</v>
      </c>
      <c r="D28" s="70">
        <v>7.5</v>
      </c>
      <c r="I28" s="67"/>
    </row>
    <row r="29" spans="1:9" ht="15" customHeight="1" x14ac:dyDescent="0.45">
      <c r="B29" s="15" t="s">
        <v>26</v>
      </c>
      <c r="C29" s="65">
        <v>587</v>
      </c>
      <c r="D29" s="65">
        <v>655</v>
      </c>
      <c r="I29" s="67"/>
    </row>
    <row r="30" spans="1:9" ht="15" customHeight="1" x14ac:dyDescent="0.45">
      <c r="B30" s="15" t="s">
        <v>212</v>
      </c>
      <c r="D30" s="65">
        <v>4</v>
      </c>
      <c r="I30" s="67"/>
    </row>
    <row r="31" spans="1:9" ht="15" customHeight="1" x14ac:dyDescent="0.45">
      <c r="B31" s="15" t="s">
        <v>109</v>
      </c>
      <c r="C31" s="65">
        <v>2000</v>
      </c>
      <c r="D31" s="65">
        <v>1300</v>
      </c>
      <c r="I31" s="67"/>
    </row>
    <row r="32" spans="1:9" ht="15" customHeight="1" x14ac:dyDescent="0.45">
      <c r="B32" s="15" t="s">
        <v>21</v>
      </c>
      <c r="C32">
        <f>C29*C28</f>
        <v>3522</v>
      </c>
      <c r="D32">
        <f>D29*D28</f>
        <v>4912.5</v>
      </c>
      <c r="I32" s="67"/>
    </row>
    <row r="33" spans="1:9" ht="15" customHeight="1" x14ac:dyDescent="0.45">
      <c r="B33" s="15" t="s">
        <v>20</v>
      </c>
      <c r="C33">
        <f>C32-C31</f>
        <v>1522</v>
      </c>
      <c r="D33">
        <f>D32-D31</f>
        <v>3612.5</v>
      </c>
      <c r="I33" s="67"/>
    </row>
    <row r="34" spans="1:9" ht="15" customHeight="1" x14ac:dyDescent="0.45">
      <c r="B34" s="15" t="s">
        <v>29</v>
      </c>
      <c r="D34" s="64">
        <f>(D33/C33)^(1/D30)-1</f>
        <v>0.2412186738798805</v>
      </c>
      <c r="I34" s="67"/>
    </row>
    <row r="35" spans="1:9" ht="15" customHeight="1" x14ac:dyDescent="0.45">
      <c r="B35" s="15" t="s">
        <v>111</v>
      </c>
      <c r="D35">
        <f>D33-C33</f>
        <v>2090.5</v>
      </c>
      <c r="I35" s="67"/>
    </row>
    <row r="36" spans="1:9" ht="15" customHeight="1" x14ac:dyDescent="0.45">
      <c r="B36" s="15" t="s">
        <v>110</v>
      </c>
      <c r="D36">
        <f>C31-D31</f>
        <v>700</v>
      </c>
      <c r="I36" s="67"/>
    </row>
    <row r="37" spans="1:9" ht="15" customHeight="1" x14ac:dyDescent="0.45">
      <c r="B37" s="15" t="s">
        <v>112</v>
      </c>
      <c r="D37">
        <f>(D29-C29)*C28</f>
        <v>408</v>
      </c>
      <c r="I37" s="67"/>
    </row>
    <row r="38" spans="1:9" ht="15" customHeight="1" x14ac:dyDescent="0.45">
      <c r="B38" s="15" t="s">
        <v>113</v>
      </c>
      <c r="D38">
        <f>(D28-C28)*D29</f>
        <v>982.5</v>
      </c>
      <c r="I38" s="67"/>
    </row>
    <row r="39" spans="1:9" ht="15" customHeight="1" x14ac:dyDescent="0.45">
      <c r="B39" s="15" t="s">
        <v>111</v>
      </c>
      <c r="D39">
        <f>SUM(D36:D38)</f>
        <v>2090.5</v>
      </c>
      <c r="I39" s="67"/>
    </row>
    <row r="40" spans="1:9" ht="15" customHeight="1" x14ac:dyDescent="0.45">
      <c r="I40" s="67"/>
    </row>
    <row r="41" spans="1:9" ht="15" customHeight="1" x14ac:dyDescent="0.45">
      <c r="A41" s="14" t="s">
        <v>92</v>
      </c>
      <c r="I41" s="67"/>
    </row>
    <row r="42" spans="1:9" ht="15" customHeight="1" x14ac:dyDescent="0.45">
      <c r="B42" s="15" t="s">
        <v>93</v>
      </c>
      <c r="I42" s="67"/>
    </row>
    <row r="43" spans="1:9" ht="15" customHeight="1" x14ac:dyDescent="0.45">
      <c r="B43" s="15" t="s">
        <v>219</v>
      </c>
      <c r="I43" s="67"/>
    </row>
    <row r="44" spans="1:9" ht="15" customHeight="1" x14ac:dyDescent="0.45">
      <c r="B44" s="15" t="s">
        <v>94</v>
      </c>
      <c r="I44" s="67"/>
    </row>
    <row r="45" spans="1:9" ht="15" customHeight="1" x14ac:dyDescent="0.45">
      <c r="B45" s="15" t="s">
        <v>258</v>
      </c>
      <c r="I45" s="67"/>
    </row>
    <row r="46" spans="1:9" ht="15" customHeight="1" x14ac:dyDescent="0.45">
      <c r="B46" s="15" t="s">
        <v>259</v>
      </c>
      <c r="I46" s="67"/>
    </row>
    <row r="47" spans="1:9" ht="15" customHeight="1" x14ac:dyDescent="0.45">
      <c r="B47" s="15" t="s">
        <v>223</v>
      </c>
      <c r="I47" s="67"/>
    </row>
    <row r="48" spans="1:9" ht="15" customHeight="1" x14ac:dyDescent="0.45">
      <c r="B48" s="15" t="s">
        <v>96</v>
      </c>
      <c r="I48" s="67"/>
    </row>
    <row r="49" spans="2:9" ht="15" customHeight="1" x14ac:dyDescent="0.45">
      <c r="I49" s="67"/>
    </row>
    <row r="50" spans="2:9" ht="15" customHeight="1" x14ac:dyDescent="0.45">
      <c r="B50" s="15" t="s">
        <v>77</v>
      </c>
      <c r="C50" s="65">
        <v>1100</v>
      </c>
      <c r="I50" s="67"/>
    </row>
    <row r="51" spans="2:9" ht="15" customHeight="1" x14ac:dyDescent="0.45">
      <c r="B51" s="15" t="s">
        <v>102</v>
      </c>
      <c r="C51" s="82">
        <v>9.5</v>
      </c>
      <c r="I51" s="67"/>
    </row>
    <row r="52" spans="2:9" ht="15" customHeight="1" x14ac:dyDescent="0.45">
      <c r="B52" s="15" t="s">
        <v>213</v>
      </c>
      <c r="C52" s="82">
        <v>5.5</v>
      </c>
      <c r="I52" s="67"/>
    </row>
    <row r="53" spans="2:9" ht="15" customHeight="1" x14ac:dyDescent="0.45">
      <c r="B53" s="15" t="s">
        <v>97</v>
      </c>
      <c r="C53" s="65">
        <v>1400</v>
      </c>
      <c r="I53" s="67"/>
    </row>
    <row r="54" spans="2:9" ht="15" customHeight="1" x14ac:dyDescent="0.45">
      <c r="B54" s="15" t="s">
        <v>99</v>
      </c>
      <c r="C54" s="76">
        <v>0.05</v>
      </c>
      <c r="I54" s="67"/>
    </row>
    <row r="55" spans="2:9" ht="15" customHeight="1" x14ac:dyDescent="0.45">
      <c r="B55" s="15" t="s">
        <v>103</v>
      </c>
      <c r="C55" s="66">
        <v>0.25</v>
      </c>
      <c r="I55" s="67"/>
    </row>
    <row r="56" spans="2:9" ht="15" customHeight="1" x14ac:dyDescent="0.45">
      <c r="B56" s="15" t="s">
        <v>100</v>
      </c>
      <c r="C56" s="65">
        <v>5</v>
      </c>
      <c r="I56" s="67"/>
    </row>
    <row r="57" spans="2:9" ht="15" customHeight="1" x14ac:dyDescent="0.45">
      <c r="C57" s="65"/>
      <c r="I57" s="67"/>
    </row>
    <row r="58" spans="2:9" ht="15" customHeight="1" x14ac:dyDescent="0.45">
      <c r="B58" s="15" t="s">
        <v>95</v>
      </c>
      <c r="C58">
        <f>C50*C52</f>
        <v>6050</v>
      </c>
      <c r="I58" s="67"/>
    </row>
    <row r="59" spans="2:9" ht="15" customHeight="1" x14ac:dyDescent="0.45">
      <c r="B59" s="15" t="s">
        <v>98</v>
      </c>
      <c r="C59">
        <f>C58-C53</f>
        <v>4650</v>
      </c>
      <c r="I59" s="67"/>
    </row>
    <row r="60" spans="2:9" ht="15" customHeight="1" x14ac:dyDescent="0.45">
      <c r="B60" s="15" t="s">
        <v>101</v>
      </c>
      <c r="C60">
        <f>C50*(1+C54)^C56</f>
        <v>1403.9097187500001</v>
      </c>
      <c r="I60" s="67"/>
    </row>
    <row r="61" spans="2:9" ht="15" customHeight="1" x14ac:dyDescent="0.45">
      <c r="B61" s="15" t="s">
        <v>120</v>
      </c>
      <c r="C61">
        <f>C51*C60</f>
        <v>13337.142328125001</v>
      </c>
      <c r="I61" s="67"/>
    </row>
    <row r="62" spans="2:9" ht="15" customHeight="1" x14ac:dyDescent="0.45">
      <c r="B62" s="15" t="s">
        <v>104</v>
      </c>
      <c r="C62">
        <f>C61-C59</f>
        <v>8687.1423281250009</v>
      </c>
      <c r="I62" s="67"/>
    </row>
    <row r="63" spans="2:9" ht="15" customHeight="1" x14ac:dyDescent="0.45">
      <c r="I63" s="67"/>
    </row>
    <row r="64" spans="2:9" ht="15" customHeight="1" x14ac:dyDescent="0.45">
      <c r="B64" s="15" t="s">
        <v>105</v>
      </c>
      <c r="C64">
        <f>C62/(1+C55)^C56</f>
        <v>2846.6027980800004</v>
      </c>
      <c r="I64" s="67"/>
    </row>
    <row r="65" spans="1:9" ht="15" customHeight="1" x14ac:dyDescent="0.45">
      <c r="I65" s="67"/>
    </row>
    <row r="66" spans="1:9" ht="15" customHeight="1" x14ac:dyDescent="0.45">
      <c r="A66" s="14" t="s">
        <v>151</v>
      </c>
    </row>
    <row r="67" spans="1:9" ht="15" customHeight="1" x14ac:dyDescent="0.45">
      <c r="B67" s="15" t="s">
        <v>64</v>
      </c>
    </row>
    <row r="68" spans="1:9" ht="15" customHeight="1" x14ac:dyDescent="0.45">
      <c r="B68" s="15" t="s">
        <v>42</v>
      </c>
    </row>
    <row r="69" spans="1:9" ht="15" customHeight="1" x14ac:dyDescent="0.45">
      <c r="B69" s="15" t="s">
        <v>224</v>
      </c>
    </row>
    <row r="70" spans="1:9" ht="15" customHeight="1" x14ac:dyDescent="0.45">
      <c r="B70" s="15" t="s">
        <v>50</v>
      </c>
    </row>
    <row r="72" spans="1:9" ht="15" customHeight="1" x14ac:dyDescent="0.45">
      <c r="B72" s="15" t="s">
        <v>44</v>
      </c>
      <c r="C72" s="65">
        <v>10000</v>
      </c>
    </row>
    <row r="73" spans="1:9" ht="15" customHeight="1" x14ac:dyDescent="0.45">
      <c r="B73" s="15" t="s">
        <v>77</v>
      </c>
      <c r="C73" s="65">
        <v>1200</v>
      </c>
    </row>
    <row r="74" spans="1:9" ht="15" customHeight="1" x14ac:dyDescent="0.45">
      <c r="B74" s="15" t="s">
        <v>45</v>
      </c>
      <c r="C74" s="65">
        <v>3560</v>
      </c>
    </row>
    <row r="75" spans="1:9" ht="15" customHeight="1" x14ac:dyDescent="0.45">
      <c r="B75" s="15" t="s">
        <v>226</v>
      </c>
      <c r="C75" s="82">
        <f>4.5</f>
        <v>4.5</v>
      </c>
    </row>
    <row r="76" spans="1:9" ht="15" customHeight="1" x14ac:dyDescent="0.45">
      <c r="B76" s="15" t="s">
        <v>225</v>
      </c>
      <c r="C76" s="82">
        <v>1</v>
      </c>
    </row>
    <row r="77" spans="1:9" ht="15" customHeight="1" x14ac:dyDescent="0.45">
      <c r="C77" s="65"/>
    </row>
    <row r="78" spans="1:9" ht="15" customHeight="1" x14ac:dyDescent="0.45">
      <c r="B78" s="15" t="s">
        <v>43</v>
      </c>
    </row>
    <row r="79" spans="1:9" ht="15" customHeight="1" x14ac:dyDescent="0.45">
      <c r="B79" s="15" t="s">
        <v>44</v>
      </c>
      <c r="C79">
        <f>C72</f>
        <v>10000</v>
      </c>
    </row>
    <row r="80" spans="1:9" ht="15" customHeight="1" x14ac:dyDescent="0.45">
      <c r="B80" s="15" t="s">
        <v>45</v>
      </c>
      <c r="C80">
        <f>C74</f>
        <v>3560</v>
      </c>
    </row>
    <row r="81" spans="1:4" ht="15" customHeight="1" x14ac:dyDescent="0.45">
      <c r="B81" s="15" t="s">
        <v>46</v>
      </c>
      <c r="C81">
        <f>SUM(C79:C80)</f>
        <v>13560</v>
      </c>
    </row>
    <row r="83" spans="1:4" ht="15" customHeight="1" x14ac:dyDescent="0.45">
      <c r="B83" s="15" t="s">
        <v>47</v>
      </c>
    </row>
    <row r="84" spans="1:4" ht="15" customHeight="1" x14ac:dyDescent="0.45">
      <c r="B84" s="15" t="s">
        <v>48</v>
      </c>
      <c r="C84">
        <f>C75*C73</f>
        <v>5400</v>
      </c>
    </row>
    <row r="85" spans="1:4" ht="15" customHeight="1" x14ac:dyDescent="0.45">
      <c r="B85" s="15" t="s">
        <v>49</v>
      </c>
      <c r="C85">
        <f>C76*C73</f>
        <v>1200</v>
      </c>
    </row>
    <row r="86" spans="1:4" ht="15" customHeight="1" x14ac:dyDescent="0.45">
      <c r="B86" s="15" t="s">
        <v>51</v>
      </c>
      <c r="C86">
        <f>C81-SUM(C84:C85)</f>
        <v>6960</v>
      </c>
      <c r="D86" s="71"/>
    </row>
    <row r="87" spans="1:4" ht="15" customHeight="1" x14ac:dyDescent="0.45">
      <c r="B87" s="15" t="s">
        <v>52</v>
      </c>
      <c r="C87">
        <f>SUM(C84:C86)</f>
        <v>13560</v>
      </c>
    </row>
    <row r="89" spans="1:4" ht="15" customHeight="1" x14ac:dyDescent="0.45">
      <c r="A89" s="14" t="s">
        <v>152</v>
      </c>
    </row>
    <row r="90" spans="1:4" ht="15" customHeight="1" x14ac:dyDescent="0.45">
      <c r="B90" s="15" t="s">
        <v>229</v>
      </c>
    </row>
    <row r="91" spans="1:4" ht="15" customHeight="1" x14ac:dyDescent="0.45">
      <c r="B91" s="15" t="s">
        <v>230</v>
      </c>
    </row>
    <row r="92" spans="1:4" ht="15" customHeight="1" x14ac:dyDescent="0.45">
      <c r="B92" s="15" t="s">
        <v>231</v>
      </c>
    </row>
    <row r="93" spans="1:4" ht="15" customHeight="1" x14ac:dyDescent="0.45">
      <c r="B93" s="15" t="s">
        <v>227</v>
      </c>
    </row>
    <row r="94" spans="1:4" ht="15" customHeight="1" x14ac:dyDescent="0.45">
      <c r="B94" s="15" t="s">
        <v>228</v>
      </c>
    </row>
    <row r="95" spans="1:4" ht="15" customHeight="1" x14ac:dyDescent="0.45">
      <c r="B95" s="15" t="s">
        <v>232</v>
      </c>
    </row>
    <row r="96" spans="1:4" ht="15" customHeight="1" x14ac:dyDescent="0.45">
      <c r="B96" s="15" t="s">
        <v>233</v>
      </c>
    </row>
    <row r="98" spans="2:6" ht="15" customHeight="1" x14ac:dyDescent="0.45">
      <c r="B98" s="15" t="s">
        <v>159</v>
      </c>
      <c r="C98" s="15"/>
      <c r="D98" s="15" t="s">
        <v>162</v>
      </c>
      <c r="E98" s="74"/>
    </row>
    <row r="99" spans="2:6" ht="15" customHeight="1" x14ac:dyDescent="0.45">
      <c r="C99" s="15" t="s">
        <v>161</v>
      </c>
      <c r="D99" s="15" t="s">
        <v>163</v>
      </c>
      <c r="E99" s="74" t="s">
        <v>164</v>
      </c>
      <c r="F99" s="74"/>
    </row>
    <row r="100" spans="2:6" ht="15" customHeight="1" x14ac:dyDescent="0.45">
      <c r="B100" s="15" t="s">
        <v>160</v>
      </c>
      <c r="C100" s="65">
        <v>500</v>
      </c>
      <c r="D100" t="s">
        <v>128</v>
      </c>
      <c r="E100" s="76">
        <v>0.05</v>
      </c>
    </row>
    <row r="101" spans="2:6" ht="15" customHeight="1" x14ac:dyDescent="0.45">
      <c r="B101" s="15" t="s">
        <v>165</v>
      </c>
      <c r="C101" s="65">
        <v>200</v>
      </c>
      <c r="D101" t="s">
        <v>128</v>
      </c>
      <c r="E101" s="76">
        <v>0.06</v>
      </c>
    </row>
    <row r="102" spans="2:6" ht="15" customHeight="1" x14ac:dyDescent="0.45">
      <c r="B102" s="15" t="s">
        <v>49</v>
      </c>
      <c r="C102" s="65">
        <v>100</v>
      </c>
      <c r="D102" t="s">
        <v>167</v>
      </c>
      <c r="E102" s="76">
        <v>0.1</v>
      </c>
    </row>
    <row r="103" spans="2:6" ht="15" customHeight="1" x14ac:dyDescent="0.45">
      <c r="B103" s="15" t="s">
        <v>20</v>
      </c>
      <c r="C103" s="65">
        <v>300</v>
      </c>
      <c r="E103" s="76"/>
    </row>
    <row r="105" spans="2:6" ht="15" customHeight="1" x14ac:dyDescent="0.45">
      <c r="B105" s="15" t="s">
        <v>234</v>
      </c>
      <c r="C105" s="85">
        <v>0</v>
      </c>
      <c r="D105" s="85">
        <v>1</v>
      </c>
      <c r="E105" s="85">
        <f>D105+1</f>
        <v>2</v>
      </c>
      <c r="F105" s="85">
        <f>E105+1</f>
        <v>3</v>
      </c>
    </row>
    <row r="106" spans="2:6" ht="15" customHeight="1" x14ac:dyDescent="0.45">
      <c r="D106" s="85"/>
      <c r="E106" s="85"/>
      <c r="F106" s="85"/>
    </row>
    <row r="107" spans="2:6" ht="15" customHeight="1" x14ac:dyDescent="0.45">
      <c r="B107" s="15" t="s">
        <v>26</v>
      </c>
      <c r="D107" s="65">
        <v>150</v>
      </c>
      <c r="E107" s="65">
        <f t="shared" ref="E107:F110" si="0">D107*1.05</f>
        <v>157.5</v>
      </c>
      <c r="F107" s="65">
        <f t="shared" si="0"/>
        <v>165.375</v>
      </c>
    </row>
    <row r="108" spans="2:6" ht="15" customHeight="1" x14ac:dyDescent="0.45">
      <c r="B108" s="15" t="s">
        <v>170</v>
      </c>
      <c r="D108" s="65">
        <v>-25</v>
      </c>
      <c r="E108" s="65">
        <f t="shared" si="0"/>
        <v>-26.25</v>
      </c>
      <c r="F108" s="65">
        <f t="shared" si="0"/>
        <v>-27.5625</v>
      </c>
    </row>
    <row r="109" spans="2:6" ht="15" customHeight="1" x14ac:dyDescent="0.45">
      <c r="B109" s="15" t="s">
        <v>256</v>
      </c>
      <c r="D109" s="65">
        <v>-5</v>
      </c>
      <c r="E109" s="65">
        <f t="shared" si="0"/>
        <v>-5.25</v>
      </c>
      <c r="F109" s="65">
        <f t="shared" si="0"/>
        <v>-5.5125000000000002</v>
      </c>
    </row>
    <row r="110" spans="2:6" ht="15" customHeight="1" x14ac:dyDescent="0.45">
      <c r="B110" s="15" t="s">
        <v>171</v>
      </c>
      <c r="D110" s="65">
        <v>-20</v>
      </c>
      <c r="E110" s="65">
        <f t="shared" si="0"/>
        <v>-21</v>
      </c>
      <c r="F110" s="65">
        <f t="shared" si="0"/>
        <v>-22.05</v>
      </c>
    </row>
    <row r="111" spans="2:6" ht="15" customHeight="1" x14ac:dyDescent="0.45">
      <c r="B111" s="15" t="s">
        <v>168</v>
      </c>
      <c r="D111" s="86">
        <f>SUM(D107:D110)</f>
        <v>100</v>
      </c>
      <c r="E111" s="86">
        <f>SUM(E107:E110)</f>
        <v>105</v>
      </c>
      <c r="F111" s="86">
        <f>SUM(F107:F110)</f>
        <v>110.25000000000001</v>
      </c>
    </row>
    <row r="113" spans="2:6" ht="15" customHeight="1" x14ac:dyDescent="0.45">
      <c r="B113" s="15" t="s">
        <v>172</v>
      </c>
      <c r="D113">
        <f>-D127</f>
        <v>-25</v>
      </c>
      <c r="E113">
        <f>-E127</f>
        <v>-21.85</v>
      </c>
      <c r="F113">
        <f>-F127</f>
        <v>-18.2925</v>
      </c>
    </row>
    <row r="114" spans="2:6" ht="15" customHeight="1" x14ac:dyDescent="0.45">
      <c r="B114" s="15" t="s">
        <v>257</v>
      </c>
      <c r="D114">
        <f>-D133</f>
        <v>-12</v>
      </c>
      <c r="E114">
        <f>-E133</f>
        <v>-12</v>
      </c>
      <c r="F114">
        <f>-F133</f>
        <v>-12</v>
      </c>
    </row>
    <row r="115" spans="2:6" ht="15" customHeight="1" x14ac:dyDescent="0.45">
      <c r="B115" s="15" t="s">
        <v>173</v>
      </c>
      <c r="D115">
        <f>SUM(D113:D114)+D111</f>
        <v>63</v>
      </c>
      <c r="E115">
        <f>SUM(E113:E114)+E111</f>
        <v>71.150000000000006</v>
      </c>
      <c r="F115">
        <f>SUM(F113:F114)+F111</f>
        <v>79.95750000000001</v>
      </c>
    </row>
    <row r="117" spans="2:6" ht="15" customHeight="1" x14ac:dyDescent="0.45">
      <c r="B117" s="15" t="s">
        <v>174</v>
      </c>
      <c r="D117">
        <f>-MIN(D115,D124)</f>
        <v>-63</v>
      </c>
      <c r="E117">
        <f>-MIN(E115,E124)</f>
        <v>-71.150000000000006</v>
      </c>
      <c r="F117">
        <f>-MIN(F115,F124)</f>
        <v>-79.95750000000001</v>
      </c>
    </row>
    <row r="118" spans="2:6" ht="15" customHeight="1" x14ac:dyDescent="0.45">
      <c r="B118" s="15" t="s">
        <v>175</v>
      </c>
      <c r="D118">
        <f>-MIN(D117+D115,D130)</f>
        <v>0</v>
      </c>
      <c r="E118">
        <f>-MIN(E117+E115,E130)</f>
        <v>0</v>
      </c>
      <c r="F118">
        <f>-MIN(F117+F115,F130)</f>
        <v>0</v>
      </c>
    </row>
    <row r="119" spans="2:6" ht="15" customHeight="1" x14ac:dyDescent="0.45">
      <c r="B119" s="15" t="s">
        <v>176</v>
      </c>
      <c r="D119">
        <f>SUM(D117:D118)+D115</f>
        <v>0</v>
      </c>
      <c r="E119">
        <f>SUM(E117:E118)+E115</f>
        <v>0</v>
      </c>
      <c r="F119">
        <f>SUM(F117:F118)+F115</f>
        <v>0</v>
      </c>
    </row>
    <row r="121" spans="2:6" ht="15" customHeight="1" x14ac:dyDescent="0.45">
      <c r="B121" s="15" t="s">
        <v>177</v>
      </c>
      <c r="C121" s="65">
        <v>0</v>
      </c>
      <c r="D121">
        <f>C121+D119</f>
        <v>0</v>
      </c>
      <c r="E121">
        <f>D121+E119</f>
        <v>0</v>
      </c>
      <c r="F121">
        <f>E121+F119</f>
        <v>0</v>
      </c>
    </row>
    <row r="122" spans="2:6" ht="15" customHeight="1" x14ac:dyDescent="0.45">
      <c r="C122" s="65"/>
    </row>
    <row r="123" spans="2:6" ht="15" customHeight="1" x14ac:dyDescent="0.45">
      <c r="B123" s="15" t="s">
        <v>178</v>
      </c>
      <c r="C123" s="65"/>
    </row>
    <row r="124" spans="2:6" ht="15" customHeight="1" x14ac:dyDescent="0.45">
      <c r="B124" s="15" t="s">
        <v>179</v>
      </c>
      <c r="C124" s="65"/>
      <c r="D124">
        <f>C126</f>
        <v>500</v>
      </c>
      <c r="E124">
        <f>D126</f>
        <v>437</v>
      </c>
      <c r="F124">
        <f>E126</f>
        <v>365.85</v>
      </c>
    </row>
    <row r="125" spans="2:6" ht="15" customHeight="1" x14ac:dyDescent="0.45">
      <c r="B125" s="15" t="s">
        <v>180</v>
      </c>
      <c r="C125" s="65"/>
      <c r="D125">
        <f>D117</f>
        <v>-63</v>
      </c>
      <c r="E125">
        <f>E117</f>
        <v>-71.150000000000006</v>
      </c>
      <c r="F125">
        <f>F117</f>
        <v>-79.95750000000001</v>
      </c>
    </row>
    <row r="126" spans="2:6" ht="15" customHeight="1" x14ac:dyDescent="0.45">
      <c r="B126" s="15" t="s">
        <v>181</v>
      </c>
      <c r="C126">
        <f>C100</f>
        <v>500</v>
      </c>
      <c r="D126">
        <f>D125+D124</f>
        <v>437</v>
      </c>
      <c r="E126">
        <f>E125+E124</f>
        <v>365.85</v>
      </c>
      <c r="F126">
        <f>F125+F124</f>
        <v>285.89250000000004</v>
      </c>
    </row>
    <row r="127" spans="2:6" ht="15" customHeight="1" x14ac:dyDescent="0.45">
      <c r="B127" s="15" t="s">
        <v>182</v>
      </c>
      <c r="D127">
        <f>D124*$E$100</f>
        <v>25</v>
      </c>
      <c r="E127">
        <f>E124*$E$100</f>
        <v>21.85</v>
      </c>
      <c r="F127">
        <f>F124*$E$100</f>
        <v>18.2925</v>
      </c>
    </row>
    <row r="129" spans="1:6" ht="15" customHeight="1" x14ac:dyDescent="0.45">
      <c r="B129" s="15" t="s">
        <v>183</v>
      </c>
    </row>
    <row r="130" spans="1:6" ht="15" customHeight="1" x14ac:dyDescent="0.45">
      <c r="B130" s="15" t="s">
        <v>179</v>
      </c>
      <c r="D130">
        <f>C132</f>
        <v>200</v>
      </c>
      <c r="E130">
        <f>D132</f>
        <v>200</v>
      </c>
      <c r="F130">
        <f>E132</f>
        <v>200</v>
      </c>
    </row>
    <row r="131" spans="1:6" ht="15" customHeight="1" x14ac:dyDescent="0.45">
      <c r="B131" s="15" t="s">
        <v>180</v>
      </c>
      <c r="D131">
        <f>D118</f>
        <v>0</v>
      </c>
      <c r="E131">
        <f>E118</f>
        <v>0</v>
      </c>
      <c r="F131">
        <f>F118</f>
        <v>0</v>
      </c>
    </row>
    <row r="132" spans="1:6" ht="15" customHeight="1" x14ac:dyDescent="0.45">
      <c r="B132" s="15" t="s">
        <v>181</v>
      </c>
      <c r="C132">
        <f>C101</f>
        <v>200</v>
      </c>
      <c r="D132">
        <f>D131+D130</f>
        <v>200</v>
      </c>
      <c r="E132">
        <f>E131+E130</f>
        <v>200</v>
      </c>
      <c r="F132">
        <f>F131+F130</f>
        <v>200</v>
      </c>
    </row>
    <row r="133" spans="1:6" ht="15" customHeight="1" x14ac:dyDescent="0.45">
      <c r="B133" s="15" t="s">
        <v>182</v>
      </c>
      <c r="D133">
        <f>D130*$E$101</f>
        <v>12</v>
      </c>
      <c r="E133">
        <f>E130*$E$101</f>
        <v>12</v>
      </c>
      <c r="F133">
        <f>F130*$E$101</f>
        <v>12</v>
      </c>
    </row>
    <row r="135" spans="1:6" ht="15" customHeight="1" x14ac:dyDescent="0.45">
      <c r="B135" s="15" t="s">
        <v>49</v>
      </c>
    </row>
    <row r="136" spans="1:6" ht="15" customHeight="1" x14ac:dyDescent="0.45">
      <c r="B136" s="15" t="s">
        <v>179</v>
      </c>
      <c r="D136">
        <f>C138</f>
        <v>100</v>
      </c>
      <c r="E136">
        <f>D138</f>
        <v>110</v>
      </c>
      <c r="F136">
        <f>E138</f>
        <v>121</v>
      </c>
    </row>
    <row r="137" spans="1:6" ht="15" customHeight="1" x14ac:dyDescent="0.45">
      <c r="B137" s="15" t="s">
        <v>184</v>
      </c>
      <c r="D137">
        <f>D136*$E$102</f>
        <v>10</v>
      </c>
      <c r="E137">
        <f>E136*$E$102</f>
        <v>11</v>
      </c>
      <c r="F137">
        <f>F136*$E$102</f>
        <v>12.100000000000001</v>
      </c>
    </row>
    <row r="138" spans="1:6" ht="15" customHeight="1" x14ac:dyDescent="0.45">
      <c r="B138" s="15" t="s">
        <v>181</v>
      </c>
      <c r="C138">
        <f>C102</f>
        <v>100</v>
      </c>
      <c r="D138">
        <f>SUM(D136:D137)</f>
        <v>110</v>
      </c>
      <c r="E138">
        <f>SUM(E136:E137)</f>
        <v>121</v>
      </c>
      <c r="F138">
        <f>SUM(F136:F137)</f>
        <v>133.1</v>
      </c>
    </row>
    <row r="140" spans="1:6" ht="15" customHeight="1" x14ac:dyDescent="0.45">
      <c r="A140" s="14" t="s">
        <v>153</v>
      </c>
    </row>
    <row r="141" spans="1:6" ht="15" customHeight="1" x14ac:dyDescent="0.45">
      <c r="B141" s="15" t="s">
        <v>239</v>
      </c>
    </row>
    <row r="142" spans="1:6" ht="15" customHeight="1" x14ac:dyDescent="0.45">
      <c r="B142" s="15" t="s">
        <v>235</v>
      </c>
    </row>
    <row r="144" spans="1:6" ht="15" customHeight="1" x14ac:dyDescent="0.45">
      <c r="B144" s="15" t="s">
        <v>186</v>
      </c>
    </row>
    <row r="145" spans="2:8" ht="15" customHeight="1" x14ac:dyDescent="0.45">
      <c r="B145" s="15" t="s">
        <v>187</v>
      </c>
      <c r="C145" s="87" t="s">
        <v>236</v>
      </c>
    </row>
    <row r="146" spans="2:8" ht="15" customHeight="1" x14ac:dyDescent="0.45">
      <c r="B146" s="15" t="s">
        <v>206</v>
      </c>
      <c r="C146" s="87" t="s">
        <v>237</v>
      </c>
    </row>
    <row r="147" spans="2:8" ht="15" customHeight="1" x14ac:dyDescent="0.45">
      <c r="B147" s="15" t="s">
        <v>188</v>
      </c>
      <c r="C147" s="87" t="s">
        <v>238</v>
      </c>
    </row>
    <row r="149" spans="2:8" ht="15" customHeight="1" x14ac:dyDescent="0.45">
      <c r="B149" s="15" t="s">
        <v>193</v>
      </c>
      <c r="D149" s="15" t="s">
        <v>169</v>
      </c>
      <c r="E149" s="15" t="s">
        <v>189</v>
      </c>
      <c r="F149" s="15" t="s">
        <v>190</v>
      </c>
      <c r="G149" s="15" t="s">
        <v>191</v>
      </c>
      <c r="H149" s="15" t="s">
        <v>192</v>
      </c>
    </row>
    <row r="150" spans="2:8" ht="15" customHeight="1" x14ac:dyDescent="0.45">
      <c r="D150" s="15"/>
      <c r="E150" s="15"/>
      <c r="F150" s="15"/>
      <c r="G150" s="15"/>
      <c r="H150" s="15"/>
    </row>
    <row r="151" spans="2:8" ht="15" customHeight="1" x14ac:dyDescent="0.45">
      <c r="B151" s="15" t="s">
        <v>194</v>
      </c>
      <c r="D151" s="78">
        <v>1380</v>
      </c>
      <c r="E151" s="78">
        <v>1505</v>
      </c>
      <c r="F151" s="78">
        <v>1630</v>
      </c>
      <c r="G151" s="78">
        <v>1755</v>
      </c>
      <c r="H151" s="78">
        <v>1880</v>
      </c>
    </row>
    <row r="152" spans="2:8" ht="15" customHeight="1" x14ac:dyDescent="0.45">
      <c r="B152" s="15" t="s">
        <v>196</v>
      </c>
      <c r="D152" s="78">
        <v>15</v>
      </c>
      <c r="E152" s="78">
        <v>20</v>
      </c>
      <c r="F152" s="78">
        <v>0</v>
      </c>
      <c r="G152" s="78">
        <v>95</v>
      </c>
      <c r="H152" s="78">
        <v>3</v>
      </c>
    </row>
    <row r="153" spans="2:8" ht="15" customHeight="1" x14ac:dyDescent="0.45">
      <c r="B153" s="15" t="s">
        <v>160</v>
      </c>
      <c r="D153" s="78">
        <v>600</v>
      </c>
      <c r="E153" s="78">
        <v>590</v>
      </c>
      <c r="F153" s="78">
        <v>470</v>
      </c>
      <c r="G153" s="78">
        <v>300</v>
      </c>
      <c r="H153" s="78">
        <v>0</v>
      </c>
    </row>
    <row r="154" spans="2:8" ht="15" customHeight="1" x14ac:dyDescent="0.45">
      <c r="B154" s="15" t="s">
        <v>165</v>
      </c>
      <c r="D154" s="78">
        <v>150</v>
      </c>
      <c r="E154" s="78">
        <v>150</v>
      </c>
      <c r="F154" s="78">
        <v>150</v>
      </c>
      <c r="G154" s="78">
        <v>150</v>
      </c>
      <c r="H154" s="78">
        <v>150</v>
      </c>
    </row>
    <row r="155" spans="2:8" ht="15" customHeight="1" x14ac:dyDescent="0.45">
      <c r="B155" s="15" t="s">
        <v>166</v>
      </c>
      <c r="D155" s="78">
        <v>150</v>
      </c>
      <c r="E155" s="78">
        <v>150</v>
      </c>
      <c r="F155" s="78">
        <v>150</v>
      </c>
      <c r="G155" s="78">
        <v>150</v>
      </c>
      <c r="H155" s="78">
        <v>150</v>
      </c>
    </row>
    <row r="156" spans="2:8" ht="15" customHeight="1" x14ac:dyDescent="0.45">
      <c r="B156" s="15" t="s">
        <v>201</v>
      </c>
      <c r="D156" s="78">
        <v>100</v>
      </c>
      <c r="E156" s="78">
        <v>100</v>
      </c>
      <c r="F156" s="78">
        <v>100</v>
      </c>
      <c r="G156" s="78">
        <v>100</v>
      </c>
      <c r="H156" s="78">
        <v>100</v>
      </c>
    </row>
    <row r="157" spans="2:8" ht="15" customHeight="1" x14ac:dyDescent="0.45">
      <c r="B157" s="15" t="s">
        <v>195</v>
      </c>
      <c r="D157" s="78">
        <v>75</v>
      </c>
      <c r="E157" s="78">
        <v>75</v>
      </c>
      <c r="F157" s="78">
        <v>75</v>
      </c>
      <c r="G157" s="78">
        <v>75</v>
      </c>
      <c r="H157" s="78">
        <v>75</v>
      </c>
    </row>
    <row r="158" spans="2:8" ht="15" customHeight="1" x14ac:dyDescent="0.45">
      <c r="D158" s="78"/>
      <c r="E158" s="78"/>
      <c r="F158" s="78"/>
      <c r="G158" s="78"/>
      <c r="H158" s="78"/>
    </row>
    <row r="159" spans="2:8" ht="15" customHeight="1" x14ac:dyDescent="0.45">
      <c r="B159" s="15" t="s">
        <v>198</v>
      </c>
      <c r="D159" s="15" t="s">
        <v>169</v>
      </c>
      <c r="E159" s="15" t="s">
        <v>189</v>
      </c>
      <c r="F159" s="15" t="s">
        <v>190</v>
      </c>
      <c r="G159" s="15" t="s">
        <v>191</v>
      </c>
      <c r="H159" s="15" t="s">
        <v>192</v>
      </c>
    </row>
    <row r="160" spans="2:8" ht="15" customHeight="1" x14ac:dyDescent="0.45">
      <c r="B160" s="15" t="s">
        <v>26</v>
      </c>
      <c r="D160" s="78">
        <v>272.5</v>
      </c>
      <c r="E160" s="78">
        <v>271.25</v>
      </c>
      <c r="F160" s="78">
        <v>170.9</v>
      </c>
      <c r="G160" s="78">
        <v>217.5</v>
      </c>
      <c r="H160" s="78">
        <v>275.60000000000002</v>
      </c>
    </row>
    <row r="161" spans="2:8" ht="15" customHeight="1" x14ac:dyDescent="0.45">
      <c r="B161" s="15" t="s">
        <v>205</v>
      </c>
      <c r="D161" s="78">
        <v>0.75</v>
      </c>
      <c r="E161" s="78">
        <v>1</v>
      </c>
      <c r="F161" s="78">
        <v>0</v>
      </c>
      <c r="G161" s="78">
        <v>6.1749999999999998</v>
      </c>
      <c r="H161" s="78">
        <v>0.19500000000000001</v>
      </c>
    </row>
    <row r="162" spans="2:8" ht="15" customHeight="1" x14ac:dyDescent="0.45">
      <c r="B162" s="15" t="s">
        <v>199</v>
      </c>
      <c r="D162" s="78">
        <v>30</v>
      </c>
      <c r="E162" s="78">
        <v>29.5</v>
      </c>
      <c r="F162" s="78">
        <v>23.5</v>
      </c>
      <c r="G162" s="78">
        <v>19.5</v>
      </c>
      <c r="H162" s="78">
        <v>0</v>
      </c>
    </row>
    <row r="163" spans="2:8" ht="15" customHeight="1" x14ac:dyDescent="0.45">
      <c r="B163" s="15" t="s">
        <v>200</v>
      </c>
      <c r="D163" s="78">
        <v>9</v>
      </c>
      <c r="E163" s="78">
        <v>9</v>
      </c>
      <c r="F163" s="78">
        <v>9</v>
      </c>
      <c r="G163" s="78">
        <v>11.25</v>
      </c>
      <c r="H163" s="78">
        <v>11.25</v>
      </c>
    </row>
    <row r="164" spans="2:8" ht="15" customHeight="1" x14ac:dyDescent="0.45">
      <c r="B164" s="15" t="s">
        <v>202</v>
      </c>
      <c r="D164" s="78">
        <v>10.500000000000002</v>
      </c>
      <c r="E164" s="78">
        <v>10.500000000000002</v>
      </c>
      <c r="F164" s="78">
        <v>10.500000000000002</v>
      </c>
      <c r="G164" s="78">
        <v>12.750000000000002</v>
      </c>
      <c r="H164" s="78">
        <v>12.750000000000002</v>
      </c>
    </row>
    <row r="165" spans="2:8" ht="15" customHeight="1" x14ac:dyDescent="0.45">
      <c r="B165" s="15" t="s">
        <v>203</v>
      </c>
      <c r="D165" s="78">
        <v>10</v>
      </c>
      <c r="E165" s="78">
        <v>10</v>
      </c>
      <c r="F165" s="78">
        <v>10</v>
      </c>
      <c r="G165" s="78">
        <v>10</v>
      </c>
      <c r="H165" s="78">
        <v>10</v>
      </c>
    </row>
    <row r="166" spans="2:8" ht="15" customHeight="1" x14ac:dyDescent="0.45">
      <c r="B166" s="15" t="s">
        <v>204</v>
      </c>
      <c r="D166" s="78">
        <v>7.5</v>
      </c>
      <c r="E166" s="78">
        <v>7.5</v>
      </c>
      <c r="F166" s="78">
        <v>7.5</v>
      </c>
      <c r="G166" s="78">
        <v>7.5</v>
      </c>
      <c r="H166" s="78">
        <v>7.5</v>
      </c>
    </row>
    <row r="167" spans="2:8" ht="15" customHeight="1" x14ac:dyDescent="0.45">
      <c r="D167" s="78"/>
      <c r="E167" s="78"/>
      <c r="F167" s="78"/>
      <c r="G167" s="78"/>
      <c r="H167" s="78"/>
    </row>
    <row r="168" spans="2:8" ht="15" customHeight="1" x14ac:dyDescent="0.45">
      <c r="B168" s="15" t="s">
        <v>194</v>
      </c>
      <c r="D168">
        <f>D151</f>
        <v>1380</v>
      </c>
      <c r="E168">
        <f>E151</f>
        <v>1505</v>
      </c>
      <c r="F168">
        <f>F151</f>
        <v>1630</v>
      </c>
      <c r="G168">
        <f>G151</f>
        <v>1755</v>
      </c>
      <c r="H168">
        <f>H151</f>
        <v>1880</v>
      </c>
    </row>
    <row r="169" spans="2:8" ht="15" customHeight="1" x14ac:dyDescent="0.45">
      <c r="B169" s="15" t="s">
        <v>197</v>
      </c>
      <c r="D169">
        <f>SUM(D152:D157)</f>
        <v>1090</v>
      </c>
      <c r="E169">
        <f>SUM(E152:E157)</f>
        <v>1085</v>
      </c>
      <c r="F169">
        <f>SUM(F152:F157)</f>
        <v>945</v>
      </c>
      <c r="G169">
        <f>SUM(G152:G157)</f>
        <v>870</v>
      </c>
      <c r="H169">
        <f>SUM(H152:H157)</f>
        <v>478</v>
      </c>
    </row>
    <row r="170" spans="2:8" ht="15" customHeight="1" x14ac:dyDescent="0.45">
      <c r="B170" s="15" t="s">
        <v>188</v>
      </c>
      <c r="D170" s="64">
        <f>D151/D169</f>
        <v>1.2660550458715596</v>
      </c>
      <c r="E170" s="64">
        <f>E151/E169</f>
        <v>1.3870967741935485</v>
      </c>
      <c r="F170" s="64">
        <f>F151/F169</f>
        <v>1.7248677248677249</v>
      </c>
      <c r="G170" s="64">
        <f>G151/G169</f>
        <v>2.0172413793103448</v>
      </c>
      <c r="H170" s="64">
        <f>H151/H169</f>
        <v>3.9330543933054392</v>
      </c>
    </row>
    <row r="172" spans="2:8" ht="15" customHeight="1" x14ac:dyDescent="0.45">
      <c r="B172" s="15" t="s">
        <v>197</v>
      </c>
      <c r="D172">
        <f>D169</f>
        <v>1090</v>
      </c>
      <c r="E172">
        <f>E169</f>
        <v>1085</v>
      </c>
      <c r="F172">
        <f>F169</f>
        <v>945</v>
      </c>
      <c r="G172">
        <f>G169</f>
        <v>870</v>
      </c>
      <c r="H172">
        <f>H169</f>
        <v>478</v>
      </c>
    </row>
    <row r="173" spans="2:8" ht="15" customHeight="1" x14ac:dyDescent="0.45">
      <c r="B173" s="15" t="s">
        <v>26</v>
      </c>
      <c r="D173">
        <f>D160</f>
        <v>272.5</v>
      </c>
      <c r="E173">
        <f>E160</f>
        <v>271.25</v>
      </c>
      <c r="F173">
        <f>F160</f>
        <v>170.9</v>
      </c>
      <c r="G173">
        <f>G160</f>
        <v>217.5</v>
      </c>
      <c r="H173">
        <f>H160</f>
        <v>275.60000000000002</v>
      </c>
    </row>
    <row r="174" spans="2:8" ht="15" customHeight="1" x14ac:dyDescent="0.45">
      <c r="B174" s="15" t="s">
        <v>207</v>
      </c>
      <c r="D174">
        <f>D172/D173</f>
        <v>4</v>
      </c>
      <c r="E174">
        <f>E172/E173</f>
        <v>4</v>
      </c>
      <c r="F174" s="88">
        <f>F172/F173</f>
        <v>5.5295494441193682</v>
      </c>
      <c r="G174">
        <f>G172/G173</f>
        <v>4</v>
      </c>
      <c r="H174">
        <f>H172/H173</f>
        <v>1.7343976777939041</v>
      </c>
    </row>
    <row r="176" spans="2:8" ht="15" customHeight="1" x14ac:dyDescent="0.45">
      <c r="B176" s="15" t="s">
        <v>26</v>
      </c>
      <c r="D176">
        <f>D173</f>
        <v>272.5</v>
      </c>
      <c r="E176">
        <f>E173</f>
        <v>271.25</v>
      </c>
      <c r="F176">
        <f>F173</f>
        <v>170.9</v>
      </c>
      <c r="G176">
        <f>G173</f>
        <v>217.5</v>
      </c>
      <c r="H176">
        <f>H173</f>
        <v>275.60000000000002</v>
      </c>
    </row>
    <row r="177" spans="1:14" ht="15" customHeight="1" x14ac:dyDescent="0.45">
      <c r="B177" s="15" t="s">
        <v>208</v>
      </c>
      <c r="D177">
        <f>SUM(D161:D164,D166)</f>
        <v>57.75</v>
      </c>
      <c r="E177">
        <f>SUM(E161:E164,E166)</f>
        <v>57.5</v>
      </c>
      <c r="F177">
        <f>SUM(F161:F164,F166)</f>
        <v>50.5</v>
      </c>
      <c r="G177">
        <f>SUM(G161:G164,G166)</f>
        <v>57.174999999999997</v>
      </c>
      <c r="H177">
        <f>SUM(H161:H164,H166)</f>
        <v>31.695</v>
      </c>
    </row>
    <row r="178" spans="1:14" ht="15" customHeight="1" x14ac:dyDescent="0.45">
      <c r="B178" s="15" t="s">
        <v>209</v>
      </c>
      <c r="D178">
        <f>D176/D177</f>
        <v>4.7186147186147185</v>
      </c>
      <c r="E178">
        <f>E176/E177</f>
        <v>4.7173913043478262</v>
      </c>
      <c r="F178" s="88">
        <f>F176/F177</f>
        <v>3.3841584158415841</v>
      </c>
      <c r="G178">
        <f>G176/G177</f>
        <v>3.8041101880192394</v>
      </c>
      <c r="H178">
        <f>H176/H177</f>
        <v>8.6953778198454028</v>
      </c>
    </row>
    <row r="179" spans="1:14" ht="15" customHeight="1" x14ac:dyDescent="0.45">
      <c r="F179" s="31"/>
      <c r="G179" s="31"/>
    </row>
    <row r="180" spans="1:14" ht="15" customHeight="1" x14ac:dyDescent="0.45">
      <c r="B180" s="15" t="s">
        <v>240</v>
      </c>
      <c r="F180" s="31"/>
      <c r="L180" s="81" t="s">
        <v>241</v>
      </c>
      <c r="M180" s="81"/>
      <c r="N180" s="81"/>
    </row>
    <row r="182" spans="1:14" ht="15" customHeight="1" x14ac:dyDescent="0.45">
      <c r="A182" s="14" t="s">
        <v>154</v>
      </c>
    </row>
    <row r="183" spans="1:14" ht="15" customHeight="1" x14ac:dyDescent="0.45">
      <c r="B183" s="15" t="s">
        <v>53</v>
      </c>
    </row>
    <row r="184" spans="1:14" ht="15" customHeight="1" x14ac:dyDescent="0.45">
      <c r="B184" s="15" t="s">
        <v>210</v>
      </c>
    </row>
    <row r="186" spans="1:14" ht="15" customHeight="1" x14ac:dyDescent="0.45">
      <c r="B186" s="15" t="s">
        <v>54</v>
      </c>
      <c r="C186" s="72">
        <v>15</v>
      </c>
    </row>
    <row r="187" spans="1:14" ht="15" customHeight="1" x14ac:dyDescent="0.45">
      <c r="B187" s="15" t="s">
        <v>55</v>
      </c>
      <c r="C187" s="66">
        <v>0.2</v>
      </c>
    </row>
    <row r="188" spans="1:14" ht="15" customHeight="1" x14ac:dyDescent="0.45">
      <c r="B188" s="15" t="s">
        <v>56</v>
      </c>
      <c r="C188" s="72">
        <v>570</v>
      </c>
    </row>
    <row r="189" spans="1:14" ht="15" customHeight="1" x14ac:dyDescent="0.45">
      <c r="B189" s="15" t="s">
        <v>57</v>
      </c>
      <c r="C189" s="72">
        <v>100</v>
      </c>
    </row>
    <row r="190" spans="1:14" ht="15" customHeight="1" x14ac:dyDescent="0.45">
      <c r="B190" s="15" t="s">
        <v>58</v>
      </c>
      <c r="C190" s="72">
        <v>16.5</v>
      </c>
    </row>
    <row r="191" spans="1:14" ht="15" customHeight="1" x14ac:dyDescent="0.45">
      <c r="B191" s="15" t="s">
        <v>62</v>
      </c>
      <c r="C191" s="72">
        <v>2489</v>
      </c>
    </row>
    <row r="193" spans="1:3" ht="15" customHeight="1" x14ac:dyDescent="0.45">
      <c r="B193" s="15" t="s">
        <v>59</v>
      </c>
      <c r="C193" s="73">
        <f>C186*(1+C187)</f>
        <v>18</v>
      </c>
    </row>
    <row r="194" spans="1:3" ht="15" customHeight="1" x14ac:dyDescent="0.45">
      <c r="B194" s="15" t="s">
        <v>60</v>
      </c>
      <c r="C194">
        <f>MAX((C193-C190)/C193*C189,0)</f>
        <v>8.3333333333333321</v>
      </c>
    </row>
    <row r="195" spans="1:3" ht="15" customHeight="1" x14ac:dyDescent="0.45">
      <c r="B195" s="15" t="s">
        <v>61</v>
      </c>
      <c r="C195">
        <f>C194+C188</f>
        <v>578.33333333333337</v>
      </c>
    </row>
    <row r="196" spans="1:3" ht="15" customHeight="1" x14ac:dyDescent="0.45">
      <c r="B196" s="15" t="s">
        <v>44</v>
      </c>
      <c r="C196">
        <f>C195*C193</f>
        <v>10410</v>
      </c>
    </row>
    <row r="197" spans="1:3" ht="15" customHeight="1" x14ac:dyDescent="0.45">
      <c r="B197" s="15" t="s">
        <v>63</v>
      </c>
      <c r="C197">
        <f>C196+C191</f>
        <v>12899</v>
      </c>
    </row>
    <row r="199" spans="1:3" ht="15" customHeight="1" x14ac:dyDescent="0.45">
      <c r="A199" s="14" t="s">
        <v>155</v>
      </c>
    </row>
    <row r="200" spans="1:3" ht="15" customHeight="1" x14ac:dyDescent="0.45">
      <c r="B200" s="15" t="s">
        <v>211</v>
      </c>
    </row>
    <row r="201" spans="1:3" ht="15" customHeight="1" x14ac:dyDescent="0.45">
      <c r="B201" s="15" t="s">
        <v>65</v>
      </c>
    </row>
    <row r="203" spans="1:3" ht="15" customHeight="1" x14ac:dyDescent="0.45">
      <c r="B203" s="15" t="s">
        <v>242</v>
      </c>
      <c r="C203" s="65">
        <v>63.184525000000001</v>
      </c>
    </row>
    <row r="204" spans="1:3" ht="15" customHeight="1" x14ac:dyDescent="0.45">
      <c r="B204" s="15" t="s">
        <v>66</v>
      </c>
      <c r="C204" s="72">
        <v>11.95</v>
      </c>
    </row>
    <row r="205" spans="1:3" ht="15" customHeight="1" x14ac:dyDescent="0.45">
      <c r="B205" s="15" t="s">
        <v>55</v>
      </c>
      <c r="C205" s="76">
        <v>0.2</v>
      </c>
    </row>
    <row r="206" spans="1:3" ht="15" customHeight="1" x14ac:dyDescent="0.45">
      <c r="B206" s="15" t="s">
        <v>84</v>
      </c>
      <c r="C206" s="65">
        <v>50.784999999999997</v>
      </c>
    </row>
    <row r="207" spans="1:3" ht="15" customHeight="1" x14ac:dyDescent="0.45">
      <c r="B207" s="15" t="s">
        <v>85</v>
      </c>
      <c r="C207" s="65">
        <v>73.75</v>
      </c>
    </row>
    <row r="208" spans="1:3" ht="15" customHeight="1" x14ac:dyDescent="0.45">
      <c r="B208" s="15" t="s">
        <v>86</v>
      </c>
      <c r="C208" s="65">
        <v>11.872</v>
      </c>
    </row>
    <row r="210" spans="2:5" ht="15" customHeight="1" x14ac:dyDescent="0.45">
      <c r="B210" s="15" t="s">
        <v>83</v>
      </c>
    </row>
    <row r="222" spans="2:5" ht="15" customHeight="1" x14ac:dyDescent="0.45">
      <c r="B222" s="15" t="s">
        <v>59</v>
      </c>
      <c r="C222" s="73">
        <f>C204*(1+C205)</f>
        <v>14.339999999999998</v>
      </c>
    </row>
    <row r="224" spans="2:5" ht="15" customHeight="1" x14ac:dyDescent="0.45">
      <c r="B224" s="15" t="s">
        <v>67</v>
      </c>
      <c r="C224" s="15" t="s">
        <v>69</v>
      </c>
      <c r="D224" s="15" t="s">
        <v>70</v>
      </c>
      <c r="E224" s="74" t="s">
        <v>71</v>
      </c>
    </row>
    <row r="225" spans="1:20" ht="15" customHeight="1" x14ac:dyDescent="0.45">
      <c r="B225" s="15" t="s">
        <v>68</v>
      </c>
      <c r="C225" s="75">
        <v>0.86960000000000004</v>
      </c>
      <c r="D225" s="72">
        <v>2.65</v>
      </c>
      <c r="E225" s="77">
        <f>MAX(($C$222-D225)/$C$222*C225,0)</f>
        <v>0.70889986052998599</v>
      </c>
    </row>
    <row r="226" spans="1:20" ht="15" customHeight="1" x14ac:dyDescent="0.45">
      <c r="B226" s="15" t="s">
        <v>72</v>
      </c>
      <c r="C226" s="75">
        <v>0.95279999999999998</v>
      </c>
      <c r="D226" s="72">
        <v>7.14</v>
      </c>
      <c r="E226" s="77">
        <f t="shared" ref="E226:E227" si="1">MAX(($C$222-D226)/$C$222*C226,0)</f>
        <v>0.47839330543933051</v>
      </c>
    </row>
    <row r="227" spans="1:20" ht="15" customHeight="1" x14ac:dyDescent="0.45">
      <c r="B227" s="15" t="s">
        <v>73</v>
      </c>
      <c r="C227" s="75">
        <v>0.27329999999999999</v>
      </c>
      <c r="D227" s="72">
        <v>18.579999999999998</v>
      </c>
      <c r="E227" s="77">
        <f t="shared" si="1"/>
        <v>0</v>
      </c>
    </row>
    <row r="228" spans="1:20" ht="15" customHeight="1" x14ac:dyDescent="0.45">
      <c r="B228" s="15" t="s">
        <v>74</v>
      </c>
      <c r="E228" s="77">
        <f>SUM(E225:E227)</f>
        <v>1.1872931659693164</v>
      </c>
    </row>
    <row r="230" spans="1:20" ht="15" customHeight="1" x14ac:dyDescent="0.45">
      <c r="B230" s="15" t="s">
        <v>61</v>
      </c>
      <c r="C230">
        <f>E228+C203</f>
        <v>64.371818165969316</v>
      </c>
    </row>
    <row r="231" spans="1:20" ht="15" customHeight="1" x14ac:dyDescent="0.45">
      <c r="B231" s="15" t="s">
        <v>44</v>
      </c>
      <c r="C231">
        <f>C230*C222</f>
        <v>923.09187249999991</v>
      </c>
    </row>
    <row r="232" spans="1:20" ht="15" customHeight="1" x14ac:dyDescent="0.45">
      <c r="B232" s="15" t="s">
        <v>62</v>
      </c>
      <c r="C232">
        <f>C208+C207-C206</f>
        <v>34.837000000000003</v>
      </c>
    </row>
    <row r="233" spans="1:20" ht="15" customHeight="1" x14ac:dyDescent="0.45">
      <c r="B233" s="15" t="s">
        <v>63</v>
      </c>
      <c r="C233">
        <f>C232+C231</f>
        <v>957.9288724999999</v>
      </c>
      <c r="G233" s="31"/>
    </row>
    <row r="235" spans="1:20" ht="15" customHeight="1" x14ac:dyDescent="0.45">
      <c r="A235" s="14" t="s">
        <v>156</v>
      </c>
    </row>
    <row r="236" spans="1:20" ht="15" customHeight="1" x14ac:dyDescent="0.45">
      <c r="B236" s="15" t="s">
        <v>244</v>
      </c>
      <c r="I236" s="31"/>
    </row>
    <row r="237" spans="1:20" ht="15" customHeight="1" x14ac:dyDescent="0.45">
      <c r="B237" s="15" t="s">
        <v>245</v>
      </c>
    </row>
    <row r="238" spans="1:20" ht="15" customHeight="1" x14ac:dyDescent="0.45">
      <c r="B238" s="15" t="s">
        <v>246</v>
      </c>
    </row>
    <row r="239" spans="1:20" ht="15" customHeight="1" x14ac:dyDescent="0.45">
      <c r="B239" s="15" t="s">
        <v>243</v>
      </c>
      <c r="J239" s="81" t="s">
        <v>87</v>
      </c>
      <c r="K239" s="81"/>
      <c r="L239" s="81"/>
      <c r="M239" s="81"/>
      <c r="N239" s="81"/>
      <c r="O239" s="81"/>
      <c r="P239" s="81"/>
      <c r="Q239" s="81"/>
      <c r="R239" s="81"/>
      <c r="S239" s="81"/>
      <c r="T239" s="81"/>
    </row>
    <row r="240" spans="1:20" ht="15" customHeight="1" x14ac:dyDescent="0.45">
      <c r="J240" s="81" t="s">
        <v>88</v>
      </c>
      <c r="K240" s="81"/>
      <c r="L240" s="81"/>
      <c r="M240" s="81"/>
      <c r="N240" s="81"/>
      <c r="O240" s="81"/>
      <c r="P240" s="81"/>
      <c r="Q240" s="81"/>
      <c r="R240" s="81"/>
      <c r="S240" s="81"/>
      <c r="T240" s="81"/>
    </row>
    <row r="241" spans="2:10" ht="15" customHeight="1" x14ac:dyDescent="0.45">
      <c r="B241" s="15" t="s">
        <v>253</v>
      </c>
      <c r="J241" s="81" t="s">
        <v>214</v>
      </c>
    </row>
    <row r="242" spans="2:10" ht="15" customHeight="1" x14ac:dyDescent="0.45">
      <c r="J242" s="81" t="s">
        <v>89</v>
      </c>
    </row>
    <row r="243" spans="2:10" ht="15" customHeight="1" x14ac:dyDescent="0.45">
      <c r="J243" s="81" t="s">
        <v>90</v>
      </c>
    </row>
    <row r="261" spans="2:5" ht="15" customHeight="1" x14ac:dyDescent="0.45">
      <c r="B261" s="15" t="s">
        <v>75</v>
      </c>
      <c r="C261" s="78">
        <v>52.097999999999999</v>
      </c>
    </row>
    <row r="262" spans="2:5" ht="15" customHeight="1" x14ac:dyDescent="0.45">
      <c r="B262" s="15" t="s">
        <v>76</v>
      </c>
      <c r="C262" s="78">
        <v>4.7229999999999999</v>
      </c>
    </row>
    <row r="263" spans="2:5" ht="15" customHeight="1" x14ac:dyDescent="0.45">
      <c r="B263" s="15" t="s">
        <v>133</v>
      </c>
      <c r="C263" s="78">
        <v>16.199000000000002</v>
      </c>
    </row>
    <row r="264" spans="2:5" ht="15" customHeight="1" x14ac:dyDescent="0.45">
      <c r="B264" s="15" t="s">
        <v>77</v>
      </c>
      <c r="C264" s="79">
        <f>SUM(C261:C263)</f>
        <v>73.02</v>
      </c>
    </row>
    <row r="266" spans="2:5" ht="15" customHeight="1" x14ac:dyDescent="0.45">
      <c r="B266" s="15" t="s">
        <v>215</v>
      </c>
      <c r="C266" s="80">
        <v>7</v>
      </c>
    </row>
    <row r="267" spans="2:5" ht="15" customHeight="1" x14ac:dyDescent="0.45">
      <c r="B267" s="15" t="s">
        <v>78</v>
      </c>
      <c r="C267">
        <f>C266*C264</f>
        <v>511.14</v>
      </c>
    </row>
    <row r="269" spans="2:5" ht="15" customHeight="1" x14ac:dyDescent="0.45">
      <c r="B269" s="15" t="s">
        <v>43</v>
      </c>
    </row>
    <row r="270" spans="2:5" ht="15" customHeight="1" x14ac:dyDescent="0.45">
      <c r="B270" s="15" t="str">
        <f>B231</f>
        <v>Equity purchase price</v>
      </c>
      <c r="C270">
        <f>C231</f>
        <v>923.09187249999991</v>
      </c>
    </row>
    <row r="271" spans="2:5" ht="15" customHeight="1" x14ac:dyDescent="0.45">
      <c r="B271" s="15" t="s">
        <v>45</v>
      </c>
      <c r="C271">
        <f>C232</f>
        <v>34.837000000000003</v>
      </c>
      <c r="E271" s="31"/>
    </row>
    <row r="272" spans="2:5" ht="15" customHeight="1" x14ac:dyDescent="0.45">
      <c r="B272" s="15" t="s">
        <v>46</v>
      </c>
      <c r="C272">
        <f>SUM(C270:C271)</f>
        <v>957.9288724999999</v>
      </c>
    </row>
    <row r="274" spans="1:3" ht="15" customHeight="1" x14ac:dyDescent="0.45">
      <c r="B274" s="15" t="s">
        <v>47</v>
      </c>
    </row>
    <row r="275" spans="1:3" ht="15" customHeight="1" x14ac:dyDescent="0.45">
      <c r="B275" s="15" t="str">
        <f>B267</f>
        <v>Debt financing available</v>
      </c>
      <c r="C275">
        <f>C267</f>
        <v>511.14</v>
      </c>
    </row>
    <row r="276" spans="1:3" ht="15" customHeight="1" x14ac:dyDescent="0.45">
      <c r="B276" s="15" t="s">
        <v>79</v>
      </c>
      <c r="C276">
        <f>C272-C275</f>
        <v>446.78887249999991</v>
      </c>
    </row>
    <row r="277" spans="1:3" ht="15" customHeight="1" x14ac:dyDescent="0.45">
      <c r="B277" s="15" t="s">
        <v>52</v>
      </c>
      <c r="C277">
        <f>SUM(C275:C276)</f>
        <v>957.9288724999999</v>
      </c>
    </row>
    <row r="278" spans="1:3" ht="15" customHeight="1" x14ac:dyDescent="0.45">
      <c r="B278" s="15" t="s">
        <v>80</v>
      </c>
      <c r="C278" s="64">
        <f>C276/C277</f>
        <v>0.46641132272584251</v>
      </c>
    </row>
    <row r="280" spans="1:3" ht="15" customHeight="1" x14ac:dyDescent="0.45">
      <c r="A280" s="14" t="s">
        <v>157</v>
      </c>
    </row>
    <row r="281" spans="1:3" ht="15" customHeight="1" x14ac:dyDescent="0.45">
      <c r="B281" s="15" t="s">
        <v>254</v>
      </c>
    </row>
    <row r="282" spans="1:3" ht="15" customHeight="1" x14ac:dyDescent="0.45">
      <c r="B282" s="15" t="s">
        <v>255</v>
      </c>
    </row>
    <row r="284" spans="1:3" ht="15" customHeight="1" x14ac:dyDescent="0.45">
      <c r="B284" s="15" t="s">
        <v>63</v>
      </c>
      <c r="C284" s="65">
        <v>957.9288724999999</v>
      </c>
    </row>
    <row r="285" spans="1:3" ht="15" customHeight="1" x14ac:dyDescent="0.45">
      <c r="B285" s="15" t="s">
        <v>78</v>
      </c>
      <c r="C285" s="65">
        <v>511.14</v>
      </c>
    </row>
    <row r="286" spans="1:3" ht="15" customHeight="1" x14ac:dyDescent="0.45">
      <c r="B286" s="15" t="s">
        <v>44</v>
      </c>
      <c r="C286" s="65">
        <v>923.09187249999991</v>
      </c>
    </row>
    <row r="287" spans="1:3" ht="15" customHeight="1" x14ac:dyDescent="0.45">
      <c r="B287" s="15" t="s">
        <v>62</v>
      </c>
      <c r="C287" s="65">
        <v>34.837000000000003</v>
      </c>
    </row>
    <row r="289" spans="2:3" ht="15" customHeight="1" x14ac:dyDescent="0.45">
      <c r="B289" s="15" t="s">
        <v>81</v>
      </c>
      <c r="C289" s="66">
        <v>1.4999999999999999E-2</v>
      </c>
    </row>
    <row r="290" spans="2:3" ht="15" customHeight="1" x14ac:dyDescent="0.45">
      <c r="B290" s="15" t="s">
        <v>63</v>
      </c>
      <c r="C290">
        <f>C284</f>
        <v>957.9288724999999</v>
      </c>
    </row>
    <row r="291" spans="2:3" ht="15" customHeight="1" x14ac:dyDescent="0.45">
      <c r="B291" s="15" t="s">
        <v>81</v>
      </c>
      <c r="C291">
        <f>C290*C289</f>
        <v>14.368933087499999</v>
      </c>
    </row>
    <row r="293" spans="2:3" ht="15" customHeight="1" x14ac:dyDescent="0.45">
      <c r="B293" s="15" t="s">
        <v>82</v>
      </c>
      <c r="C293" s="66">
        <v>0.02</v>
      </c>
    </row>
    <row r="294" spans="2:3" ht="15" customHeight="1" x14ac:dyDescent="0.45">
      <c r="B294" s="15" t="str">
        <f>B267</f>
        <v>Debt financing available</v>
      </c>
      <c r="C294">
        <f>C285</f>
        <v>511.14</v>
      </c>
    </row>
    <row r="295" spans="2:3" ht="15" customHeight="1" x14ac:dyDescent="0.45">
      <c r="B295" s="15" t="s">
        <v>82</v>
      </c>
      <c r="C295">
        <f>C294*C293</f>
        <v>10.222799999999999</v>
      </c>
    </row>
    <row r="297" spans="2:3" ht="15" customHeight="1" x14ac:dyDescent="0.45">
      <c r="B297" s="15" t="s">
        <v>43</v>
      </c>
    </row>
    <row r="298" spans="2:3" ht="15" customHeight="1" x14ac:dyDescent="0.45">
      <c r="B298" s="15" t="str">
        <f>B231</f>
        <v>Equity purchase price</v>
      </c>
      <c r="C298">
        <f>C286</f>
        <v>923.09187249999991</v>
      </c>
    </row>
    <row r="299" spans="2:3" ht="15" customHeight="1" x14ac:dyDescent="0.45">
      <c r="B299" s="15" t="str">
        <f>B232</f>
        <v>Net debt</v>
      </c>
      <c r="C299">
        <f>C287</f>
        <v>34.837000000000003</v>
      </c>
    </row>
    <row r="300" spans="2:3" ht="15" customHeight="1" x14ac:dyDescent="0.45">
      <c r="B300" s="15" t="str">
        <f>B291</f>
        <v>Advisory fees</v>
      </c>
      <c r="C300">
        <f>C291</f>
        <v>14.368933087499999</v>
      </c>
    </row>
    <row r="301" spans="2:3" ht="15" customHeight="1" x14ac:dyDescent="0.45">
      <c r="B301" s="15" t="str">
        <f>B295</f>
        <v>Debt issuance fees</v>
      </c>
      <c r="C301">
        <f>C295</f>
        <v>10.222799999999999</v>
      </c>
    </row>
    <row r="302" spans="2:3" ht="15" customHeight="1" x14ac:dyDescent="0.45">
      <c r="B302" s="15" t="s">
        <v>46</v>
      </c>
      <c r="C302" s="79">
        <f>SUM(C298:C301)</f>
        <v>982.52060558749986</v>
      </c>
    </row>
    <row r="304" spans="2:3" ht="15" customHeight="1" x14ac:dyDescent="0.45">
      <c r="B304" s="15" t="s">
        <v>47</v>
      </c>
    </row>
    <row r="305" spans="1:7" ht="15" customHeight="1" x14ac:dyDescent="0.45">
      <c r="B305" s="15" t="str">
        <f>B294</f>
        <v>Debt financing available</v>
      </c>
      <c r="C305">
        <f>C294</f>
        <v>511.14</v>
      </c>
    </row>
    <row r="306" spans="1:7" ht="15" customHeight="1" x14ac:dyDescent="0.45">
      <c r="B306" s="15" t="s">
        <v>51</v>
      </c>
      <c r="C306">
        <f>C302-C305</f>
        <v>471.38060558749987</v>
      </c>
    </row>
    <row r="307" spans="1:7" ht="15" customHeight="1" x14ac:dyDescent="0.45">
      <c r="B307" s="15" t="s">
        <v>52</v>
      </c>
      <c r="C307">
        <f>SUM(C305:C306)</f>
        <v>982.52060558749986</v>
      </c>
    </row>
    <row r="308" spans="1:7" ht="15" customHeight="1" x14ac:dyDescent="0.45">
      <c r="B308" s="15" t="s">
        <v>80</v>
      </c>
      <c r="C308" s="64">
        <f>C306/C307</f>
        <v>0.47976663584132878</v>
      </c>
    </row>
    <row r="310" spans="1:7" ht="15" customHeight="1" x14ac:dyDescent="0.45">
      <c r="A310" s="14" t="s">
        <v>158</v>
      </c>
    </row>
    <row r="311" spans="1:7" ht="15" customHeight="1" x14ac:dyDescent="0.45">
      <c r="B311" s="15" t="s">
        <v>216</v>
      </c>
    </row>
    <row r="312" spans="1:7" ht="15" customHeight="1" x14ac:dyDescent="0.45">
      <c r="B312" s="15" t="s">
        <v>248</v>
      </c>
    </row>
    <row r="314" spans="1:7" ht="15" customHeight="1" x14ac:dyDescent="0.45">
      <c r="C314" s="15" t="s">
        <v>22</v>
      </c>
      <c r="D314" s="15" t="s">
        <v>116</v>
      </c>
      <c r="E314" s="15" t="s">
        <v>117</v>
      </c>
      <c r="F314" s="15" t="s">
        <v>118</v>
      </c>
      <c r="G314" s="15" t="s">
        <v>149</v>
      </c>
    </row>
    <row r="315" spans="1:7" ht="15" customHeight="1" x14ac:dyDescent="0.45">
      <c r="B315" s="15" t="s">
        <v>114</v>
      </c>
      <c r="C315" s="72">
        <v>20.100000000000001</v>
      </c>
    </row>
    <row r="316" spans="1:7" ht="15" customHeight="1" x14ac:dyDescent="0.45">
      <c r="B316" s="15" t="s">
        <v>115</v>
      </c>
      <c r="C316" s="65">
        <v>1000</v>
      </c>
    </row>
    <row r="317" spans="1:7" ht="15" customHeight="1" x14ac:dyDescent="0.45">
      <c r="B317" s="15" t="s">
        <v>217</v>
      </c>
      <c r="C317" s="65">
        <v>900</v>
      </c>
      <c r="G317" s="71"/>
    </row>
    <row r="318" spans="1:7" ht="15" customHeight="1" x14ac:dyDescent="0.45">
      <c r="B318" s="15" t="s">
        <v>26</v>
      </c>
      <c r="C318" s="65">
        <v>2000</v>
      </c>
      <c r="D318" s="65">
        <v>3000</v>
      </c>
      <c r="E318" s="65">
        <v>3000</v>
      </c>
      <c r="F318" s="65">
        <v>3000</v>
      </c>
      <c r="G318" s="65">
        <v>2000</v>
      </c>
    </row>
    <row r="319" spans="1:7" ht="15" customHeight="1" x14ac:dyDescent="0.45">
      <c r="B319" s="15" t="s">
        <v>78</v>
      </c>
      <c r="C319" s="65">
        <v>14000</v>
      </c>
      <c r="D319" s="71"/>
      <c r="E319" s="65"/>
      <c r="F319" s="65"/>
      <c r="G319" s="65"/>
    </row>
    <row r="320" spans="1:7" ht="15" customHeight="1" x14ac:dyDescent="0.45">
      <c r="B320" s="15" t="s">
        <v>119</v>
      </c>
      <c r="C320" s="65"/>
      <c r="D320" s="65">
        <v>10000</v>
      </c>
      <c r="E320" s="65">
        <v>10000</v>
      </c>
      <c r="F320" s="65">
        <v>8000</v>
      </c>
      <c r="G320" s="65">
        <v>10000</v>
      </c>
    </row>
    <row r="321" spans="2:7" ht="15" customHeight="1" x14ac:dyDescent="0.45">
      <c r="B321" s="15" t="s">
        <v>31</v>
      </c>
      <c r="D321" s="65">
        <v>4</v>
      </c>
      <c r="E321" s="65">
        <v>4</v>
      </c>
      <c r="F321" s="65">
        <v>4</v>
      </c>
      <c r="G321" s="65">
        <v>4</v>
      </c>
    </row>
    <row r="322" spans="2:7" ht="15" customHeight="1" x14ac:dyDescent="0.45">
      <c r="B322" s="15" t="s">
        <v>135</v>
      </c>
      <c r="D322" s="70">
        <v>10.5</v>
      </c>
      <c r="E322" s="70">
        <v>12</v>
      </c>
      <c r="F322" s="70">
        <v>10.5</v>
      </c>
      <c r="G322" s="70">
        <v>10.5</v>
      </c>
    </row>
    <row r="323" spans="2:7" ht="15" customHeight="1" x14ac:dyDescent="0.45">
      <c r="B323" s="15" t="s">
        <v>103</v>
      </c>
      <c r="D323" s="76">
        <v>0.2</v>
      </c>
      <c r="E323" s="76">
        <v>0.2</v>
      </c>
      <c r="F323" s="76">
        <v>0.25</v>
      </c>
      <c r="G323" s="76">
        <v>0.2</v>
      </c>
    </row>
    <row r="325" spans="2:7" ht="15" customHeight="1" x14ac:dyDescent="0.45">
      <c r="B325" s="15" t="s">
        <v>120</v>
      </c>
      <c r="D325">
        <f>D322*D318</f>
        <v>31500</v>
      </c>
      <c r="E325">
        <f>E322*E318</f>
        <v>36000</v>
      </c>
      <c r="F325">
        <f>F322*F318</f>
        <v>31500</v>
      </c>
      <c r="G325">
        <f>G322*G318</f>
        <v>21000</v>
      </c>
    </row>
    <row r="326" spans="2:7" ht="15" customHeight="1" x14ac:dyDescent="0.45">
      <c r="B326" s="15" t="s">
        <v>121</v>
      </c>
      <c r="D326">
        <f>$C$319-D320</f>
        <v>4000</v>
      </c>
      <c r="E326">
        <f>$C$319-E320</f>
        <v>4000</v>
      </c>
      <c r="F326">
        <f>$C$319-F320</f>
        <v>6000</v>
      </c>
      <c r="G326">
        <f>$C$319-G320</f>
        <v>4000</v>
      </c>
    </row>
    <row r="327" spans="2:7" ht="15" customHeight="1" x14ac:dyDescent="0.45">
      <c r="B327" s="15" t="s">
        <v>122</v>
      </c>
      <c r="D327">
        <f>D325-D326</f>
        <v>27500</v>
      </c>
      <c r="E327">
        <f>E325-E326</f>
        <v>32000</v>
      </c>
      <c r="F327">
        <f>F325-F326</f>
        <v>25500</v>
      </c>
      <c r="G327">
        <f>G325-G326</f>
        <v>17000</v>
      </c>
    </row>
    <row r="328" spans="2:7" ht="15" customHeight="1" x14ac:dyDescent="0.45">
      <c r="B328" s="15" t="s">
        <v>247</v>
      </c>
      <c r="D328">
        <f>D327/(1+D323)^D321</f>
        <v>13261.959876543211</v>
      </c>
      <c r="E328">
        <f>E327/(1+E323)^E321</f>
        <v>15432.0987654321</v>
      </c>
      <c r="F328">
        <f>F327/(1+F323)^F321</f>
        <v>10444.799999999999</v>
      </c>
      <c r="G328">
        <f>G327/(1+G323)^G321</f>
        <v>8198.3024691358023</v>
      </c>
    </row>
    <row r="330" spans="2:7" ht="15" customHeight="1" x14ac:dyDescent="0.45">
      <c r="B330" s="15" t="s">
        <v>43</v>
      </c>
    </row>
    <row r="331" spans="2:7" ht="15" customHeight="1" x14ac:dyDescent="0.45">
      <c r="B331" s="15" t="s">
        <v>44</v>
      </c>
      <c r="D331">
        <f>D338-D332</f>
        <v>26361.959876543209</v>
      </c>
      <c r="E331">
        <f>E338-E332</f>
        <v>28532.0987654321</v>
      </c>
      <c r="F331">
        <f>F338-F332</f>
        <v>23544.799999999999</v>
      </c>
      <c r="G331">
        <f>G338-G332</f>
        <v>21298.3024691358</v>
      </c>
    </row>
    <row r="332" spans="2:7" ht="15" customHeight="1" x14ac:dyDescent="0.45">
      <c r="B332" s="15" t="s">
        <v>62</v>
      </c>
      <c r="D332">
        <f>$C$317</f>
        <v>900</v>
      </c>
      <c r="E332">
        <f>$C$317</f>
        <v>900</v>
      </c>
      <c r="F332">
        <f>$C$317</f>
        <v>900</v>
      </c>
      <c r="G332">
        <f>$C$317</f>
        <v>900</v>
      </c>
    </row>
    <row r="333" spans="2:7" ht="15" customHeight="1" x14ac:dyDescent="0.45">
      <c r="B333" s="15" t="s">
        <v>46</v>
      </c>
      <c r="D333">
        <f>SUM(D331:D332)</f>
        <v>27261.959876543209</v>
      </c>
      <c r="E333">
        <f>SUM(E331:E332)</f>
        <v>29432.0987654321</v>
      </c>
      <c r="F333">
        <f>SUM(F331:F332)</f>
        <v>24444.799999999999</v>
      </c>
      <c r="G333">
        <f>SUM(G331:G332)</f>
        <v>22198.3024691358</v>
      </c>
    </row>
    <row r="335" spans="2:7" ht="15" customHeight="1" x14ac:dyDescent="0.45">
      <c r="B335" s="15" t="s">
        <v>47</v>
      </c>
    </row>
    <row r="336" spans="2:7" ht="15" customHeight="1" x14ac:dyDescent="0.45">
      <c r="B336" s="15" t="s">
        <v>138</v>
      </c>
      <c r="D336">
        <f>$C$319</f>
        <v>14000</v>
      </c>
      <c r="E336">
        <f>$C$319</f>
        <v>14000</v>
      </c>
      <c r="F336">
        <f>$C$319</f>
        <v>14000</v>
      </c>
      <c r="G336">
        <f>$C$319</f>
        <v>14000</v>
      </c>
    </row>
    <row r="337" spans="1:7" ht="15" customHeight="1" x14ac:dyDescent="0.45">
      <c r="B337" s="15" t="s">
        <v>150</v>
      </c>
      <c r="D337">
        <f>D328</f>
        <v>13261.959876543211</v>
      </c>
      <c r="E337">
        <f>E328</f>
        <v>15432.0987654321</v>
      </c>
      <c r="F337">
        <f>F328</f>
        <v>10444.799999999999</v>
      </c>
      <c r="G337">
        <f>G328</f>
        <v>8198.3024691358023</v>
      </c>
    </row>
    <row r="338" spans="1:7" ht="15" customHeight="1" x14ac:dyDescent="0.45">
      <c r="B338" s="15" t="s">
        <v>52</v>
      </c>
      <c r="D338">
        <f>SUM(D336:D337)</f>
        <v>27261.959876543209</v>
      </c>
      <c r="E338">
        <f>SUM(E336:E337)</f>
        <v>29432.0987654321</v>
      </c>
      <c r="F338">
        <f>SUM(F336:F337)</f>
        <v>24444.799999999999</v>
      </c>
      <c r="G338">
        <f>SUM(G336:G337)</f>
        <v>22198.3024691358</v>
      </c>
    </row>
    <row r="340" spans="1:7" ht="15" customHeight="1" x14ac:dyDescent="0.45">
      <c r="B340" s="15" t="s">
        <v>123</v>
      </c>
      <c r="D340" s="73">
        <f>D331/$C$316</f>
        <v>26.36195987654321</v>
      </c>
      <c r="E340" s="73">
        <f>E331/$C$316</f>
        <v>28.532098765432099</v>
      </c>
      <c r="F340" s="73">
        <f>F331/$C$316</f>
        <v>23.544799999999999</v>
      </c>
      <c r="G340" s="73">
        <f>G331/$C$316</f>
        <v>21.298302469135802</v>
      </c>
    </row>
    <row r="341" spans="1:7" ht="15" customHeight="1" x14ac:dyDescent="0.45">
      <c r="B341" s="15" t="s">
        <v>124</v>
      </c>
      <c r="D341" s="64">
        <f>D340/$C$315-1</f>
        <v>0.31154029236533365</v>
      </c>
      <c r="E341" s="64">
        <f>E340/$C$315-1</f>
        <v>0.41950740126527841</v>
      </c>
      <c r="F341" s="64">
        <f>F340/$C$315-1</f>
        <v>0.17138308457711426</v>
      </c>
      <c r="G341" s="64">
        <f>G340/$C$315-1</f>
        <v>5.9617038265462607E-2</v>
      </c>
    </row>
    <row r="343" spans="1:7" ht="15" customHeight="1" x14ac:dyDescent="0.45">
      <c r="A343" s="14" t="s">
        <v>185</v>
      </c>
    </row>
    <row r="344" spans="1:7" ht="15" customHeight="1" x14ac:dyDescent="0.45">
      <c r="B344" s="15" t="s">
        <v>249</v>
      </c>
    </row>
    <row r="345" spans="1:7" ht="15" customHeight="1" x14ac:dyDescent="0.45">
      <c r="B345" s="15" t="s">
        <v>250</v>
      </c>
    </row>
    <row r="347" spans="1:7" ht="15" customHeight="1" x14ac:dyDescent="0.45">
      <c r="B347" s="15" t="s">
        <v>103</v>
      </c>
      <c r="C347" s="76">
        <v>0.2</v>
      </c>
    </row>
    <row r="348" spans="1:7" ht="15" customHeight="1" x14ac:dyDescent="0.45">
      <c r="B348" s="15" t="s">
        <v>140</v>
      </c>
      <c r="C348" s="70">
        <v>4.5</v>
      </c>
    </row>
    <row r="349" spans="1:7" ht="15" customHeight="1" x14ac:dyDescent="0.45">
      <c r="B349" s="15" t="s">
        <v>141</v>
      </c>
      <c r="C349" s="65">
        <v>15</v>
      </c>
    </row>
    <row r="350" spans="1:7" ht="15" customHeight="1" x14ac:dyDescent="0.45">
      <c r="B350" s="15" t="s">
        <v>142</v>
      </c>
      <c r="C350" s="65">
        <v>10</v>
      </c>
    </row>
    <row r="351" spans="1:7" ht="15" customHeight="1" x14ac:dyDescent="0.45">
      <c r="B351" s="15" t="s">
        <v>143</v>
      </c>
      <c r="C351" s="70">
        <v>8.5</v>
      </c>
    </row>
    <row r="352" spans="1:7" ht="15" customHeight="1" x14ac:dyDescent="0.45">
      <c r="B352" s="15" t="s">
        <v>144</v>
      </c>
      <c r="C352" s="76">
        <v>7.0000000000000007E-2</v>
      </c>
    </row>
    <row r="353" spans="2:3" ht="15" customHeight="1" x14ac:dyDescent="0.45">
      <c r="B353" s="15" t="s">
        <v>31</v>
      </c>
      <c r="C353" s="65">
        <v>4</v>
      </c>
    </row>
    <row r="354" spans="2:3" ht="15" customHeight="1" x14ac:dyDescent="0.45">
      <c r="B354" s="15" t="s">
        <v>134</v>
      </c>
      <c r="C354" s="76">
        <v>0.6</v>
      </c>
    </row>
    <row r="355" spans="2:3" ht="15" customHeight="1" x14ac:dyDescent="0.45">
      <c r="B355" s="15" t="s">
        <v>66</v>
      </c>
      <c r="C355" s="72">
        <v>26.73</v>
      </c>
    </row>
    <row r="356" spans="2:3" ht="15" customHeight="1" x14ac:dyDescent="0.45">
      <c r="B356" s="15" t="s">
        <v>56</v>
      </c>
      <c r="C356" s="83">
        <v>48.969349999999999</v>
      </c>
    </row>
    <row r="358" spans="2:3" ht="15" customHeight="1" x14ac:dyDescent="0.45">
      <c r="B358" s="15" t="s">
        <v>251</v>
      </c>
    </row>
    <row r="359" spans="2:3" ht="15" customHeight="1" x14ac:dyDescent="0.45">
      <c r="B359" s="15" t="s">
        <v>145</v>
      </c>
    </row>
    <row r="371" spans="2:2" ht="15" customHeight="1" x14ac:dyDescent="0.45">
      <c r="B371" s="15" t="s">
        <v>127</v>
      </c>
    </row>
    <row r="402" spans="2:3" ht="15" customHeight="1" x14ac:dyDescent="0.45">
      <c r="B402" s="84" t="s">
        <v>148</v>
      </c>
    </row>
    <row r="403" spans="2:3" ht="15" customHeight="1" x14ac:dyDescent="0.45">
      <c r="B403" s="15" t="s">
        <v>125</v>
      </c>
      <c r="C403" s="65">
        <v>56.6</v>
      </c>
    </row>
    <row r="404" spans="2:3" ht="15" customHeight="1" x14ac:dyDescent="0.45">
      <c r="B404" s="15" t="s">
        <v>133</v>
      </c>
      <c r="C404" s="65">
        <v>139.9</v>
      </c>
    </row>
    <row r="405" spans="2:3" ht="15" customHeight="1" x14ac:dyDescent="0.45">
      <c r="B405" s="15" t="s">
        <v>126</v>
      </c>
      <c r="C405" s="65">
        <v>15.3</v>
      </c>
    </row>
    <row r="406" spans="2:3" ht="15" customHeight="1" x14ac:dyDescent="0.45">
      <c r="B406" s="15" t="s">
        <v>77</v>
      </c>
      <c r="C406">
        <f>SUM(C403:C405)</f>
        <v>211.8</v>
      </c>
    </row>
    <row r="407" spans="2:3" ht="15" customHeight="1" x14ac:dyDescent="0.45">
      <c r="B407" s="15" t="s">
        <v>135</v>
      </c>
      <c r="C407" s="69">
        <f>C351</f>
        <v>8.5</v>
      </c>
    </row>
    <row r="408" spans="2:3" ht="15" customHeight="1" x14ac:dyDescent="0.45">
      <c r="B408" s="15" t="s">
        <v>99</v>
      </c>
      <c r="C408" s="64">
        <f>C352</f>
        <v>7.0000000000000007E-2</v>
      </c>
    </row>
    <row r="409" spans="2:3" ht="15" customHeight="1" x14ac:dyDescent="0.45">
      <c r="B409" s="15" t="s">
        <v>136</v>
      </c>
      <c r="C409">
        <f>C353</f>
        <v>4</v>
      </c>
    </row>
    <row r="410" spans="2:3" ht="15" customHeight="1" x14ac:dyDescent="0.45">
      <c r="B410" s="15" t="s">
        <v>101</v>
      </c>
      <c r="C410">
        <f>C406*(1+C408)^C409</f>
        <v>277.62659491800002</v>
      </c>
    </row>
    <row r="411" spans="2:3" ht="15" customHeight="1" x14ac:dyDescent="0.45">
      <c r="B411" s="15" t="s">
        <v>120</v>
      </c>
      <c r="C411">
        <f>C410*C407</f>
        <v>2359.826056803</v>
      </c>
    </row>
    <row r="413" spans="2:3" ht="15" customHeight="1" x14ac:dyDescent="0.45">
      <c r="B413" s="15" t="s">
        <v>146</v>
      </c>
    </row>
    <row r="414" spans="2:3" ht="15" customHeight="1" x14ac:dyDescent="0.45">
      <c r="B414" s="15" t="s">
        <v>218</v>
      </c>
      <c r="C414" s="69">
        <f>C348</f>
        <v>4.5</v>
      </c>
    </row>
    <row r="415" spans="2:3" ht="15" customHeight="1" x14ac:dyDescent="0.45">
      <c r="B415" s="15" t="s">
        <v>78</v>
      </c>
      <c r="C415">
        <f>C414*C406</f>
        <v>953.1</v>
      </c>
    </row>
    <row r="416" spans="2:3" ht="15" customHeight="1" x14ac:dyDescent="0.45">
      <c r="B416" s="15" t="s">
        <v>134</v>
      </c>
      <c r="C416" s="64">
        <f>C354</f>
        <v>0.6</v>
      </c>
    </row>
    <row r="417" spans="2:3" ht="15" customHeight="1" x14ac:dyDescent="0.45">
      <c r="B417" s="15" t="s">
        <v>121</v>
      </c>
      <c r="C417">
        <f>C415*(1-C416)</f>
        <v>381.24</v>
      </c>
    </row>
    <row r="419" spans="2:3" ht="15" customHeight="1" x14ac:dyDescent="0.45">
      <c r="B419" s="15" t="s">
        <v>147</v>
      </c>
    </row>
    <row r="420" spans="2:3" ht="15" customHeight="1" x14ac:dyDescent="0.45">
      <c r="B420" s="15" t="s">
        <v>122</v>
      </c>
      <c r="C420">
        <f>C411-C417</f>
        <v>1978.586056803</v>
      </c>
    </row>
    <row r="421" spans="2:3" ht="15" customHeight="1" x14ac:dyDescent="0.45">
      <c r="B421" s="15" t="s">
        <v>103</v>
      </c>
      <c r="C421" s="64">
        <f>C347</f>
        <v>0.2</v>
      </c>
    </row>
    <row r="422" spans="2:3" ht="15" customHeight="1" x14ac:dyDescent="0.45">
      <c r="B422" s="15" t="s">
        <v>137</v>
      </c>
      <c r="C422">
        <f>C420/(1+C421)^C409</f>
        <v>954.17923264033573</v>
      </c>
    </row>
    <row r="424" spans="2:3" ht="15" customHeight="1" x14ac:dyDescent="0.45">
      <c r="B424" s="15" t="s">
        <v>128</v>
      </c>
      <c r="C424" s="65">
        <v>198.3</v>
      </c>
    </row>
    <row r="425" spans="2:3" ht="15" customHeight="1" x14ac:dyDescent="0.45">
      <c r="B425" s="15" t="s">
        <v>129</v>
      </c>
      <c r="C425" s="65">
        <v>29.1</v>
      </c>
    </row>
    <row r="426" spans="2:3" ht="15" customHeight="1" x14ac:dyDescent="0.45">
      <c r="B426" s="15" t="s">
        <v>130</v>
      </c>
      <c r="C426" s="65">
        <v>43.3</v>
      </c>
    </row>
    <row r="427" spans="2:3" ht="15" customHeight="1" x14ac:dyDescent="0.45">
      <c r="B427" s="15" t="s">
        <v>131</v>
      </c>
      <c r="C427" s="65">
        <v>358.1</v>
      </c>
    </row>
    <row r="428" spans="2:3" ht="15" customHeight="1" x14ac:dyDescent="0.45">
      <c r="B428" s="15" t="s">
        <v>62</v>
      </c>
      <c r="C428">
        <f>SUM(C425:C427)-C424</f>
        <v>232.2</v>
      </c>
    </row>
    <row r="430" spans="2:3" ht="15" customHeight="1" x14ac:dyDescent="0.45">
      <c r="B430" s="15" t="s">
        <v>43</v>
      </c>
    </row>
    <row r="431" spans="2:3" ht="15" customHeight="1" x14ac:dyDescent="0.45">
      <c r="B431" s="15" t="s">
        <v>44</v>
      </c>
      <c r="C431">
        <f>C435-SUM(C432:C434)</f>
        <v>1650.0792326403357</v>
      </c>
    </row>
    <row r="432" spans="2:3" ht="15" customHeight="1" x14ac:dyDescent="0.45">
      <c r="B432" s="15" t="s">
        <v>45</v>
      </c>
      <c r="C432">
        <f>C428</f>
        <v>232.2</v>
      </c>
    </row>
    <row r="433" spans="1:3" ht="15" customHeight="1" x14ac:dyDescent="0.45">
      <c r="B433" s="15" t="s">
        <v>81</v>
      </c>
      <c r="C433">
        <f>C349</f>
        <v>15</v>
      </c>
    </row>
    <row r="434" spans="1:3" ht="15" customHeight="1" x14ac:dyDescent="0.45">
      <c r="B434" s="15" t="s">
        <v>132</v>
      </c>
      <c r="C434">
        <f>C350</f>
        <v>10</v>
      </c>
    </row>
    <row r="435" spans="1:3" ht="15" customHeight="1" x14ac:dyDescent="0.45">
      <c r="B435" s="15" t="s">
        <v>46</v>
      </c>
      <c r="C435">
        <f>C440</f>
        <v>1907.2792326403357</v>
      </c>
    </row>
    <row r="437" spans="1:3" ht="15" customHeight="1" x14ac:dyDescent="0.45">
      <c r="B437" s="15" t="s">
        <v>47</v>
      </c>
    </row>
    <row r="438" spans="1:3" ht="15" customHeight="1" x14ac:dyDescent="0.45">
      <c r="B438" s="15" t="s">
        <v>138</v>
      </c>
      <c r="C438">
        <f>C415</f>
        <v>953.1</v>
      </c>
    </row>
    <row r="439" spans="1:3" ht="15" customHeight="1" x14ac:dyDescent="0.45">
      <c r="B439" s="15" t="s">
        <v>51</v>
      </c>
      <c r="C439">
        <f>C422</f>
        <v>954.17923264033573</v>
      </c>
    </row>
    <row r="440" spans="1:3" ht="15" customHeight="1" x14ac:dyDescent="0.45">
      <c r="B440" s="15" t="s">
        <v>52</v>
      </c>
      <c r="C440">
        <f>SUM(C438:C439)</f>
        <v>1907.2792326403357</v>
      </c>
    </row>
    <row r="442" spans="1:3" ht="15" customHeight="1" x14ac:dyDescent="0.45">
      <c r="B442" s="15" t="str">
        <f>B355</f>
        <v>Current share price</v>
      </c>
      <c r="C442" s="73">
        <f>C355</f>
        <v>26.73</v>
      </c>
    </row>
    <row r="443" spans="1:3" ht="15" customHeight="1" x14ac:dyDescent="0.45">
      <c r="B443" s="15" t="str">
        <f>B356</f>
        <v>Basic shares outstanding</v>
      </c>
      <c r="C443">
        <f>C356</f>
        <v>48.969349999999999</v>
      </c>
    </row>
    <row r="444" spans="1:3" ht="15" customHeight="1" x14ac:dyDescent="0.45">
      <c r="B444" s="15" t="s">
        <v>252</v>
      </c>
      <c r="C444">
        <f>C443*C442</f>
        <v>1308.9507255000001</v>
      </c>
    </row>
    <row r="445" spans="1:3" ht="15" customHeight="1" x14ac:dyDescent="0.45">
      <c r="B445" s="15" t="s">
        <v>44</v>
      </c>
      <c r="C445">
        <f>C431</f>
        <v>1650.0792326403357</v>
      </c>
    </row>
    <row r="446" spans="1:3" ht="15" customHeight="1" x14ac:dyDescent="0.45">
      <c r="B446" s="15" t="s">
        <v>139</v>
      </c>
      <c r="C446" s="64">
        <f>C445/C444-1</f>
        <v>0.26061218386202389</v>
      </c>
    </row>
    <row r="447" spans="1:3" ht="15" customHeight="1" x14ac:dyDescent="0.45">
      <c r="A447" s="14" t="s">
        <v>220</v>
      </c>
    </row>
  </sheetData>
  <conditionalFormatting sqref="D178:D180 G178:H180">
    <cfRule type="expression" dxfId="3" priority="7">
      <formula>D$178&lt;3.5</formula>
    </cfRule>
  </conditionalFormatting>
  <conditionalFormatting sqref="E178:E180">
    <cfRule type="expression" dxfId="2" priority="3">
      <formula>E$178&lt;3.5</formula>
    </cfRule>
  </conditionalFormatting>
  <conditionalFormatting sqref="D174:E174 G174:H174">
    <cfRule type="expression" dxfId="1" priority="2">
      <formula>D$174&gt;4.5</formula>
    </cfRule>
  </conditionalFormatting>
  <conditionalFormatting sqref="D170:H170">
    <cfRule type="expression" dxfId="0" priority="1">
      <formula>D$170&lt;1.2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landscape" horizontalDpi="1200" verticalDpi="1200" r:id="rId1"/>
  <headerFooter>
    <oddHeader xml:space="preserve">&amp;R&amp;10&amp;F 
&amp;A
</oddHeader>
    <oddFooter>&amp;L&amp;10© 2016&amp;C&amp;10Page &amp;P of &amp;N&amp;R&amp;G</oddFooter>
  </headerFooter>
  <rowBreaks count="9" manualBreakCount="9">
    <brk id="23" max="9" man="1"/>
    <brk id="40" max="9" man="1"/>
    <brk id="65" max="9" man="1"/>
    <brk id="88" max="9" man="1"/>
    <brk id="139" max="9" man="1"/>
    <brk id="181" max="9" man="1"/>
    <brk id="234" max="9" man="1"/>
    <brk id="279" max="9" man="1"/>
    <brk id="342" max="9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3" ma:contentTypeDescription="Create a new document." ma:contentTypeScope="" ma:versionID="91a2337fa3e469389372e0f8f3ebfbff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997a15627981ecf1ec0c7ac2787440f4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B91FC5C9-E4F2-413C-A74B-82ACCCC26532}"/>
</file>

<file path=customXml/itemProps2.xml><?xml version="1.0" encoding="utf-8"?>
<ds:datastoreItem xmlns:ds="http://schemas.openxmlformats.org/officeDocument/2006/customXml" ds:itemID="{66A8ECC1-322C-4553-B1C3-DA706F9AD942}"/>
</file>

<file path=customXml/itemProps3.xml><?xml version="1.0" encoding="utf-8"?>
<ds:datastoreItem xmlns:ds="http://schemas.openxmlformats.org/officeDocument/2006/customXml" ds:itemID="{A42855EB-9FE3-436D-A3E9-FDBC2C726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Workout!Print_Area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Gerard Kelly</cp:lastModifiedBy>
  <cp:lastPrinted>2016-05-30T12:09:29Z</cp:lastPrinted>
  <dcterms:created xsi:type="dcterms:W3CDTF">2016-02-03T14:06:14Z</dcterms:created>
  <dcterms:modified xsi:type="dcterms:W3CDTF">2016-08-31T14:10:08Z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